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landeaccion\OneDrive - Escuela Tecnologica Instituto Tecnico Central\A. Vigencia 2022\PLAN DE ACCIÓN 2022\PLAN DE ACCIÓN 2022\A. SEGUIMIENTOS 2022\2 SEGUIMIENTO\"/>
    </mc:Choice>
  </mc:AlternateContent>
  <bookViews>
    <workbookView xWindow="0" yWindow="0" windowWidth="20490" windowHeight="7650"/>
  </bookViews>
  <sheets>
    <sheet name="Plan de Acción 2022" sheetId="2" r:id="rId1"/>
    <sheet name="AVANCES 2022" sheetId="10" state="hidden" r:id="rId2"/>
    <sheet name="LO INSTITUCIONAL" sheetId="6" state="hidden" r:id="rId3"/>
    <sheet name="LO SOCIAL" sheetId="5" state="hidden" r:id="rId4"/>
    <sheet name="LO AMBIENTAL" sheetId="9" state="hidden" r:id="rId5"/>
    <sheet name="AVANCE GENERAL 2022" sheetId="12" r:id="rId6"/>
    <sheet name="REC" sheetId="13" state="hidden" r:id="rId7"/>
  </sheets>
  <definedNames>
    <definedName name="_xlnm._FilterDatabase" localSheetId="4" hidden="1">'LO AMBIENTAL'!$A$6:$BU$29</definedName>
    <definedName name="_xlnm._FilterDatabase" localSheetId="2" hidden="1">'LO INSTITUCIONAL'!$A$7:$LZ$42</definedName>
    <definedName name="_xlnm._FilterDatabase" localSheetId="3" hidden="1">'LO SOCIAL'!$A$5:$MI$35</definedName>
    <definedName name="_xlnm._FilterDatabase" localSheetId="0" hidden="1">'Plan de Acción 2022'!$A$7:$AJ$510</definedName>
    <definedName name="ETAPA">'Plan de Acción 2022'!$A$518:$A$523</definedName>
    <definedName name="ETAPAS">'Plan de Acción 2022'!$A$517:$A$523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5" i="6" l="1"/>
  <c r="T15" i="5"/>
  <c r="Q15" i="5"/>
  <c r="N15" i="5"/>
  <c r="K15" i="5"/>
  <c r="V20" i="5" l="1"/>
  <c r="T20" i="5"/>
  <c r="Q20" i="5"/>
  <c r="N20" i="5"/>
  <c r="K20" i="5"/>
  <c r="T17" i="5" l="1"/>
  <c r="Q17" i="5"/>
  <c r="N17" i="5"/>
  <c r="K17" i="5"/>
  <c r="T26" i="5"/>
  <c r="Q26" i="5"/>
  <c r="N26" i="5"/>
  <c r="K26" i="5"/>
  <c r="P434" i="2"/>
  <c r="Q434" i="2" s="1"/>
  <c r="T24" i="5"/>
  <c r="Q24" i="5"/>
  <c r="N24" i="5"/>
  <c r="K24" i="5"/>
  <c r="T21" i="5"/>
  <c r="Q21" i="5"/>
  <c r="N21" i="5"/>
  <c r="K21" i="5"/>
  <c r="P421" i="2"/>
  <c r="Q421" i="2" s="1"/>
  <c r="Q25" i="6" l="1"/>
  <c r="W25" i="6"/>
  <c r="W9" i="6"/>
  <c r="T9" i="6"/>
  <c r="Q9" i="6"/>
  <c r="N9" i="6"/>
  <c r="R9" i="6"/>
  <c r="K12" i="5"/>
  <c r="U12" i="10" l="1"/>
  <c r="U3" i="10"/>
  <c r="U4" i="10"/>
  <c r="U5" i="10"/>
  <c r="U6" i="10"/>
  <c r="U7" i="10"/>
  <c r="U8" i="10"/>
  <c r="U9" i="10"/>
  <c r="U10" i="10"/>
  <c r="U11" i="10"/>
  <c r="U17" i="10"/>
  <c r="W406" i="2"/>
  <c r="W509" i="2"/>
  <c r="T38" i="10"/>
  <c r="U37" i="10"/>
  <c r="U36" i="10"/>
  <c r="U35" i="10"/>
  <c r="U34" i="10"/>
  <c r="U33" i="10"/>
  <c r="U32" i="10"/>
  <c r="U31" i="10"/>
  <c r="U30" i="10"/>
  <c r="U29" i="10"/>
  <c r="U28" i="10"/>
  <c r="U27" i="10"/>
  <c r="U26" i="10"/>
  <c r="U25" i="10"/>
  <c r="U24" i="10"/>
  <c r="U23" i="10"/>
  <c r="U22" i="10"/>
  <c r="U21" i="10"/>
  <c r="U20" i="10"/>
  <c r="U19" i="10"/>
  <c r="U18" i="10"/>
  <c r="U16" i="10"/>
  <c r="U15" i="10"/>
  <c r="U14" i="10"/>
  <c r="U13" i="10"/>
  <c r="U38" i="10" l="1"/>
  <c r="P136" i="2" l="1"/>
  <c r="Q136" i="2" s="1"/>
  <c r="P158" i="2"/>
  <c r="Q158" i="2" s="1"/>
  <c r="P161" i="2"/>
  <c r="Q161" i="2" s="1"/>
  <c r="P240" i="2"/>
  <c r="Q240" i="2" s="1"/>
  <c r="P254" i="2"/>
  <c r="Q254" i="2" s="1"/>
  <c r="P253" i="2"/>
  <c r="Q253" i="2" s="1"/>
  <c r="P252" i="2"/>
  <c r="Q252" i="2" s="1"/>
  <c r="P258" i="2"/>
  <c r="P259" i="2"/>
  <c r="P260" i="2"/>
  <c r="P261" i="2"/>
  <c r="P277" i="2"/>
  <c r="Q277" i="2" s="1"/>
  <c r="P276" i="2"/>
  <c r="Q276" i="2" s="1"/>
  <c r="P275" i="2"/>
  <c r="Q275" i="2" s="1"/>
  <c r="P273" i="2"/>
  <c r="Q273" i="2" s="1"/>
  <c r="P272" i="2"/>
  <c r="Q272" i="2" s="1"/>
  <c r="P279" i="2"/>
  <c r="Q279" i="2" s="1"/>
  <c r="P294" i="2"/>
  <c r="Q294" i="2" s="1"/>
  <c r="P301" i="2"/>
  <c r="Q301" i="2" s="1"/>
  <c r="P302" i="2"/>
  <c r="P380" i="2"/>
  <c r="Q380" i="2" s="1"/>
  <c r="P430" i="2" l="1"/>
  <c r="Q430" i="2" s="1"/>
  <c r="P446" i="2"/>
  <c r="Q446" i="2" s="1"/>
  <c r="P411" i="2"/>
  <c r="Q411" i="2" s="1"/>
  <c r="P410" i="2"/>
  <c r="Q410" i="2" s="1"/>
  <c r="P408" i="2"/>
  <c r="Q408" i="2" s="1"/>
  <c r="T25" i="6" l="1"/>
  <c r="N28" i="10" l="1"/>
  <c r="N23" i="10"/>
  <c r="T14" i="5"/>
  <c r="Q14" i="5"/>
  <c r="N14" i="5"/>
  <c r="K14" i="5"/>
  <c r="T12" i="5"/>
  <c r="Q12" i="5"/>
  <c r="N12" i="5"/>
  <c r="T11" i="5"/>
  <c r="Q11" i="5"/>
  <c r="N11" i="5"/>
  <c r="K11" i="5"/>
  <c r="P257" i="2"/>
  <c r="Q257" i="2" s="1"/>
  <c r="P256" i="2"/>
  <c r="Q256" i="2" s="1"/>
  <c r="W31" i="6" l="1"/>
  <c r="T31" i="6"/>
  <c r="Q31" i="6"/>
  <c r="N31" i="6"/>
  <c r="N19" i="9" l="1"/>
  <c r="N12" i="9"/>
  <c r="K28" i="5"/>
  <c r="T25" i="5"/>
  <c r="Q25" i="5"/>
  <c r="N25" i="5"/>
  <c r="K25" i="5"/>
  <c r="T22" i="5"/>
  <c r="Q22" i="5"/>
  <c r="N22" i="5"/>
  <c r="I22" i="5"/>
  <c r="I21" i="5"/>
  <c r="K22" i="5"/>
  <c r="K10" i="5" l="1"/>
  <c r="K7" i="5"/>
  <c r="N35" i="6"/>
  <c r="N26" i="6"/>
  <c r="W17" i="6" l="1"/>
  <c r="T17" i="6"/>
  <c r="Q17" i="6"/>
  <c r="N17" i="6"/>
  <c r="T9" i="5"/>
  <c r="Q9" i="5"/>
  <c r="N9" i="5"/>
  <c r="K9" i="5"/>
  <c r="W13" i="6"/>
  <c r="T13" i="6"/>
  <c r="Q13" i="6"/>
  <c r="N13" i="6"/>
  <c r="N11" i="6"/>
  <c r="N6" i="10"/>
  <c r="N5" i="10"/>
  <c r="W243" i="2"/>
  <c r="N4" i="10" s="1"/>
  <c r="W103" i="2"/>
  <c r="N3" i="10" s="1"/>
  <c r="P8" i="10"/>
  <c r="N8" i="10" l="1"/>
  <c r="N25" i="10" s="1"/>
  <c r="O29" i="10" l="1"/>
  <c r="N29" i="10"/>
  <c r="T28" i="5"/>
  <c r="Q28" i="5"/>
  <c r="N28" i="5"/>
  <c r="W23" i="9"/>
  <c r="T23" i="9"/>
  <c r="Q23" i="9"/>
  <c r="L23" i="9"/>
  <c r="W10" i="9"/>
  <c r="T10" i="9"/>
  <c r="Q10" i="9"/>
  <c r="N10" i="9"/>
  <c r="W27" i="6"/>
  <c r="T27" i="6"/>
  <c r="Q27" i="6"/>
  <c r="N27" i="6"/>
  <c r="W26" i="6"/>
  <c r="T26" i="6"/>
  <c r="Q26" i="6"/>
  <c r="L25" i="9"/>
  <c r="W25" i="9"/>
  <c r="T25" i="9"/>
  <c r="Q25" i="9"/>
  <c r="N25" i="9"/>
  <c r="W15" i="9"/>
  <c r="T15" i="9"/>
  <c r="Q15" i="9"/>
  <c r="N15" i="9"/>
  <c r="R23" i="9" l="1"/>
  <c r="U23" i="9"/>
  <c r="X23" i="9"/>
  <c r="L37" i="6"/>
  <c r="W8" i="9"/>
  <c r="T8" i="9"/>
  <c r="Q8" i="9"/>
  <c r="N8" i="9"/>
  <c r="W16" i="9"/>
  <c r="T16" i="9"/>
  <c r="Q16" i="9"/>
  <c r="N16" i="9"/>
  <c r="W22" i="9"/>
  <c r="T22" i="9"/>
  <c r="Q22" i="9"/>
  <c r="N22" i="9"/>
  <c r="P163" i="2" l="1"/>
  <c r="Q163" i="2" s="1"/>
  <c r="P140" i="2"/>
  <c r="Q140" i="2" s="1"/>
  <c r="P138" i="2"/>
  <c r="Q138" i="2" s="1"/>
  <c r="P137" i="2"/>
  <c r="Q137" i="2" s="1"/>
  <c r="W11" i="6" l="1"/>
  <c r="T11" i="6"/>
  <c r="Q11" i="6"/>
  <c r="N20" i="6" l="1"/>
  <c r="W29" i="6" l="1"/>
  <c r="T29" i="6"/>
  <c r="Q29" i="6"/>
  <c r="N29" i="6"/>
  <c r="P128" i="2"/>
  <c r="Q128" i="2" s="1"/>
  <c r="P127" i="2"/>
  <c r="Q127" i="2" s="1"/>
  <c r="P126" i="2"/>
  <c r="Q126" i="2" s="1"/>
  <c r="P125" i="2"/>
  <c r="Q125" i="2" s="1"/>
  <c r="P124" i="2"/>
  <c r="Q124" i="2" s="1"/>
  <c r="P123" i="2"/>
  <c r="Q123" i="2" s="1"/>
  <c r="P122" i="2"/>
  <c r="Q122" i="2" s="1"/>
  <c r="P121" i="2"/>
  <c r="Q121" i="2" s="1"/>
  <c r="P129" i="2"/>
  <c r="Q129" i="2" s="1"/>
  <c r="P130" i="2"/>
  <c r="Q130" i="2" s="1"/>
  <c r="P131" i="2"/>
  <c r="Q131" i="2" s="1"/>
  <c r="W20" i="6"/>
  <c r="T20" i="6"/>
  <c r="Q20" i="6"/>
  <c r="W15" i="6"/>
  <c r="T15" i="6"/>
  <c r="Q15" i="6"/>
  <c r="N15" i="6"/>
  <c r="W12" i="6"/>
  <c r="T12" i="6"/>
  <c r="Q12" i="6"/>
  <c r="W24" i="9"/>
  <c r="T24" i="9"/>
  <c r="Q24" i="9"/>
  <c r="N24" i="9"/>
  <c r="N23" i="9"/>
  <c r="O23" i="9" s="1"/>
  <c r="N21" i="9"/>
  <c r="W20" i="9"/>
  <c r="T20" i="9"/>
  <c r="Q20" i="9"/>
  <c r="W19" i="9"/>
  <c r="T19" i="9"/>
  <c r="Q19" i="9"/>
  <c r="N20" i="9"/>
  <c r="W18" i="9"/>
  <c r="T18" i="9"/>
  <c r="Q18" i="9"/>
  <c r="N18" i="9"/>
  <c r="W17" i="9"/>
  <c r="T17" i="9"/>
  <c r="Q17" i="9"/>
  <c r="N17" i="9"/>
  <c r="W14" i="9"/>
  <c r="T14" i="9"/>
  <c r="Q14" i="9"/>
  <c r="W13" i="9"/>
  <c r="T13" i="9"/>
  <c r="Q13" i="9"/>
  <c r="N14" i="9"/>
  <c r="N13" i="9"/>
  <c r="W12" i="9"/>
  <c r="T12" i="9"/>
  <c r="Q12" i="9"/>
  <c r="W11" i="9"/>
  <c r="T11" i="9"/>
  <c r="Q11" i="9"/>
  <c r="N11" i="9"/>
  <c r="W9" i="9"/>
  <c r="T9" i="9"/>
  <c r="Q9" i="9"/>
  <c r="N9" i="9"/>
  <c r="T32" i="5"/>
  <c r="U32" i="5" s="1"/>
  <c r="Q32" i="5"/>
  <c r="R32" i="5" s="1"/>
  <c r="N32" i="5"/>
  <c r="O32" i="5" s="1"/>
  <c r="K32" i="5"/>
  <c r="L32" i="5" s="1"/>
  <c r="T31" i="5"/>
  <c r="Q31" i="5"/>
  <c r="N31" i="5"/>
  <c r="K31" i="5"/>
  <c r="T30" i="5"/>
  <c r="Q30" i="5"/>
  <c r="N30" i="5"/>
  <c r="K30" i="5"/>
  <c r="T29" i="5"/>
  <c r="Q29" i="5"/>
  <c r="N29" i="5"/>
  <c r="K29" i="5"/>
  <c r="I28" i="5"/>
  <c r="T27" i="5"/>
  <c r="Q27" i="5"/>
  <c r="N27" i="5"/>
  <c r="K27" i="5"/>
  <c r="T23" i="5"/>
  <c r="U23" i="5" s="1"/>
  <c r="Q23" i="5"/>
  <c r="R23" i="5" s="1"/>
  <c r="N23" i="5"/>
  <c r="O23" i="5" s="1"/>
  <c r="K23" i="5"/>
  <c r="L23" i="5" s="1"/>
  <c r="T13" i="5"/>
  <c r="Q13" i="5"/>
  <c r="N13" i="5"/>
  <c r="K13" i="5"/>
  <c r="T10" i="5"/>
  <c r="Q10" i="5"/>
  <c r="N10" i="5"/>
  <c r="T8" i="5"/>
  <c r="Q8" i="5"/>
  <c r="N8" i="5"/>
  <c r="K8" i="5"/>
  <c r="T6" i="5"/>
  <c r="Q6" i="5"/>
  <c r="N6" i="5"/>
  <c r="K6" i="5"/>
  <c r="W38" i="6"/>
  <c r="T38" i="6"/>
  <c r="Q38" i="6"/>
  <c r="N38" i="6"/>
  <c r="W37" i="6"/>
  <c r="T37" i="6"/>
  <c r="Q37" i="6"/>
  <c r="N37" i="6"/>
  <c r="O37" i="6" s="1"/>
  <c r="W36" i="6"/>
  <c r="T36" i="6"/>
  <c r="Q36" i="6"/>
  <c r="N36" i="6"/>
  <c r="W35" i="6"/>
  <c r="T35" i="6"/>
  <c r="Q35" i="6"/>
  <c r="W34" i="6"/>
  <c r="X34" i="6" s="1"/>
  <c r="T34" i="6"/>
  <c r="U34" i="6" s="1"/>
  <c r="Q34" i="6"/>
  <c r="R34" i="6" s="1"/>
  <c r="N34" i="6"/>
  <c r="O34" i="6" s="1"/>
  <c r="W33" i="6"/>
  <c r="T33" i="6"/>
  <c r="Q33" i="6"/>
  <c r="N33" i="6"/>
  <c r="W32" i="6"/>
  <c r="T32" i="6"/>
  <c r="Q32" i="6"/>
  <c r="N32" i="6"/>
  <c r="W30" i="6"/>
  <c r="T30" i="6"/>
  <c r="Q30" i="6"/>
  <c r="N30" i="6"/>
  <c r="W28" i="6"/>
  <c r="X28" i="6" s="1"/>
  <c r="T28" i="6"/>
  <c r="U28" i="6" s="1"/>
  <c r="Q28" i="6"/>
  <c r="R28" i="6" s="1"/>
  <c r="N28" i="6"/>
  <c r="O28" i="6" s="1"/>
  <c r="W24" i="6"/>
  <c r="T24" i="6"/>
  <c r="Q24" i="6"/>
  <c r="N24" i="6"/>
  <c r="W23" i="6"/>
  <c r="T23" i="6"/>
  <c r="Q23" i="6"/>
  <c r="N23" i="6"/>
  <c r="W22" i="6"/>
  <c r="T22" i="6"/>
  <c r="Q22" i="6"/>
  <c r="N22" i="6"/>
  <c r="W21" i="6"/>
  <c r="T21" i="6"/>
  <c r="Q21" i="6"/>
  <c r="N21" i="6"/>
  <c r="W16" i="6"/>
  <c r="X16" i="6" s="1"/>
  <c r="T16" i="6"/>
  <c r="U16" i="6" s="1"/>
  <c r="Q16" i="6"/>
  <c r="R16" i="6" s="1"/>
  <c r="N16" i="6"/>
  <c r="O16" i="6" s="1"/>
  <c r="W14" i="6"/>
  <c r="T14" i="6"/>
  <c r="Q14" i="6"/>
  <c r="N14" i="6"/>
  <c r="X13" i="6"/>
  <c r="U13" i="6"/>
  <c r="R13" i="6"/>
  <c r="N12" i="6"/>
  <c r="L28" i="5" l="1"/>
  <c r="Q10" i="6"/>
  <c r="W10" i="6"/>
  <c r="N10" i="6"/>
  <c r="O13" i="6" l="1"/>
  <c r="P29" i="2" l="1"/>
  <c r="Q29" i="2" s="1"/>
  <c r="P9" i="2"/>
  <c r="P10" i="2"/>
  <c r="P11" i="2"/>
  <c r="P12" i="2"/>
  <c r="P13" i="2"/>
  <c r="P14" i="2"/>
  <c r="P15" i="2"/>
  <c r="P16" i="2"/>
  <c r="P17" i="2"/>
  <c r="P18" i="2"/>
  <c r="P19" i="2"/>
  <c r="P20" i="2"/>
  <c r="P23" i="2"/>
  <c r="P24" i="2"/>
  <c r="P25" i="2"/>
  <c r="P26" i="2"/>
  <c r="P27" i="2"/>
  <c r="P28" i="2"/>
  <c r="P30" i="2"/>
  <c r="P31" i="2"/>
  <c r="P32" i="2"/>
  <c r="P33" i="2"/>
  <c r="P34" i="2"/>
  <c r="P35" i="2"/>
  <c r="P36" i="2"/>
  <c r="P37" i="2"/>
  <c r="P38" i="2"/>
  <c r="P39" i="2"/>
  <c r="P40" i="2"/>
  <c r="P41" i="2"/>
  <c r="P42" i="2"/>
  <c r="P43" i="2"/>
  <c r="P44" i="2"/>
  <c r="P45" i="2"/>
  <c r="P46" i="2"/>
  <c r="P47" i="2"/>
  <c r="P48" i="2"/>
  <c r="Q48" i="2" s="1"/>
  <c r="P49" i="2"/>
  <c r="Q49" i="2" s="1"/>
  <c r="P50" i="2"/>
  <c r="Q50" i="2" s="1"/>
  <c r="P51" i="2"/>
  <c r="Q51" i="2" s="1"/>
  <c r="P52" i="2"/>
  <c r="Q52" i="2" s="1"/>
  <c r="P53" i="2"/>
  <c r="Q53" i="2" s="1"/>
  <c r="P54" i="2"/>
  <c r="Q54" i="2" s="1"/>
  <c r="P55" i="2"/>
  <c r="Q55" i="2" s="1"/>
  <c r="P58" i="2"/>
  <c r="Q58" i="2" s="1"/>
  <c r="P59" i="2"/>
  <c r="Q59" i="2" s="1"/>
  <c r="P60" i="2"/>
  <c r="Q60" i="2" s="1"/>
  <c r="P61" i="2"/>
  <c r="Q61" i="2" s="1"/>
  <c r="P62" i="2"/>
  <c r="Q62" i="2" s="1"/>
  <c r="P63" i="2"/>
  <c r="Q63" i="2" s="1"/>
  <c r="P64" i="2"/>
  <c r="Q64" i="2" s="1"/>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32" i="2"/>
  <c r="P133" i="2"/>
  <c r="P134" i="2"/>
  <c r="P135" i="2"/>
  <c r="P139" i="2"/>
  <c r="P141" i="2"/>
  <c r="P142" i="2"/>
  <c r="P143" i="2"/>
  <c r="P144" i="2"/>
  <c r="P145" i="2"/>
  <c r="P146" i="2"/>
  <c r="P147" i="2"/>
  <c r="P148" i="2"/>
  <c r="P149" i="2"/>
  <c r="P150" i="2"/>
  <c r="P151" i="2"/>
  <c r="P152" i="2"/>
  <c r="P153" i="2"/>
  <c r="P154" i="2"/>
  <c r="P155" i="2"/>
  <c r="P156" i="2"/>
  <c r="P157" i="2"/>
  <c r="P159" i="2"/>
  <c r="P160" i="2"/>
  <c r="P162" i="2"/>
  <c r="P164" i="2"/>
  <c r="P165" i="2"/>
  <c r="P166" i="2"/>
  <c r="P167" i="2"/>
  <c r="P168" i="2"/>
  <c r="P169" i="2"/>
  <c r="P170" i="2"/>
  <c r="P171" i="2"/>
  <c r="P172" i="2"/>
  <c r="P173" i="2"/>
  <c r="P174" i="2"/>
  <c r="P175" i="2"/>
  <c r="P176" i="2"/>
  <c r="P177" i="2"/>
  <c r="P178" i="2"/>
  <c r="P179" i="2"/>
  <c r="P180" i="2"/>
  <c r="P181" i="2"/>
  <c r="P182" i="2"/>
  <c r="Q182" i="2" s="1"/>
  <c r="P183" i="2"/>
  <c r="Q183" i="2" s="1"/>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41" i="2"/>
  <c r="P239" i="2"/>
  <c r="P242" i="2"/>
  <c r="P244" i="2"/>
  <c r="P245" i="2"/>
  <c r="P246" i="2"/>
  <c r="P247" i="2"/>
  <c r="P248" i="2"/>
  <c r="P249" i="2"/>
  <c r="P250" i="2"/>
  <c r="P251" i="2"/>
  <c r="P255" i="2"/>
  <c r="P262" i="2"/>
  <c r="P263" i="2"/>
  <c r="P264" i="2"/>
  <c r="P265" i="2"/>
  <c r="P266" i="2"/>
  <c r="P267" i="2"/>
  <c r="P268" i="2"/>
  <c r="P269" i="2"/>
  <c r="P270" i="2"/>
  <c r="P271" i="2"/>
  <c r="P274" i="2"/>
  <c r="P278" i="2"/>
  <c r="P280" i="2"/>
  <c r="P281" i="2"/>
  <c r="P282" i="2"/>
  <c r="P283" i="2"/>
  <c r="P284" i="2"/>
  <c r="P285" i="2"/>
  <c r="P286" i="2"/>
  <c r="P287" i="2"/>
  <c r="P288" i="2"/>
  <c r="P289" i="2"/>
  <c r="P290" i="2"/>
  <c r="P291" i="2"/>
  <c r="P292" i="2"/>
  <c r="P293" i="2"/>
  <c r="P295" i="2"/>
  <c r="P296" i="2"/>
  <c r="P297" i="2"/>
  <c r="P298" i="2"/>
  <c r="P299" i="2"/>
  <c r="P300"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70" i="2"/>
  <c r="P371" i="2"/>
  <c r="P372" i="2"/>
  <c r="P373" i="2"/>
  <c r="P374" i="2"/>
  <c r="P375" i="2"/>
  <c r="P376" i="2"/>
  <c r="P377" i="2"/>
  <c r="P378" i="2"/>
  <c r="P379" i="2"/>
  <c r="P381" i="2"/>
  <c r="P382" i="2"/>
  <c r="P383" i="2"/>
  <c r="P384" i="2"/>
  <c r="P385" i="2"/>
  <c r="P386" i="2"/>
  <c r="P387" i="2"/>
  <c r="P388" i="2"/>
  <c r="P389" i="2"/>
  <c r="P390" i="2"/>
  <c r="P391" i="2"/>
  <c r="P392" i="2"/>
  <c r="P393" i="2"/>
  <c r="P369" i="2"/>
  <c r="P394" i="2"/>
  <c r="P395" i="2"/>
  <c r="P396" i="2"/>
  <c r="P397" i="2"/>
  <c r="P400" i="2"/>
  <c r="P401" i="2"/>
  <c r="P402" i="2"/>
  <c r="P403" i="2"/>
  <c r="P404" i="2"/>
  <c r="P405" i="2"/>
  <c r="P407" i="2"/>
  <c r="P412" i="2"/>
  <c r="Q412" i="2" s="1"/>
  <c r="P413" i="2"/>
  <c r="Q413" i="2" s="1"/>
  <c r="P414" i="2"/>
  <c r="P415" i="2"/>
  <c r="P416" i="2"/>
  <c r="P417" i="2"/>
  <c r="P418" i="2"/>
  <c r="P419" i="2"/>
  <c r="P422" i="2"/>
  <c r="P423" i="2"/>
  <c r="P424" i="2"/>
  <c r="P425" i="2"/>
  <c r="P426" i="2"/>
  <c r="P428" i="2"/>
  <c r="P429" i="2"/>
  <c r="P431" i="2"/>
  <c r="P432" i="2"/>
  <c r="P433" i="2"/>
  <c r="P435" i="2"/>
  <c r="P436" i="2"/>
  <c r="P437" i="2"/>
  <c r="P438" i="2"/>
  <c r="Q438" i="2" s="1"/>
  <c r="P439" i="2"/>
  <c r="Q439" i="2" s="1"/>
  <c r="P440" i="2"/>
  <c r="Q440" i="2" s="1"/>
  <c r="P441" i="2"/>
  <c r="Q441" i="2" s="1"/>
  <c r="P442" i="2"/>
  <c r="Q442" i="2" s="1"/>
  <c r="P443" i="2"/>
  <c r="Q443" i="2" s="1"/>
  <c r="P444" i="2"/>
  <c r="Q444" i="2" s="1"/>
  <c r="P445" i="2"/>
  <c r="Q445" i="2" s="1"/>
  <c r="P447" i="2"/>
  <c r="Q447" i="2" s="1"/>
  <c r="P448" i="2"/>
  <c r="Q448" i="2" s="1"/>
  <c r="P449" i="2"/>
  <c r="Q449" i="2" s="1"/>
  <c r="P450" i="2"/>
  <c r="Q450" i="2" s="1"/>
  <c r="P451" i="2"/>
  <c r="Q451" i="2" s="1"/>
  <c r="P452" i="2"/>
  <c r="Q452" i="2" s="1"/>
  <c r="P453" i="2"/>
  <c r="Q453" i="2" s="1"/>
  <c r="P454" i="2"/>
  <c r="Q454" i="2" s="1"/>
  <c r="P455" i="2"/>
  <c r="Q455" i="2" s="1"/>
  <c r="P456" i="2"/>
  <c r="Q456" i="2" s="1"/>
  <c r="P457" i="2"/>
  <c r="Q457" i="2" s="1"/>
  <c r="P458" i="2"/>
  <c r="Q458" i="2" s="1"/>
  <c r="P459" i="2"/>
  <c r="Q459" i="2" s="1"/>
  <c r="P460" i="2"/>
  <c r="Q460" i="2" s="1"/>
  <c r="P461" i="2"/>
  <c r="Q461" i="2" s="1"/>
  <c r="P462" i="2"/>
  <c r="Q462" i="2" s="1"/>
  <c r="P463" i="2"/>
  <c r="Q463" i="2" s="1"/>
  <c r="P464" i="2"/>
  <c r="Q464" i="2" s="1"/>
  <c r="P465" i="2"/>
  <c r="Q465" i="2" s="1"/>
  <c r="P466" i="2"/>
  <c r="Q466" i="2" s="1"/>
  <c r="P467" i="2"/>
  <c r="Q467" i="2" s="1"/>
  <c r="P468" i="2"/>
  <c r="Q468" i="2" s="1"/>
  <c r="P469" i="2"/>
  <c r="Q469" i="2" s="1"/>
  <c r="P470" i="2"/>
  <c r="Q470" i="2" s="1"/>
  <c r="P471" i="2"/>
  <c r="Q471" i="2" s="1"/>
  <c r="P472" i="2"/>
  <c r="Q472" i="2" s="1"/>
  <c r="P473" i="2"/>
  <c r="Q473" i="2" s="1"/>
  <c r="P474" i="2"/>
  <c r="Q474" i="2" s="1"/>
  <c r="P475" i="2"/>
  <c r="Q475" i="2" s="1"/>
  <c r="P476" i="2"/>
  <c r="Q476" i="2" s="1"/>
  <c r="P477" i="2"/>
  <c r="Q477" i="2" s="1"/>
  <c r="P478" i="2"/>
  <c r="Q478" i="2" s="1"/>
  <c r="P479" i="2"/>
  <c r="Q479" i="2" s="1"/>
  <c r="P480" i="2"/>
  <c r="Q480" i="2" s="1"/>
  <c r="P481" i="2"/>
  <c r="Q481" i="2" s="1"/>
  <c r="P482" i="2"/>
  <c r="Q482" i="2" s="1"/>
  <c r="P483" i="2"/>
  <c r="Q483" i="2" s="1"/>
  <c r="P484" i="2"/>
  <c r="Q484" i="2" s="1"/>
  <c r="P485" i="2"/>
  <c r="Q485" i="2" s="1"/>
  <c r="P486" i="2"/>
  <c r="Q486" i="2" s="1"/>
  <c r="P487" i="2"/>
  <c r="Q487" i="2" s="1"/>
  <c r="P488" i="2"/>
  <c r="Q488" i="2" s="1"/>
  <c r="P489" i="2"/>
  <c r="Q489" i="2" s="1"/>
  <c r="P490" i="2"/>
  <c r="Q490" i="2" s="1"/>
  <c r="P491" i="2"/>
  <c r="Q491" i="2" s="1"/>
  <c r="P492" i="2"/>
  <c r="P493" i="2"/>
  <c r="P494" i="2"/>
  <c r="P495" i="2"/>
  <c r="P496" i="2"/>
  <c r="P497" i="2"/>
  <c r="P498" i="2"/>
  <c r="P499" i="2"/>
  <c r="P500" i="2"/>
  <c r="P501" i="2"/>
  <c r="P502" i="2"/>
  <c r="P503" i="2"/>
  <c r="P504" i="2"/>
  <c r="P505" i="2"/>
  <c r="P506" i="2"/>
  <c r="P507" i="2"/>
  <c r="P508" i="2"/>
  <c r="Q500" i="2" l="1"/>
  <c r="Q499" i="2"/>
  <c r="Q498" i="2"/>
  <c r="Q497" i="2"/>
  <c r="Q496" i="2"/>
  <c r="Q495" i="2"/>
  <c r="Q494" i="2"/>
  <c r="Q493" i="2"/>
  <c r="Q492" i="2"/>
  <c r="Q508" i="2"/>
  <c r="Q507" i="2"/>
  <c r="Q506" i="2"/>
  <c r="Q505" i="2"/>
  <c r="Q504" i="2"/>
  <c r="Q503" i="2"/>
  <c r="T10" i="6" l="1"/>
  <c r="Q351" i="2"/>
  <c r="Q350" i="2"/>
  <c r="Q349" i="2"/>
  <c r="Q348" i="2"/>
  <c r="Q347" i="2"/>
  <c r="Q346" i="2"/>
  <c r="Q345" i="2"/>
  <c r="Q334" i="2"/>
  <c r="Q333" i="2"/>
  <c r="Q336" i="2"/>
  <c r="Q332" i="2"/>
  <c r="Q331" i="2"/>
  <c r="Q319" i="2"/>
  <c r="Q318" i="2"/>
  <c r="Q315" i="2"/>
  <c r="Q295" i="2"/>
  <c r="Q172" i="2" l="1"/>
  <c r="Q171" i="2"/>
  <c r="E8" i="10" l="1"/>
  <c r="K7" i="10"/>
  <c r="C29" i="10" l="1"/>
  <c r="C24" i="10"/>
  <c r="L9" i="6"/>
  <c r="O9" i="6" s="1"/>
  <c r="L19" i="6" l="1"/>
  <c r="O30" i="5"/>
  <c r="O24" i="5"/>
  <c r="O22" i="5"/>
  <c r="O21" i="5"/>
  <c r="O20" i="5"/>
  <c r="X15" i="6"/>
  <c r="U15" i="6"/>
  <c r="R15" i="6"/>
  <c r="O15" i="6"/>
  <c r="L24" i="9"/>
  <c r="L22" i="9"/>
  <c r="L21" i="9"/>
  <c r="L20" i="9"/>
  <c r="L19" i="9"/>
  <c r="Q165" i="2"/>
  <c r="L18" i="9"/>
  <c r="L17" i="9"/>
  <c r="L16" i="9"/>
  <c r="L15" i="9"/>
  <c r="L14" i="9"/>
  <c r="L13" i="9"/>
  <c r="L12" i="9"/>
  <c r="L11" i="9"/>
  <c r="L10" i="9"/>
  <c r="L9" i="9"/>
  <c r="L8" i="9"/>
  <c r="I31" i="5"/>
  <c r="I30" i="5"/>
  <c r="U30" i="5" s="1"/>
  <c r="I29" i="5"/>
  <c r="U28" i="5"/>
  <c r="I27" i="5"/>
  <c r="I26" i="5"/>
  <c r="I25" i="5"/>
  <c r="I24" i="5"/>
  <c r="U24" i="5" s="1"/>
  <c r="L22" i="5"/>
  <c r="U21" i="5"/>
  <c r="I20" i="5"/>
  <c r="U20" i="5" s="1"/>
  <c r="I10" i="5"/>
  <c r="L10" i="5" s="1"/>
  <c r="I17" i="5"/>
  <c r="I15" i="5"/>
  <c r="I14" i="5"/>
  <c r="I13" i="5"/>
  <c r="I11" i="5"/>
  <c r="I12" i="5"/>
  <c r="I9" i="5"/>
  <c r="U9" i="5" s="1"/>
  <c r="I8" i="5"/>
  <c r="I7" i="5"/>
  <c r="I6" i="5"/>
  <c r="L38" i="6"/>
  <c r="L36" i="6"/>
  <c r="L35" i="6"/>
  <c r="Q134" i="2"/>
  <c r="M34" i="6"/>
  <c r="L33" i="6"/>
  <c r="L32" i="6"/>
  <c r="O32" i="6" s="1"/>
  <c r="L31" i="6"/>
  <c r="L30" i="6"/>
  <c r="L29" i="6"/>
  <c r="O29" i="6" s="1"/>
  <c r="L28" i="6"/>
  <c r="L27" i="6"/>
  <c r="L26" i="6"/>
  <c r="L25" i="6"/>
  <c r="O25" i="6" s="1"/>
  <c r="L24" i="6"/>
  <c r="L23" i="6"/>
  <c r="Q368" i="2"/>
  <c r="X18" i="9" l="1"/>
  <c r="O18" i="9"/>
  <c r="R18" i="9"/>
  <c r="U18" i="9"/>
  <c r="U7" i="5"/>
  <c r="R7" i="5"/>
  <c r="L7" i="5"/>
  <c r="O7" i="5"/>
  <c r="O19" i="9"/>
  <c r="X19" i="9"/>
  <c r="R19" i="9"/>
  <c r="U19" i="9"/>
  <c r="R24" i="9"/>
  <c r="U24" i="9"/>
  <c r="O24" i="9"/>
  <c r="X24" i="9"/>
  <c r="U20" i="9"/>
  <c r="R20" i="9"/>
  <c r="O20" i="9"/>
  <c r="X20" i="9"/>
  <c r="R25" i="9"/>
  <c r="X25" i="9"/>
  <c r="U25" i="9"/>
  <c r="O25" i="9"/>
  <c r="U21" i="9"/>
  <c r="R21" i="9"/>
  <c r="X21" i="9"/>
  <c r="O21" i="9"/>
  <c r="U22" i="9"/>
  <c r="O22" i="9"/>
  <c r="X22" i="9"/>
  <c r="R22" i="9"/>
  <c r="X16" i="9"/>
  <c r="U16" i="9"/>
  <c r="O16" i="9"/>
  <c r="R16" i="9"/>
  <c r="U17" i="9"/>
  <c r="X17" i="9"/>
  <c r="O17" i="9"/>
  <c r="R17" i="9"/>
  <c r="O15" i="9"/>
  <c r="X15" i="9"/>
  <c r="R15" i="9"/>
  <c r="U15" i="9"/>
  <c r="R12" i="9"/>
  <c r="O12" i="9"/>
  <c r="X12" i="9"/>
  <c r="U12" i="9"/>
  <c r="O13" i="9"/>
  <c r="X13" i="9"/>
  <c r="U13" i="9"/>
  <c r="R13" i="9"/>
  <c r="R14" i="9"/>
  <c r="U14" i="9"/>
  <c r="O14" i="9"/>
  <c r="X14" i="9"/>
  <c r="U11" i="9"/>
  <c r="O11" i="9"/>
  <c r="X11" i="9"/>
  <c r="R11" i="9"/>
  <c r="R10" i="9"/>
  <c r="O10" i="9"/>
  <c r="X10" i="9"/>
  <c r="U10" i="9"/>
  <c r="U9" i="9"/>
  <c r="X9" i="9"/>
  <c r="O9" i="9"/>
  <c r="R9" i="9"/>
  <c r="R8" i="9"/>
  <c r="O8" i="9"/>
  <c r="X8" i="9"/>
  <c r="U8" i="9"/>
  <c r="O25" i="5"/>
  <c r="L25" i="5"/>
  <c r="U25" i="5"/>
  <c r="R25" i="5"/>
  <c r="L29" i="5"/>
  <c r="U29" i="5"/>
  <c r="R29" i="5"/>
  <c r="O29" i="5"/>
  <c r="U26" i="5"/>
  <c r="R26" i="5"/>
  <c r="L26" i="5"/>
  <c r="O26" i="5"/>
  <c r="O27" i="5"/>
  <c r="U27" i="5"/>
  <c r="R27" i="5"/>
  <c r="L27" i="5"/>
  <c r="O31" i="5"/>
  <c r="L31" i="5"/>
  <c r="U31" i="5"/>
  <c r="R31" i="5"/>
  <c r="U10" i="5"/>
  <c r="R10" i="5"/>
  <c r="O10" i="5"/>
  <c r="U15" i="5"/>
  <c r="R15" i="5"/>
  <c r="O15" i="5"/>
  <c r="L15" i="5"/>
  <c r="R13" i="5"/>
  <c r="O13" i="5"/>
  <c r="L13" i="5"/>
  <c r="U13" i="5"/>
  <c r="O14" i="5"/>
  <c r="R14" i="5"/>
  <c r="U14" i="5"/>
  <c r="L14" i="5"/>
  <c r="O12" i="5"/>
  <c r="L12" i="5"/>
  <c r="U12" i="5"/>
  <c r="R12" i="5"/>
  <c r="U11" i="5"/>
  <c r="R11" i="5"/>
  <c r="O11" i="5"/>
  <c r="L11" i="5"/>
  <c r="U17" i="5"/>
  <c r="O17" i="5"/>
  <c r="R17" i="5"/>
  <c r="L17" i="5"/>
  <c r="R8" i="5"/>
  <c r="O8" i="5"/>
  <c r="U8" i="5"/>
  <c r="L8" i="5"/>
  <c r="R9" i="5"/>
  <c r="O9" i="5"/>
  <c r="L9" i="5"/>
  <c r="R6" i="5"/>
  <c r="O6" i="5"/>
  <c r="U6" i="5"/>
  <c r="L6" i="5"/>
  <c r="R38" i="6"/>
  <c r="U38" i="6"/>
  <c r="O38" i="6"/>
  <c r="X38" i="6"/>
  <c r="X37" i="6"/>
  <c r="R37" i="6"/>
  <c r="U37" i="6"/>
  <c r="X35" i="6"/>
  <c r="O35" i="6"/>
  <c r="R35" i="6"/>
  <c r="U35" i="6"/>
  <c r="X36" i="6"/>
  <c r="O36" i="6"/>
  <c r="R36" i="6"/>
  <c r="U36" i="6"/>
  <c r="U33" i="6"/>
  <c r="R33" i="6"/>
  <c r="X33" i="6"/>
  <c r="O33" i="6"/>
  <c r="R32" i="6"/>
  <c r="U32" i="6"/>
  <c r="X32" i="6"/>
  <c r="R31" i="6"/>
  <c r="U31" i="6"/>
  <c r="X31" i="6"/>
  <c r="O31" i="6"/>
  <c r="O30" i="6"/>
  <c r="R30" i="6"/>
  <c r="U30" i="6"/>
  <c r="X30" i="6"/>
  <c r="R27" i="6"/>
  <c r="U27" i="6"/>
  <c r="X27" i="6"/>
  <c r="O27" i="6"/>
  <c r="R26" i="6"/>
  <c r="X26" i="6"/>
  <c r="O26" i="6"/>
  <c r="U26" i="6"/>
  <c r="X25" i="6"/>
  <c r="U25" i="6"/>
  <c r="R25" i="6"/>
  <c r="O24" i="6"/>
  <c r="R24" i="6"/>
  <c r="U24" i="6"/>
  <c r="X24" i="6"/>
  <c r="U23" i="6"/>
  <c r="R23" i="6"/>
  <c r="O23" i="6"/>
  <c r="X23" i="6"/>
  <c r="R29" i="6"/>
  <c r="X29" i="6"/>
  <c r="U29" i="6"/>
  <c r="L24" i="5"/>
  <c r="L30" i="5"/>
  <c r="L21" i="5"/>
  <c r="R21" i="5"/>
  <c r="R22" i="5"/>
  <c r="R28" i="5"/>
  <c r="L20" i="5"/>
  <c r="R20" i="5"/>
  <c r="U22" i="5"/>
  <c r="R24" i="5"/>
  <c r="R30" i="5"/>
  <c r="O28" i="5"/>
  <c r="Q364" i="2"/>
  <c r="Q363" i="2"/>
  <c r="Q361" i="2"/>
  <c r="Q360" i="2"/>
  <c r="Q359" i="2"/>
  <c r="Q358" i="2"/>
  <c r="Q357" i="2"/>
  <c r="Q356" i="2"/>
  <c r="Q355" i="2"/>
  <c r="Q354" i="2"/>
  <c r="Q353" i="2"/>
  <c r="Q343" i="2"/>
  <c r="Q342" i="2"/>
  <c r="Q341" i="2"/>
  <c r="O29" i="9" l="1"/>
  <c r="O28" i="9"/>
  <c r="O27" i="9"/>
  <c r="R28" i="9"/>
  <c r="X28" i="9"/>
  <c r="O33" i="5"/>
  <c r="U29" i="9"/>
  <c r="R26" i="9"/>
  <c r="R27" i="9"/>
  <c r="X26" i="9"/>
  <c r="X27" i="9"/>
  <c r="L33" i="5"/>
  <c r="R34" i="5"/>
  <c r="R29" i="9"/>
  <c r="O26" i="9"/>
  <c r="X29" i="9"/>
  <c r="U33" i="5"/>
  <c r="R35" i="5"/>
  <c r="U28" i="9"/>
  <c r="U26" i="9"/>
  <c r="U27" i="9"/>
  <c r="R33" i="5"/>
  <c r="U35" i="5"/>
  <c r="O34" i="5"/>
  <c r="O35" i="5"/>
  <c r="L34" i="5"/>
  <c r="L35" i="5"/>
  <c r="U34" i="5"/>
  <c r="Q329" i="2"/>
  <c r="Q328" i="2"/>
  <c r="Q326" i="2"/>
  <c r="Q327" i="2"/>
  <c r="Q291" i="2"/>
  <c r="Q299" i="2"/>
  <c r="Q317" i="2"/>
  <c r="Q314" i="2"/>
  <c r="Q313" i="2"/>
  <c r="Q312" i="2"/>
  <c r="Q311" i="2"/>
  <c r="Q310" i="2"/>
  <c r="Q320" i="2"/>
  <c r="Q316" i="2"/>
  <c r="Q304" i="2"/>
  <c r="Q303" i="2"/>
  <c r="Q302" i="2"/>
  <c r="Q300" i="2"/>
  <c r="Q298" i="2"/>
  <c r="Q296" i="2"/>
  <c r="Q293" i="2"/>
  <c r="Q286" i="2"/>
  <c r="Q284" i="2"/>
  <c r="Q283" i="2"/>
  <c r="L14" i="6"/>
  <c r="R14" i="6" l="1"/>
  <c r="O14" i="6"/>
  <c r="U14" i="6"/>
  <c r="X14" i="6"/>
  <c r="Y28" i="9"/>
  <c r="V35" i="5"/>
  <c r="C6" i="10" s="1"/>
  <c r="Y29" i="9"/>
  <c r="Y27" i="9"/>
  <c r="V34" i="5"/>
  <c r="Q188" i="2"/>
  <c r="L22" i="6"/>
  <c r="L21" i="6"/>
  <c r="L20" i="6"/>
  <c r="L17" i="6"/>
  <c r="L13" i="6"/>
  <c r="L12" i="6"/>
  <c r="L11" i="6"/>
  <c r="L10" i="6"/>
  <c r="F8" i="5"/>
  <c r="I15" i="6"/>
  <c r="Q181" i="2"/>
  <c r="Q431" i="2"/>
  <c r="Q432" i="2"/>
  <c r="Q435" i="2"/>
  <c r="Q436" i="2"/>
  <c r="Q437" i="2"/>
  <c r="Q501" i="2"/>
  <c r="Q249" i="2"/>
  <c r="Q255" i="2"/>
  <c r="Q262" i="2"/>
  <c r="Q281" i="2"/>
  <c r="Q268" i="2"/>
  <c r="Q271" i="2"/>
  <c r="Q288" i="2"/>
  <c r="Q377" i="2"/>
  <c r="Q378" i="2"/>
  <c r="Q389" i="2"/>
  <c r="Q392" i="2"/>
  <c r="Q394" i="2"/>
  <c r="Q397" i="2"/>
  <c r="Q400" i="2"/>
  <c r="Q401" i="2"/>
  <c r="Q402" i="2"/>
  <c r="Q403" i="2"/>
  <c r="Q404" i="2"/>
  <c r="Q405" i="2"/>
  <c r="Q107" i="2"/>
  <c r="Q108" i="2"/>
  <c r="Q109" i="2"/>
  <c r="Q110" i="2"/>
  <c r="Q111" i="2"/>
  <c r="Q112" i="2"/>
  <c r="Q113" i="2"/>
  <c r="Q114" i="2"/>
  <c r="Q115" i="2"/>
  <c r="Q116" i="2"/>
  <c r="Q117" i="2"/>
  <c r="Q118" i="2"/>
  <c r="Q119" i="2"/>
  <c r="Q120" i="2"/>
  <c r="Q146" i="2"/>
  <c r="Q147" i="2"/>
  <c r="Q148" i="2"/>
  <c r="Q149" i="2"/>
  <c r="Q156" i="2"/>
  <c r="Q157" i="2"/>
  <c r="Q159" i="2"/>
  <c r="Q177" i="2"/>
  <c r="Q180" i="2"/>
  <c r="Q184" i="2"/>
  <c r="Q185" i="2"/>
  <c r="Q186" i="2"/>
  <c r="Q187" i="2"/>
  <c r="Q189" i="2"/>
  <c r="Q190" i="2"/>
  <c r="Q191" i="2"/>
  <c r="Q192" i="2"/>
  <c r="Q195" i="2"/>
  <c r="Q203" i="2"/>
  <c r="Q204" i="2"/>
  <c r="Q206" i="2"/>
  <c r="Q207" i="2"/>
  <c r="Q208" i="2"/>
  <c r="Q209"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41" i="2"/>
  <c r="Q239" i="2"/>
  <c r="Q242" i="2"/>
  <c r="Q9" i="2"/>
  <c r="Q10" i="2"/>
  <c r="Q11" i="2"/>
  <c r="Q12" i="2"/>
  <c r="Q13" i="2"/>
  <c r="Q14" i="2"/>
  <c r="Q15" i="2"/>
  <c r="Q16" i="2"/>
  <c r="Q17" i="2"/>
  <c r="Q18" i="2"/>
  <c r="Q19" i="2"/>
  <c r="Q28" i="2"/>
  <c r="Q30" i="2"/>
  <c r="Q31" i="2"/>
  <c r="Q32" i="2"/>
  <c r="Q33" i="2"/>
  <c r="Q34" i="2"/>
  <c r="Q35" i="2"/>
  <c r="Q36" i="2"/>
  <c r="Q37" i="2"/>
  <c r="Q43" i="2"/>
  <c r="Q44" i="2"/>
  <c r="Q45" i="2"/>
  <c r="Q46" i="2"/>
  <c r="Q47"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7" i="2"/>
  <c r="Q98" i="2"/>
  <c r="Q99" i="2"/>
  <c r="Q102" i="2"/>
  <c r="Q169" i="2"/>
  <c r="Q168" i="2"/>
  <c r="Q167" i="2"/>
  <c r="Q166" i="2"/>
  <c r="Q164" i="2"/>
  <c r="Q162" i="2"/>
  <c r="Q160" i="2"/>
  <c r="Q155" i="2"/>
  <c r="Q145" i="2"/>
  <c r="Q144" i="2"/>
  <c r="Q143" i="2"/>
  <c r="Q142" i="2"/>
  <c r="Q141" i="2"/>
  <c r="Q139" i="2"/>
  <c r="Q135" i="2"/>
  <c r="Q133" i="2"/>
  <c r="Q390" i="2"/>
  <c r="Q391" i="2"/>
  <c r="Q393" i="2"/>
  <c r="Q369" i="2"/>
  <c r="Q395" i="2"/>
  <c r="Q396" i="2"/>
  <c r="Q244" i="2"/>
  <c r="Q245" i="2"/>
  <c r="Q246" i="2"/>
  <c r="Q247" i="2"/>
  <c r="Q248" i="2"/>
  <c r="Q250" i="2"/>
  <c r="Q251" i="2"/>
  <c r="Q263" i="2"/>
  <c r="Q264" i="2"/>
  <c r="Q265" i="2"/>
  <c r="Q266" i="2"/>
  <c r="Q267" i="2"/>
  <c r="Q269" i="2"/>
  <c r="Q270" i="2"/>
  <c r="Q274" i="2"/>
  <c r="Q278" i="2"/>
  <c r="Q280" i="2"/>
  <c r="Q282" i="2"/>
  <c r="Q285" i="2"/>
  <c r="Q287" i="2"/>
  <c r="Q289" i="2"/>
  <c r="Q290" i="2"/>
  <c r="Q292" i="2"/>
  <c r="Q297" i="2"/>
  <c r="Q305" i="2"/>
  <c r="Q306" i="2"/>
  <c r="Q307" i="2"/>
  <c r="Q308" i="2"/>
  <c r="Q309" i="2"/>
  <c r="Q321" i="2"/>
  <c r="Q322" i="2"/>
  <c r="Q323" i="2"/>
  <c r="Q324" i="2"/>
  <c r="Q325" i="2"/>
  <c r="Q330" i="2"/>
  <c r="Q335" i="2"/>
  <c r="Q337" i="2"/>
  <c r="Q338" i="2"/>
  <c r="Q339" i="2"/>
  <c r="Q340" i="2"/>
  <c r="Q344" i="2"/>
  <c r="Q352" i="2"/>
  <c r="Q362" i="2"/>
  <c r="Q365" i="2"/>
  <c r="Q366" i="2"/>
  <c r="Q367" i="2"/>
  <c r="Q370" i="2"/>
  <c r="Q371" i="2"/>
  <c r="Q372" i="2"/>
  <c r="Q373" i="2"/>
  <c r="Q374" i="2"/>
  <c r="Q375" i="2"/>
  <c r="Q376" i="2"/>
  <c r="Q379" i="2"/>
  <c r="Q381" i="2"/>
  <c r="Q382" i="2"/>
  <c r="Q383" i="2"/>
  <c r="Q384" i="2"/>
  <c r="Q385" i="2"/>
  <c r="Q386" i="2"/>
  <c r="Q387" i="2"/>
  <c r="Q388" i="2"/>
  <c r="Q414" i="2"/>
  <c r="Q415" i="2"/>
  <c r="Q416" i="2"/>
  <c r="Q417" i="2"/>
  <c r="Q418" i="2"/>
  <c r="Q419" i="2"/>
  <c r="Q422" i="2"/>
  <c r="Q423" i="2"/>
  <c r="Q424" i="2"/>
  <c r="Q425" i="2"/>
  <c r="Q426" i="2"/>
  <c r="Q428" i="2"/>
  <c r="Q429" i="2"/>
  <c r="Q433" i="2"/>
  <c r="Q205" i="2"/>
  <c r="Q210" i="2"/>
  <c r="Q211" i="2"/>
  <c r="Q96" i="2"/>
  <c r="Q100" i="2"/>
  <c r="Q101" i="2"/>
  <c r="K71" i="2"/>
  <c r="K85" i="2"/>
  <c r="Q20" i="2"/>
  <c r="Q23" i="2"/>
  <c r="Q24" i="2"/>
  <c r="Q25" i="2"/>
  <c r="Q26" i="2"/>
  <c r="Q27" i="2"/>
  <c r="Q38" i="2"/>
  <c r="Q39" i="2"/>
  <c r="Q40" i="2"/>
  <c r="Q41" i="2"/>
  <c r="Q42" i="2"/>
  <c r="P8" i="2"/>
  <c r="Q8" i="2" s="1"/>
  <c r="Q104" i="2"/>
  <c r="Q105" i="2"/>
  <c r="Q106" i="2"/>
  <c r="Q132" i="2"/>
  <c r="Q150" i="2"/>
  <c r="Q151" i="2"/>
  <c r="Q152" i="2"/>
  <c r="Q153" i="2"/>
  <c r="Q154" i="2"/>
  <c r="Q170" i="2"/>
  <c r="Q173" i="2"/>
  <c r="Q174" i="2"/>
  <c r="Q175" i="2"/>
  <c r="Q176" i="2"/>
  <c r="Q178" i="2"/>
  <c r="Q179" i="2"/>
  <c r="Q193" i="2"/>
  <c r="Q194" i="2"/>
  <c r="Q196" i="2"/>
  <c r="Q197" i="2"/>
  <c r="Q198" i="2"/>
  <c r="Q199" i="2"/>
  <c r="Q200" i="2"/>
  <c r="Q201" i="2"/>
  <c r="Q202" i="2"/>
  <c r="Q103" i="2" l="1"/>
  <c r="Q243" i="2"/>
  <c r="V33" i="5"/>
  <c r="H5" i="10" s="1"/>
  <c r="Y26" i="9"/>
  <c r="H6" i="10" s="1"/>
  <c r="O22" i="6"/>
  <c r="U22" i="6"/>
  <c r="R22" i="6"/>
  <c r="X22" i="6"/>
  <c r="U21" i="6"/>
  <c r="R21" i="6"/>
  <c r="O21" i="6"/>
  <c r="X21" i="6"/>
  <c r="U17" i="6"/>
  <c r="O17" i="6"/>
  <c r="X17" i="6"/>
  <c r="R17" i="6"/>
  <c r="U12" i="6"/>
  <c r="O12" i="6"/>
  <c r="X12" i="6"/>
  <c r="R12" i="6"/>
  <c r="X11" i="6"/>
  <c r="U11" i="6"/>
  <c r="R11" i="6"/>
  <c r="R41" i="6" s="1"/>
  <c r="O11" i="6"/>
  <c r="O41" i="6" s="1"/>
  <c r="O10" i="6"/>
  <c r="R10" i="6"/>
  <c r="R42" i="6" s="1"/>
  <c r="Q407" i="2"/>
  <c r="U10" i="6"/>
  <c r="X10" i="6"/>
  <c r="R20" i="6"/>
  <c r="X20" i="6"/>
  <c r="U20" i="6"/>
  <c r="O20" i="6"/>
  <c r="Q502" i="2"/>
  <c r="Q406" i="2" a="1"/>
  <c r="Q406" i="2" s="1"/>
  <c r="O42" i="6" l="1"/>
  <c r="X42" i="6"/>
  <c r="U41" i="6"/>
  <c r="X41" i="6"/>
  <c r="U42" i="6"/>
  <c r="Q509" i="2"/>
  <c r="O40" i="6"/>
  <c r="Y41" i="6" l="1"/>
  <c r="C5" i="10" s="1"/>
  <c r="Y42" i="6"/>
  <c r="C4" i="10" s="1"/>
  <c r="X9" i="6"/>
  <c r="U9" i="6"/>
  <c r="R40" i="6" l="1"/>
  <c r="U40" i="6"/>
  <c r="X40" i="6"/>
  <c r="Y40" i="6" l="1"/>
  <c r="Y39" i="6" s="1"/>
  <c r="C3" i="10" l="1"/>
  <c r="H4" i="10"/>
  <c r="C8" i="10" l="1"/>
  <c r="C26" i="10" s="1"/>
  <c r="C30" i="10" l="1"/>
  <c r="D30" i="10"/>
</calcChain>
</file>

<file path=xl/comments1.xml><?xml version="1.0" encoding="utf-8"?>
<comments xmlns="http://schemas.openxmlformats.org/spreadsheetml/2006/main">
  <authors>
    <author>ANDRES</author>
    <author>Plan de Accion ETITC</author>
  </authors>
  <commentList>
    <comment ref="H20" authorId="0" shapeId="0">
      <text>
        <r>
          <rPr>
            <b/>
            <sz val="9"/>
            <color indexed="81"/>
            <rFont val="Tahoma"/>
            <family val="2"/>
          </rPr>
          <t>Medición meta etsratégica</t>
        </r>
      </text>
    </comment>
    <comment ref="H34" authorId="0" shapeId="0">
      <text>
        <r>
          <rPr>
            <b/>
            <sz val="9"/>
            <color indexed="81"/>
            <rFont val="Tahoma"/>
            <family val="2"/>
          </rPr>
          <t>Medición meta etsratégica</t>
        </r>
      </text>
    </comment>
    <comment ref="H35" authorId="0" shapeId="0">
      <text>
        <r>
          <rPr>
            <b/>
            <sz val="9"/>
            <color indexed="81"/>
            <rFont val="Tahoma"/>
            <family val="2"/>
          </rPr>
          <t>Medición meta etsratégica</t>
        </r>
      </text>
    </comment>
    <comment ref="H37" authorId="0" shapeId="0">
      <text>
        <r>
          <rPr>
            <b/>
            <sz val="9"/>
            <color indexed="81"/>
            <rFont val="Tahoma"/>
            <family val="2"/>
          </rPr>
          <t>Medición meta etsratégica</t>
        </r>
      </text>
    </comment>
    <comment ref="H50" authorId="0" shapeId="0">
      <text>
        <r>
          <rPr>
            <b/>
            <sz val="9"/>
            <color indexed="81"/>
            <rFont val="Tahoma"/>
            <family val="2"/>
          </rPr>
          <t>Medición meta etsratégica</t>
        </r>
      </text>
    </comment>
    <comment ref="H65" authorId="0" shapeId="0">
      <text>
        <r>
          <rPr>
            <b/>
            <sz val="9"/>
            <color indexed="81"/>
            <rFont val="Tahoma"/>
            <family val="2"/>
          </rPr>
          <t>Medición meta etsratégica</t>
        </r>
      </text>
    </comment>
    <comment ref="H84" authorId="0" shapeId="0">
      <text>
        <r>
          <rPr>
            <b/>
            <sz val="9"/>
            <color indexed="81"/>
            <rFont val="Tahoma"/>
            <family val="2"/>
          </rPr>
          <t>Medición meta etsratégica</t>
        </r>
      </text>
    </comment>
    <comment ref="H92" authorId="0" shapeId="0">
      <text>
        <r>
          <rPr>
            <b/>
            <sz val="9"/>
            <color indexed="81"/>
            <rFont val="Tahoma"/>
            <family val="2"/>
          </rPr>
          <t>Medición meta etsratégica</t>
        </r>
      </text>
    </comment>
    <comment ref="H95" authorId="0" shapeId="0">
      <text>
        <r>
          <rPr>
            <b/>
            <sz val="9"/>
            <color indexed="81"/>
            <rFont val="Tahoma"/>
            <family val="2"/>
          </rPr>
          <t>Medición meta etsratégica</t>
        </r>
      </text>
    </comment>
    <comment ref="H96" authorId="0" shapeId="0">
      <text>
        <r>
          <rPr>
            <b/>
            <sz val="9"/>
            <color indexed="81"/>
            <rFont val="Tahoma"/>
            <family val="2"/>
          </rPr>
          <t>Medición meta etsratégica</t>
        </r>
      </text>
    </comment>
    <comment ref="H132" authorId="0" shapeId="0">
      <text>
        <r>
          <rPr>
            <b/>
            <sz val="9"/>
            <color indexed="81"/>
            <rFont val="Tahoma"/>
            <family val="2"/>
          </rPr>
          <t>Medición meta etsratégica</t>
        </r>
      </text>
    </comment>
    <comment ref="H133" authorId="0" shapeId="0">
      <text>
        <r>
          <rPr>
            <b/>
            <sz val="9"/>
            <color indexed="81"/>
            <rFont val="Tahoma"/>
            <family val="2"/>
          </rPr>
          <t>Medición meta etsratégica</t>
        </r>
      </text>
    </comment>
    <comment ref="H135" authorId="0" shapeId="0">
      <text>
        <r>
          <rPr>
            <b/>
            <sz val="9"/>
            <color indexed="81"/>
            <rFont val="Tahoma"/>
            <family val="2"/>
          </rPr>
          <t>Medición meta etsratégica</t>
        </r>
      </text>
    </comment>
    <comment ref="H137" authorId="0" shapeId="0">
      <text>
        <r>
          <rPr>
            <b/>
            <sz val="9"/>
            <color indexed="81"/>
            <rFont val="Tahoma"/>
            <family val="2"/>
          </rPr>
          <t>Medición meta etsratégica</t>
        </r>
      </text>
    </comment>
    <comment ref="H138" authorId="0" shapeId="0">
      <text>
        <r>
          <rPr>
            <b/>
            <sz val="9"/>
            <color indexed="81"/>
            <rFont val="Tahoma"/>
            <family val="2"/>
          </rPr>
          <t>Medición meta etsratégica</t>
        </r>
      </text>
    </comment>
    <comment ref="H139" authorId="0" shapeId="0">
      <text>
        <r>
          <rPr>
            <b/>
            <sz val="9"/>
            <color indexed="81"/>
            <rFont val="Tahoma"/>
            <family val="2"/>
          </rPr>
          <t>Medición meta etsratégica</t>
        </r>
      </text>
    </comment>
    <comment ref="H144" authorId="0" shapeId="0">
      <text>
        <r>
          <rPr>
            <b/>
            <sz val="9"/>
            <color indexed="81"/>
            <rFont val="Tahoma"/>
            <family val="2"/>
          </rPr>
          <t>Medición meta estratégica</t>
        </r>
      </text>
    </comment>
    <comment ref="H147" authorId="0" shapeId="0">
      <text>
        <r>
          <rPr>
            <b/>
            <sz val="9"/>
            <color indexed="81"/>
            <rFont val="Tahoma"/>
            <family val="2"/>
          </rPr>
          <t>Medición meta etsratégica</t>
        </r>
      </text>
    </comment>
    <comment ref="H160" authorId="0" shapeId="0">
      <text>
        <r>
          <rPr>
            <b/>
            <sz val="9"/>
            <color indexed="81"/>
            <rFont val="Tahoma"/>
            <family val="2"/>
          </rPr>
          <t>Medición meta etsratégica</t>
        </r>
      </text>
    </comment>
    <comment ref="H162" authorId="0" shapeId="0">
      <text>
        <r>
          <rPr>
            <b/>
            <sz val="9"/>
            <color indexed="81"/>
            <rFont val="Tahoma"/>
            <family val="2"/>
          </rPr>
          <t>Medición meta etsratégica</t>
        </r>
      </text>
    </comment>
    <comment ref="H163" authorId="0" shapeId="0">
      <text>
        <r>
          <rPr>
            <b/>
            <sz val="9"/>
            <color indexed="81"/>
            <rFont val="Tahoma"/>
            <family val="2"/>
          </rPr>
          <t>Medición meta etsratégica</t>
        </r>
      </text>
    </comment>
    <comment ref="H164" authorId="0" shapeId="0">
      <text>
        <r>
          <rPr>
            <b/>
            <sz val="9"/>
            <color indexed="81"/>
            <rFont val="Tahoma"/>
            <family val="2"/>
          </rPr>
          <t>Medición meta etsratégica</t>
        </r>
      </text>
    </comment>
    <comment ref="H168" authorId="0" shapeId="0">
      <text>
        <r>
          <rPr>
            <b/>
            <sz val="9"/>
            <color indexed="81"/>
            <rFont val="Tahoma"/>
            <family val="2"/>
          </rPr>
          <t>Medición meta etsratégica</t>
        </r>
      </text>
    </comment>
    <comment ref="H173" authorId="0" shapeId="0">
      <text>
        <r>
          <rPr>
            <b/>
            <sz val="9"/>
            <color indexed="81"/>
            <rFont val="Tahoma"/>
            <family val="2"/>
          </rPr>
          <t>Medición meta etsratégica</t>
        </r>
      </text>
    </comment>
    <comment ref="H174" authorId="0" shapeId="0">
      <text>
        <r>
          <rPr>
            <b/>
            <sz val="9"/>
            <color indexed="81"/>
            <rFont val="Tahoma"/>
            <family val="2"/>
          </rPr>
          <t xml:space="preserve">Medición de meta estratégica
</t>
        </r>
      </text>
    </comment>
    <comment ref="H181" authorId="0" shapeId="0">
      <text>
        <r>
          <rPr>
            <b/>
            <sz val="9"/>
            <color indexed="81"/>
            <rFont val="Tahoma"/>
            <family val="2"/>
          </rPr>
          <t>Medición de meta estratégica</t>
        </r>
      </text>
    </comment>
    <comment ref="H182" authorId="0" shapeId="0">
      <text>
        <r>
          <rPr>
            <b/>
            <sz val="9"/>
            <color indexed="81"/>
            <rFont val="Tahoma"/>
            <family val="2"/>
          </rPr>
          <t>Medición de meta estratégica</t>
        </r>
      </text>
    </comment>
    <comment ref="H185" authorId="0" shapeId="0">
      <text>
        <r>
          <rPr>
            <b/>
            <sz val="9"/>
            <color indexed="81"/>
            <rFont val="Tahoma"/>
            <family val="2"/>
          </rPr>
          <t>Medición de meta estratégica</t>
        </r>
      </text>
    </comment>
    <comment ref="H186" authorId="0" shapeId="0">
      <text>
        <r>
          <rPr>
            <b/>
            <sz val="9"/>
            <color indexed="81"/>
            <rFont val="Tahoma"/>
            <family val="2"/>
          </rPr>
          <t>Medición de meta estratégica</t>
        </r>
      </text>
    </comment>
    <comment ref="H187" authorId="0" shapeId="0">
      <text>
        <r>
          <rPr>
            <b/>
            <sz val="9"/>
            <color indexed="81"/>
            <rFont val="Tahoma"/>
            <family val="2"/>
          </rPr>
          <t>Medición de meta estratégica</t>
        </r>
      </text>
    </comment>
    <comment ref="H188" authorId="0" shapeId="0">
      <text>
        <r>
          <rPr>
            <b/>
            <sz val="9"/>
            <color indexed="81"/>
            <rFont val="Tahoma"/>
            <family val="2"/>
          </rPr>
          <t>Medición de meta estratégica</t>
        </r>
      </text>
    </comment>
    <comment ref="H239" authorId="0" shapeId="0">
      <text>
        <r>
          <rPr>
            <b/>
            <sz val="9"/>
            <color indexed="81"/>
            <rFont val="Tahoma"/>
            <family val="2"/>
          </rPr>
          <t>Medición de meta estratégica</t>
        </r>
      </text>
    </comment>
    <comment ref="H241" authorId="0" shapeId="0">
      <text>
        <r>
          <rPr>
            <b/>
            <sz val="9"/>
            <color indexed="81"/>
            <rFont val="Tahoma"/>
            <family val="2"/>
          </rPr>
          <t xml:space="preserve">Medición meta estratégica </t>
        </r>
      </text>
    </comment>
    <comment ref="H242" authorId="0" shapeId="0">
      <text>
        <r>
          <rPr>
            <b/>
            <sz val="9"/>
            <color indexed="81"/>
            <rFont val="Tahoma"/>
            <family val="2"/>
          </rPr>
          <t>Medición de meta estratégica</t>
        </r>
      </text>
    </comment>
    <comment ref="H244" authorId="0" shapeId="0">
      <text>
        <r>
          <rPr>
            <b/>
            <sz val="9"/>
            <color indexed="81"/>
            <rFont val="Tahoma"/>
            <family val="2"/>
          </rPr>
          <t>Medición de meta estratégica</t>
        </r>
      </text>
    </comment>
    <comment ref="H245" authorId="0" shapeId="0">
      <text>
        <r>
          <rPr>
            <b/>
            <sz val="9"/>
            <color indexed="81"/>
            <rFont val="Tahoma"/>
            <family val="2"/>
          </rPr>
          <t>Medición de meta estratégica</t>
        </r>
      </text>
    </comment>
    <comment ref="H246" authorId="0" shapeId="0">
      <text>
        <r>
          <rPr>
            <b/>
            <sz val="9"/>
            <color indexed="81"/>
            <rFont val="Tahoma"/>
            <charset val="1"/>
          </rPr>
          <t>Medición meta estratégica</t>
        </r>
      </text>
    </comment>
    <comment ref="H249" authorId="0" shapeId="0">
      <text>
        <r>
          <rPr>
            <b/>
            <sz val="9"/>
            <color indexed="81"/>
            <rFont val="Tahoma"/>
            <family val="2"/>
          </rPr>
          <t>Medición de meta estratégica</t>
        </r>
      </text>
    </comment>
    <comment ref="H250" authorId="0" shapeId="0">
      <text>
        <r>
          <rPr>
            <b/>
            <sz val="9"/>
            <color indexed="81"/>
            <rFont val="Tahoma"/>
            <family val="2"/>
          </rPr>
          <t>Medición de meta estratégica</t>
        </r>
      </text>
    </comment>
    <comment ref="H254" authorId="0" shapeId="0">
      <text>
        <r>
          <rPr>
            <b/>
            <sz val="9"/>
            <color indexed="81"/>
            <rFont val="Tahoma"/>
            <family val="2"/>
          </rPr>
          <t>Medición de meta estratégica</t>
        </r>
      </text>
    </comment>
    <comment ref="F255" authorId="1" shapeId="0">
      <text>
        <r>
          <rPr>
            <b/>
            <sz val="9"/>
            <color indexed="81"/>
            <rFont val="Tahoma"/>
            <charset val="1"/>
          </rPr>
          <t>PFC</t>
        </r>
      </text>
    </comment>
    <comment ref="H255" authorId="0" shapeId="0">
      <text>
        <r>
          <rPr>
            <b/>
            <sz val="9"/>
            <color indexed="81"/>
            <rFont val="Tahoma"/>
            <family val="2"/>
          </rPr>
          <t>Medición de meta estratégica</t>
        </r>
      </text>
    </comment>
    <comment ref="H262" authorId="0" shapeId="0">
      <text>
        <r>
          <rPr>
            <b/>
            <sz val="9"/>
            <color indexed="81"/>
            <rFont val="Tahoma"/>
            <family val="2"/>
          </rPr>
          <t>Medición de meta estratégica</t>
        </r>
      </text>
    </comment>
    <comment ref="H281" authorId="0" shapeId="0">
      <text>
        <r>
          <rPr>
            <b/>
            <sz val="9"/>
            <color indexed="81"/>
            <rFont val="Tahoma"/>
            <family val="2"/>
          </rPr>
          <t>Medición de meta estratégica</t>
        </r>
      </text>
    </comment>
    <comment ref="H282" authorId="0" shapeId="0">
      <text>
        <r>
          <rPr>
            <b/>
            <sz val="9"/>
            <color indexed="81"/>
            <rFont val="Tahoma"/>
            <family val="2"/>
          </rPr>
          <t>Medición de meta estratégica</t>
        </r>
      </text>
    </comment>
    <comment ref="H285" authorId="0" shapeId="0">
      <text>
        <r>
          <rPr>
            <b/>
            <sz val="9"/>
            <color indexed="81"/>
            <rFont val="Tahoma"/>
            <family val="2"/>
          </rPr>
          <t>Medición de meta estratégica</t>
        </r>
      </text>
    </comment>
    <comment ref="H286" authorId="0" shapeId="0">
      <text>
        <r>
          <rPr>
            <b/>
            <sz val="9"/>
            <color indexed="81"/>
            <rFont val="Tahoma"/>
            <family val="2"/>
          </rPr>
          <t>Medición de meta estratégica</t>
        </r>
      </text>
    </comment>
    <comment ref="H287" authorId="0" shapeId="0">
      <text>
        <r>
          <rPr>
            <b/>
            <sz val="9"/>
            <color indexed="81"/>
            <rFont val="Tahoma"/>
            <family val="2"/>
          </rPr>
          <t>Medición de meta estratégica</t>
        </r>
      </text>
    </comment>
    <comment ref="H288" authorId="0" shapeId="0">
      <text>
        <r>
          <rPr>
            <b/>
            <sz val="9"/>
            <color indexed="81"/>
            <rFont val="Tahoma"/>
            <family val="2"/>
          </rPr>
          <t>Medición de meta estratégica</t>
        </r>
      </text>
    </comment>
    <comment ref="H289" authorId="0" shapeId="0">
      <text>
        <r>
          <rPr>
            <b/>
            <sz val="9"/>
            <color indexed="81"/>
            <rFont val="Tahoma"/>
            <family val="2"/>
          </rPr>
          <t>Medición de meta estratégica</t>
        </r>
      </text>
    </comment>
    <comment ref="F292" authorId="1" shapeId="0">
      <text>
        <r>
          <rPr>
            <b/>
            <sz val="9"/>
            <color indexed="81"/>
            <rFont val="Tahoma"/>
            <charset val="1"/>
          </rPr>
          <t>PFC</t>
        </r>
      </text>
    </comment>
    <comment ref="H292" authorId="0" shapeId="0">
      <text>
        <r>
          <rPr>
            <b/>
            <sz val="9"/>
            <color indexed="81"/>
            <rFont val="Tahoma"/>
            <charset val="1"/>
          </rPr>
          <t>Medición meta estratégica</t>
        </r>
      </text>
    </comment>
    <comment ref="F337" authorId="1" shapeId="0">
      <text>
        <r>
          <rPr>
            <b/>
            <sz val="9"/>
            <color indexed="81"/>
            <rFont val="Tahoma"/>
            <charset val="1"/>
          </rPr>
          <t>PFC</t>
        </r>
      </text>
    </comment>
    <comment ref="H337" authorId="0" shapeId="0">
      <text>
        <r>
          <rPr>
            <b/>
            <sz val="9"/>
            <color indexed="81"/>
            <rFont val="Tahoma"/>
            <family val="2"/>
          </rPr>
          <t>Medición de meta estratégica</t>
        </r>
      </text>
    </comment>
    <comment ref="H343" authorId="0" shapeId="0">
      <text>
        <r>
          <rPr>
            <b/>
            <sz val="9"/>
            <color indexed="81"/>
            <rFont val="Tahoma"/>
            <family val="2"/>
          </rPr>
          <t>Medición de meta estratégica</t>
        </r>
      </text>
    </comment>
    <comment ref="H365" authorId="0" shapeId="0">
      <text>
        <r>
          <rPr>
            <b/>
            <sz val="9"/>
            <color indexed="81"/>
            <rFont val="Tahoma"/>
            <family val="2"/>
          </rPr>
          <t>Medición de meta estratégica</t>
        </r>
      </text>
    </comment>
    <comment ref="H407" authorId="0" shapeId="0">
      <text>
        <r>
          <rPr>
            <b/>
            <sz val="9"/>
            <color indexed="81"/>
            <rFont val="Tahoma"/>
            <family val="2"/>
          </rPr>
          <t>Medición de meta estratégica</t>
        </r>
      </text>
    </comment>
    <comment ref="H412" authorId="0" shapeId="0">
      <text>
        <r>
          <rPr>
            <b/>
            <sz val="9"/>
            <color indexed="81"/>
            <rFont val="Tahoma"/>
            <family val="2"/>
          </rPr>
          <t>Medición de meta estratégica</t>
        </r>
      </text>
    </comment>
    <comment ref="H413" authorId="0" shapeId="0">
      <text>
        <r>
          <rPr>
            <b/>
            <sz val="9"/>
            <color indexed="81"/>
            <rFont val="Tahoma"/>
            <family val="2"/>
          </rPr>
          <t>Medición de meta estratégica</t>
        </r>
      </text>
    </comment>
    <comment ref="H416" authorId="0" shapeId="0">
      <text>
        <r>
          <rPr>
            <b/>
            <sz val="9"/>
            <color indexed="81"/>
            <rFont val="Tahoma"/>
            <family val="2"/>
          </rPr>
          <t>Medición de meta estratégica</t>
        </r>
      </text>
    </comment>
    <comment ref="H431" authorId="0" shapeId="0">
      <text>
        <r>
          <rPr>
            <b/>
            <sz val="9"/>
            <color indexed="81"/>
            <rFont val="Tahoma"/>
            <family val="2"/>
          </rPr>
          <t>Medición de meta estratégica</t>
        </r>
      </text>
    </comment>
    <comment ref="H433" authorId="0" shapeId="0">
      <text>
        <r>
          <rPr>
            <b/>
            <sz val="9"/>
            <color indexed="81"/>
            <rFont val="Tahoma"/>
            <charset val="1"/>
          </rPr>
          <t>Medición meta estratégica</t>
        </r>
      </text>
    </comment>
    <comment ref="H436" authorId="0" shapeId="0">
      <text>
        <r>
          <rPr>
            <b/>
            <sz val="9"/>
            <color indexed="81"/>
            <rFont val="Tahoma"/>
            <family val="2"/>
          </rPr>
          <t>Medición de meta estratégica</t>
        </r>
      </text>
    </comment>
    <comment ref="H437" authorId="0" shapeId="0">
      <text>
        <r>
          <rPr>
            <b/>
            <sz val="9"/>
            <color indexed="81"/>
            <rFont val="Tahoma"/>
            <family val="2"/>
          </rPr>
          <t>Medición de meta estratégica</t>
        </r>
      </text>
    </comment>
    <comment ref="H441" authorId="0" shapeId="0">
      <text>
        <r>
          <rPr>
            <b/>
            <sz val="9"/>
            <color indexed="81"/>
            <rFont val="Tahoma"/>
            <family val="2"/>
          </rPr>
          <t>Medición de meta estratégica</t>
        </r>
      </text>
    </comment>
    <comment ref="H475" authorId="0" shapeId="0">
      <text>
        <r>
          <rPr>
            <b/>
            <sz val="9"/>
            <color indexed="81"/>
            <rFont val="Tahoma"/>
            <family val="2"/>
          </rPr>
          <t>Medición de meta estratégica</t>
        </r>
      </text>
    </comment>
    <comment ref="H476" authorId="0" shapeId="0">
      <text>
        <r>
          <rPr>
            <b/>
            <sz val="9"/>
            <color indexed="81"/>
            <rFont val="Tahoma"/>
            <family val="2"/>
          </rPr>
          <t>Medición de meta estratégica</t>
        </r>
      </text>
    </comment>
    <comment ref="H501" authorId="0" shapeId="0">
      <text>
        <r>
          <rPr>
            <b/>
            <sz val="9"/>
            <color indexed="81"/>
            <rFont val="Tahoma"/>
            <family val="2"/>
          </rPr>
          <t xml:space="preserve">Medición meta etsrategica
</t>
        </r>
      </text>
    </comment>
    <comment ref="H502" authorId="0" shapeId="0">
      <text>
        <r>
          <rPr>
            <b/>
            <sz val="9"/>
            <color indexed="81"/>
            <rFont val="Tahoma"/>
            <family val="2"/>
          </rPr>
          <t>Medición meta estrategica</t>
        </r>
      </text>
    </comment>
  </commentList>
</comments>
</file>

<file path=xl/comments2.xml><?xml version="1.0" encoding="utf-8"?>
<comments xmlns="http://schemas.openxmlformats.org/spreadsheetml/2006/main">
  <authors>
    <author>ANDRES</author>
  </authors>
  <commentList>
    <comment ref="Y39" authorId="0" shapeId="0">
      <text>
        <r>
          <rPr>
            <sz val="9"/>
            <color indexed="81"/>
            <rFont val="Tahoma"/>
            <family val="2"/>
          </rPr>
          <t xml:space="preserve">AVANCE GENERAL "LO INSTITUCIONAL" 2022
</t>
        </r>
      </text>
    </comment>
  </commentList>
</comments>
</file>

<file path=xl/comments3.xml><?xml version="1.0" encoding="utf-8"?>
<comments xmlns="http://schemas.openxmlformats.org/spreadsheetml/2006/main">
  <authors>
    <author>mylife</author>
    <author>ANDRES</author>
  </authors>
  <commentList>
    <comment ref="G9" authorId="0" shapeId="0">
      <text>
        <r>
          <rPr>
            <sz val="9"/>
            <color indexed="81"/>
            <rFont val="Tahoma"/>
            <family val="2"/>
          </rPr>
          <t xml:space="preserve">Del PEI actualizado
</t>
        </r>
      </text>
    </comment>
    <comment ref="I19" authorId="1" shapeId="0">
      <text>
        <r>
          <rPr>
            <sz val="9"/>
            <color indexed="81"/>
            <rFont val="Tahoma"/>
            <family val="2"/>
          </rPr>
          <t xml:space="preserve">N/A
</t>
        </r>
      </text>
    </comment>
    <comment ref="G27" authorId="0" shapeId="0">
      <text>
        <r>
          <rPr>
            <b/>
            <sz val="9"/>
            <color indexed="81"/>
            <rFont val="Tahoma"/>
            <family val="2"/>
          </rPr>
          <t xml:space="preserve">25%
25 empresas </t>
        </r>
      </text>
    </comment>
    <comment ref="G32" authorId="0" shapeId="0">
      <text>
        <r>
          <rPr>
            <b/>
            <sz val="9"/>
            <color indexed="81"/>
            <rFont val="Tahoma"/>
            <family val="2"/>
          </rPr>
          <t>25%
1 convenio firmado con comunidades vulnerables</t>
        </r>
      </text>
    </comment>
    <comment ref="V33" authorId="1" shapeId="0">
      <text>
        <r>
          <rPr>
            <b/>
            <sz val="9"/>
            <color indexed="81"/>
            <rFont val="Tahoma"/>
            <family val="2"/>
          </rPr>
          <t>AVANCE GENERAL "LO SOCIAL" 2022</t>
        </r>
        <r>
          <rPr>
            <sz val="9"/>
            <color indexed="81"/>
            <rFont val="Tahoma"/>
            <family val="2"/>
          </rPr>
          <t xml:space="preserve">
</t>
        </r>
      </text>
    </comment>
  </commentList>
</comments>
</file>

<file path=xl/comments4.xml><?xml version="1.0" encoding="utf-8"?>
<comments xmlns="http://schemas.openxmlformats.org/spreadsheetml/2006/main">
  <authors>
    <author>ANDRES</author>
  </authors>
  <commentList>
    <comment ref="Y26" authorId="0" shapeId="0">
      <text>
        <r>
          <rPr>
            <sz val="9"/>
            <color indexed="81"/>
            <rFont val="Tahoma"/>
            <family val="2"/>
          </rPr>
          <t xml:space="preserve">AVANCE GENERAL "LO AMBIENTAL" 2022
</t>
        </r>
      </text>
    </comment>
  </commentList>
</comments>
</file>

<file path=xl/sharedStrings.xml><?xml version="1.0" encoding="utf-8"?>
<sst xmlns="http://schemas.openxmlformats.org/spreadsheetml/2006/main" count="3662" uniqueCount="1883">
  <si>
    <t>PLAN DE ACCIÓN INSTITUCIONAL 2022</t>
  </si>
  <si>
    <t>CÓDIGO:  DIE-FO-10</t>
  </si>
  <si>
    <t>VERSIÓN: 1</t>
  </si>
  <si>
    <t>VIGENCIA: ENERO de 2021</t>
  </si>
  <si>
    <t>PÁGINA:    1 de 1</t>
  </si>
  <si>
    <t>ÁREA</t>
  </si>
  <si>
    <t>ESTRATEGIA</t>
  </si>
  <si>
    <t>OBJETIVO ESTRATÉGICO</t>
  </si>
  <si>
    <t>SUBÁREA</t>
  </si>
  <si>
    <t>PROYECTO ESTRATÉGICO</t>
  </si>
  <si>
    <t>META ESTRATEGICA</t>
  </si>
  <si>
    <t>FASE O ETAPAS</t>
  </si>
  <si>
    <t>ACTIVIDAD</t>
  </si>
  <si>
    <t>INDICADOR</t>
  </si>
  <si>
    <t>PRODUCTO / EVIDENCIA</t>
  </si>
  <si>
    <t>PRESUPUESTO ASIGNADO</t>
  </si>
  <si>
    <t>PRESUPUESTO EJECUTADO</t>
  </si>
  <si>
    <t>FECHA INICIO</t>
  </si>
  <si>
    <t>FECHA FIN</t>
  </si>
  <si>
    <t>FECHA SEGUIMIENTO</t>
  </si>
  <si>
    <t>Avance en tiempo</t>
  </si>
  <si>
    <t>% AVANCE EN EL TIEMPO</t>
  </si>
  <si>
    <t>META ANUAL</t>
  </si>
  <si>
    <t>PROGRAMACIÓN META TRIMESTRAL</t>
  </si>
  <si>
    <t>SEGUIMIENTO TRIMESTRE 1</t>
  </si>
  <si>
    <t>SEGUIMIENTO TRIMESTRE 2</t>
  </si>
  <si>
    <t>SEGUIMIENTO TRIMESTRE 3</t>
  </si>
  <si>
    <t>SEGUIMIENTO TRIMESTRE 4</t>
  </si>
  <si>
    <t>Meta T1</t>
  </si>
  <si>
    <t>Meta T2</t>
  </si>
  <si>
    <t>Meta T3</t>
  </si>
  <si>
    <t>Meta T4</t>
  </si>
  <si>
    <t>% CUMPLIMIENTO META T1</t>
  </si>
  <si>
    <t>OBSERVACIONES</t>
  </si>
  <si>
    <t>UBICACIÓN DE EVIDENCIA / SOPORTE</t>
  </si>
  <si>
    <t>% CUMPLIMIENTO META T2</t>
  </si>
  <si>
    <t>% CUMPLIMIENTO META T3</t>
  </si>
  <si>
    <t>% CUMPLIMIENTO META T4</t>
  </si>
  <si>
    <t>RECTORÍA</t>
  </si>
  <si>
    <t>Lo Institucional: La transformación cultural de la ETITC</t>
  </si>
  <si>
    <t>OE-1-Consolidar la calidad académica para la acreditación institucional de alta calidad respaldada fortalecimiento
de la gestión, la infraestructura tecnológica y física.</t>
  </si>
  <si>
    <t>OFICINA DE CONTROL INTERNO</t>
  </si>
  <si>
    <t>PE-5- MIPG y los sistemas de gestión para una gobernanza transparente</t>
  </si>
  <si>
    <t>ME-5- Alinear el modelo MIPG con el Sistema Integrado de Gestión (SIG) para la acreditación</t>
  </si>
  <si>
    <t xml:space="preserve">Implementación </t>
  </si>
  <si>
    <t>Formular y desarrollar el programa anual de auditorías.</t>
  </si>
  <si>
    <t>Porcentaje de alineación del MIPG con el SIG.</t>
  </si>
  <si>
    <t>Plan de auditorías formulado y desarrollado</t>
  </si>
  <si>
    <t xml:space="preserve">El programa anual de auditorías fue aprobado mediante el acta No 1 del CICCI, el 26 de enero de 2022.
</t>
  </si>
  <si>
    <t>https://www.etitc.edu.co/archives/paai22.pdf</t>
  </si>
  <si>
    <t>Presentación de informes a entes externos</t>
  </si>
  <si>
    <t>Informes presentados y publicados</t>
  </si>
  <si>
    <t>N/A</t>
  </si>
  <si>
    <t xml:space="preserve">Se ha presentado el informe de derechos de autor (9 de marzo).
Presentación del Informe de seguimiento a las funciones establecidad en el eKOGUI.
Se reporto el informe anual del FURAG vigencia 2021.
Informe de Control interno contable 
</t>
  </si>
  <si>
    <t>https://www.etitc.edu.co/archives/infoderechosautor21.pdf
https://www.etitc.edu.co/archives/infoeav21.pdf
https://www.etitc.edu.co/archives/ekogui221.pdf
https://www.etitc.edu.co/archives/infocic21.pdf</t>
  </si>
  <si>
    <t>Presentación de informes de requerimiento legal</t>
  </si>
  <si>
    <t xml:space="preserve">Informe de Austeridad en el Gasto 4° trimestre de 2021
Informe de seguimiento a las PQRSD 2021 (2 semestre).
Informe de evaluación independiente del Sistema de Control Interno.
Informe de seguimiento del Cómite de conciliación vigencia 2021.
 </t>
  </si>
  <si>
    <t>https://www.etitc.edu.co/archives/informeausteridad26.pdf
https://www.etitc.edu.co/archives/informepqrs221.pdf
https://www.etitc.edu.co/archives/infoseguimientocc21.pdf
https://www.etitc.edu.co/archives/seguimientotranspa20.pdf</t>
  </si>
  <si>
    <t xml:space="preserve">Seguimiento al Plan Anticorrupción y de Atención al Ciudadano y  mapas de riesgo de corrupción.  </t>
  </si>
  <si>
    <t>Informe cuatrimestral de los seguimientos realizados</t>
  </si>
  <si>
    <t xml:space="preserve">Seguimiento al PAAC 2021. Tercer cuatrimestre. 
Se realiza monitoreo constante a la publicación de los Mapas y Planes de Riesgos 2022.  </t>
  </si>
  <si>
    <t>https://www.etitc.edu.co/archives/seguimientoplanan321.pdf</t>
  </si>
  <si>
    <t xml:space="preserve">Seguimiento a la efectividad de las acciones de los planes de mejoramiento </t>
  </si>
  <si>
    <t xml:space="preserve">Seguimientos realizados a los procesos </t>
  </si>
  <si>
    <t>Esta actividad se realizará durante el 2° trimestre de la vigencia.</t>
  </si>
  <si>
    <t xml:space="preserve">Actividades de autocontrol </t>
  </si>
  <si>
    <t>Campañas de autocontrol realizadas</t>
  </si>
  <si>
    <t>A través de correo electrónico se socializo la actividad de control "¡Prepárese para presentar su plan de mejoramiento!" (29 de marzo).</t>
  </si>
  <si>
    <t>https://etitc.edu.co/es/page/control-interno</t>
  </si>
  <si>
    <t>Seguimiento a mapas de riesgos</t>
  </si>
  <si>
    <t>Seguimientos realizados e informe al final de la vigencia,</t>
  </si>
  <si>
    <t xml:space="preserve">De manera cuatrimestral se realiza seguimiento a los riesgos de corrupción a  través del informe de seguimiento al PAAC.
En la Auditoria realizada al área de Contratación se revisaron los riesgos asociados </t>
  </si>
  <si>
    <t>0E-01-Consolidar la calidad académica para la acreditación institucional de alta calidad respaldada fortalecimiento
de la gestión, la infraestructura tecnológica y física.</t>
  </si>
  <si>
    <t xml:space="preserve">SEGURIDAD DIGITAL </t>
  </si>
  <si>
    <t>PE-10-Transformación  digital de la ETITC</t>
  </si>
  <si>
    <t>ME-19-Implementar un modelo estratégico para impulsar la evolución digital de la ETITC, plasmado en el PETI.</t>
  </si>
  <si>
    <t>Ejecución</t>
  </si>
  <si>
    <t xml:space="preserve">Renovación de 50 licencias de la herramienta de correlacionamiento de eventos de seguridad SEM </t>
  </si>
  <si>
    <t>Porcentaje de implementación de la política de Gobierno Digital</t>
  </si>
  <si>
    <t xml:space="preserve">Aumentar la capacidad de servidores con la protección de la herramienta SEM </t>
  </si>
  <si>
    <t xml:space="preserve">Esta actividad se llevará a cabo a través del Cto 153 de 2022 E- DEA  NETWORKS SAS (28 de enero de 2022 hasta el mayo de 2023, % 27.009.430).
</t>
  </si>
  <si>
    <t xml:space="preserve">Actas d e inicio </t>
  </si>
  <si>
    <t>Prestación de servicios para el Análisis de Vulnerabilidades y Ethical Hacking a nuestros sistemas de información</t>
  </si>
  <si>
    <t>Realizar análisis de vulnerabilidades externa</t>
  </si>
  <si>
    <t>Recursos 2021</t>
  </si>
  <si>
    <t>Con el Cto-366 de 2021 del 27 de diciembre, se continua ejecutado esta actividad ($16.600.500).
Se evidencia el cronograma de ejecución de las actividades contractuales, en este sentido se muestra en informe de ejecución (27 de enero de 2022)</t>
  </si>
  <si>
    <t xml:space="preserve">Informe de entregables. </t>
  </si>
  <si>
    <t>OE-2-Fortalecer y potenciar el Talento Humano en las plantas de personal docente y administrativa.</t>
  </si>
  <si>
    <t>PE-7- Consolidación y aseguramiento del Talento Humano para el mejoramiento de las capacidades en las plantas administrativas y docentes</t>
  </si>
  <si>
    <t>ME-12-Dar continuidad al Talento Humano integral en las plantas de personal.</t>
  </si>
  <si>
    <t>Curso o Capacitación en formación basados en el marco de trabajo como el modelo C2M2 (Modelo de Madurez de Capacidad de Ciberseguridad), la serie de normas ISO 27000 y la ISO 31000:2009 de Gestión del Riesgo para fomentar cultura de Gobernanza Digital</t>
  </si>
  <si>
    <t>Procentaje de apropiación presupuestal para el pago del personal de planta</t>
  </si>
  <si>
    <t>Creación a Aula Virtual con las tematicas vistas en la certificación</t>
  </si>
  <si>
    <t xml:space="preserve">Esta actividadad se realziará de manera directa una vez finalice la Ley de garantias ($14.000.000). Se cuenta con el borrador de los estudios previos. </t>
  </si>
  <si>
    <t>Curso o Capacitación de Certified Ethical Hacker V11
Certificado por Ec-Council para cumplir con los lineamientos de GEL</t>
  </si>
  <si>
    <t>Fortalecimiento de las dependencias en temas relacionados con la Ciberseguridad y cultura de gobernanza digital, cumpliendo con los lineamientos de Gobierno en Línea.</t>
  </si>
  <si>
    <t xml:space="preserve">Esta actividad se proyecta realizar durante el 2° semestre del año, una vez finaliada la Ley de Garantias. </t>
  </si>
  <si>
    <t>Curso o Capacitación en formación técnica de Lider Implementador ISO/IEC 27001:2013 Sistema de Gestión de Seguridad de la Información (40 Horas) - Lunes 13 Junio hasta  07 de Julio</t>
  </si>
  <si>
    <t>Capacitación realziada</t>
  </si>
  <si>
    <t>OE-4-Fortalecer la visibilidad de la escuela bajo en entorno de asertividad para el posicionamiento
nacional e internacional.</t>
  </si>
  <si>
    <t>ORII</t>
  </si>
  <si>
    <t>PE-12-Internacionalización para ampliar fronteras de conocimiento</t>
  </si>
  <si>
    <t>ME-23- Consolidar la política de internacionalización y cooperación Nacional e Internacional de la ETITC.</t>
  </si>
  <si>
    <t xml:space="preserve">Llevar a cabo las actividades planeadas para la comunidad de apoyo para clases espejo </t>
  </si>
  <si>
    <t>Porcentaje de implementación de la Política Institucional de internacionalización y cooperación Nacional e Internacional.</t>
  </si>
  <si>
    <t>Repositorio con grabaciones de encuentros realizados</t>
  </si>
  <si>
    <t xml:space="preserve">Desde la ORII se han realizado las siguientes actividades:
8 sesiones de de la comunidad de apoyo para clases espejo, entre el 18 de enero y el 31 de marzo, con una totalidad de participantes de 167 </t>
  </si>
  <si>
    <t xml:space="preserve">Evidencias Fotograficas de las sesiones realizas </t>
  </si>
  <si>
    <t xml:space="preserve">Actividades de Taller de Internacionalización </t>
  </si>
  <si>
    <t xml:space="preserve">Actividades realizadas </t>
  </si>
  <si>
    <t>En paso 16 de marzo, se realizo el 2° taller de Internacionalización con metodologia open space entre las 9 am y las 12 pm. Se contó con la participación de: ETITC, Universidad la Gran Colombia, Alianza Colombo Búlgar</t>
  </si>
  <si>
    <t xml:space="preserve">Actividades de visibilidad nacional e Internacional </t>
  </si>
  <si>
    <t xml:space="preserve">La ETITC, durante el mes de marzo ( 4 al 12) participo en la la conferencia ""RED TTU Academic Mission Expo Dubai. En dichos encuentros participaron 15 instituciones </t>
  </si>
  <si>
    <t>SECRETARÍA GENERAL</t>
  </si>
  <si>
    <t>Acompañamiento a la actualización de la mejora normativa institucional con las áreas misionales y de apoyo</t>
  </si>
  <si>
    <t>Resoluciones que surjan de las actualizaciones</t>
  </si>
  <si>
    <t>Por definir</t>
  </si>
  <si>
    <t xml:space="preserve">Se adelantó con relación a los lineamientos de la Rectoría, mesas de trabajo con las Vicerrectorías, en este sentido se ha adelantado el plan de mejora normativa
• Vicerrectoría Académica
• Vicerrectoría de investigación Extensión y Transferencia 
• Rectoría 
• Vicerrectoría Administrativa y financiera 
</t>
  </si>
  <si>
    <t xml:space="preserve">Reuniones realizadas </t>
  </si>
  <si>
    <t>Actualización y reporte de las plataformas de control y seguimiento de actividades judiciales e institucionales</t>
  </si>
  <si>
    <t>Soportes de reporte generadas por plataformas</t>
  </si>
  <si>
    <t xml:space="preserve">Para el 1° trimestre se realzo el diligenciamiento del FURAG 2021, de conformidad con las mesas de trabajo con al Oficina Asesora de Planeación ()
Reporte Austeridad en el gasto, vigencia 2021 (10 de febrero).
Plataforma eKOGUI. dicha plataforma se va actualizando dependiendo de las actuaciones institucionales. 
</t>
  </si>
  <si>
    <t xml:space="preserve">Formulario FURAG diligenciado.
Reporte Austeridad en el gasto
Reporte Ekogui enviado.
</t>
  </si>
  <si>
    <t>Diseño y actualización de la base de datos de los procesos disciplinarios de primera instancia que conoce la Secretaría General</t>
  </si>
  <si>
    <t>Base de datos actualizada</t>
  </si>
  <si>
    <t xml:space="preserve">Se cuenta con 2 bases: La 1° comprende 23 procesos disciplinarios. 
La 2° integra las enumeraciones de los autos que se producen con relación a los autos disciplinarios.
</t>
  </si>
  <si>
    <t>Bases de datos en funcionamiento</t>
  </si>
  <si>
    <t>Diseño e implementación de campañas de sensibilización sobre el correcto actuar del servidor público</t>
  </si>
  <si>
    <t>Documentos que surjan de las campañas</t>
  </si>
  <si>
    <t xml:space="preserve">Se llevó a cabo una capacitación acerca de la actualización del nuevo código disciplinario y pautas para servidores públicos en tiempos de elecciones electorales (25 de marzo). </t>
  </si>
  <si>
    <t>Presentación realizada.</t>
  </si>
  <si>
    <t>Acompañamiento logístico y preparación del proceso de grados y ceremonias</t>
  </si>
  <si>
    <t>Ceremonias de grado realizadas</t>
  </si>
  <si>
    <t xml:space="preserve">Alrededor de 350 estudiantes cumplen con los requerimientos para ejecutar el proceso de grados, dicha actividad se proyecta realizar el próximo 28 de abril. </t>
  </si>
  <si>
    <t>OFICINA ASESORA DE PLANEACIÓN</t>
  </si>
  <si>
    <t xml:space="preserve">Seguimiento y monitoreo institucional </t>
  </si>
  <si>
    <t>Seguimiento a planes institucional (Plan Anticorrupción y de Atención al Ciudadano, Plan de Acción Sectorial, Plan de Acción)</t>
  </si>
  <si>
    <t>Seguimientos y monitoreos realizados</t>
  </si>
  <si>
    <t xml:space="preserve">Durante el 1° trimestre de la vigencia se realzaron las siguientes actividades: 
Reunión con los responsables del desarrollo de las actividades a corte de 31 de marzo: Control Interno, Oficina de Calidad, Oficina de Comunicaciones, Oficina de Atención al ciudadano. 
En el marco del seguimiento al PAS, se realizó una reunión con Talento Humano, para socializar las actividades a cargo de esta Oficina. 
</t>
  </si>
  <si>
    <t xml:space="preserve">Documento en construcción </t>
  </si>
  <si>
    <t xml:space="preserve">Seguimientos la gestióna través de instrumentos:
PAS. El seguimiento fue realizado entre el 12 y el 25 de abril, se reportó en desarrollo de las actividades realizadas en concordancia con los compromisos pactados ante el MEN.  
</t>
  </si>
  <si>
    <t>Hacer seguimiento a los espacios de Participación ciudadana (5)</t>
  </si>
  <si>
    <t xml:space="preserve">Esta actividad sse tiene prevista para el 2° trimestre de la vigencia. Sin embargo, se construyo el documento propio para realizar los diferentes seguimientos, durante la vigenvia. </t>
  </si>
  <si>
    <t xml:space="preserve">Fortalecer la implementación del Modelo Integrado de Planeación y Gestión.  </t>
  </si>
  <si>
    <t xml:space="preserve">Políticas de desarrollo administrativo fortalecidad </t>
  </si>
  <si>
    <t xml:space="preserve">Con el reporte del FURAG, se realizaron mesas de trabajo en las que se dio claridad a los líderes de política de la forma adecuada para la apliación de los lineamientos MIPG 2.0. 
Se realizo acompañamiento en la formulación de los planes y mapas de tratamiento de riesgos (20 procesos)
</t>
  </si>
  <si>
    <t>4.11. Mapa y Plan de Tratamiento de Riesgos
https://etitc.edu.co/es/page/leytransparencia
Certificado de reporte FURAG</t>
  </si>
  <si>
    <t>Seguimiento y monitoreo al contenido de la matriz ITA (Índice de transparencia)</t>
  </si>
  <si>
    <t xml:space="preserve">Reporte ITA realizado </t>
  </si>
  <si>
    <t>Esta actividad se tiene proyectada para el 2° semestre de la vigencia. Si embargo se realiza monitoreo constante desde la OAP a publicado en la Página Institucional para dar cumplimeinto a los lineamientos normativos, resolución 1519 d 22020, Ley 1712 de 2014.</t>
  </si>
  <si>
    <t xml:space="preserve">https://etitc.edu.co/es/page/leytransparencia
</t>
  </si>
  <si>
    <t>Reporte de información ante entidades externas</t>
  </si>
  <si>
    <t>Reporte realizado</t>
  </si>
  <si>
    <t xml:space="preserve">El reporte FURAG fue realizado durante el mes de marzo, con la ayuda de mesas de trabajo con los líderes de política (22 de marzo). 
</t>
  </si>
  <si>
    <t>Certificado de reporte FURAG</t>
  </si>
  <si>
    <t xml:space="preserve">Formulación, seguimiento de planes,   proyectos e indicadores </t>
  </si>
  <si>
    <t xml:space="preserve">Seguimietno y reportes realizados </t>
  </si>
  <si>
    <t xml:space="preserve">Se formulo y publico el Plan de Acción y Plan Anticorrupción y de Atención al Ciudadano, surtiendo el proceso de participación ciudadana y en cumplimiento de los requerimientos de la ley 1712/14 
De igual modo se actualizaron los 3 proyectos de inversión con los que cuenta la ETITC, ajustandolos al decreto 1805 de 2020, adjuntando el documento técnico de justificación en SUIFP, los 3 proyectos se encuentran en estado registrado y actualizado ante el DNP; de igual modo se realiza el seguimiento a los 3 proyectos en mención mediante SPI. </t>
  </si>
  <si>
    <t>https://www.etitc.edu.co/archives/plandeaccion21.xlsx
https://www.etitc.edu.co/archives/paac21v1.pdf
https://sts.dnp.gov.co/login.aspx?ReturnUrl=%2f%3fwa%3dwsignin1.0%26wtrealm%3dhttps%253a%252f%252fspi.dnp.gov.co%252f%26wctx%3drm%253d0%2526id%253dpassive%2526ru%253d%25252f%26wct%3d2021-04-15T15%253a15%253a49Z&amp;wa=wsignin1.0&amp;wtrealm=https%3a%2f%2fspi.dnp.gov.co%2f&amp;wctx=rm%3d0%26id%3dpassive%26ru%3d%252f&amp;wct=2021-04-15T15%3a15%3a49Z
https://www.etitc.edu.co/es/page/transparencia</t>
  </si>
  <si>
    <t>ME-9- Implementar modelo de Gestión por Proyectos con metodologías aplicables según fuente de recursos.</t>
  </si>
  <si>
    <t>Implementación del Banco de Proyectos</t>
  </si>
  <si>
    <t>Implementación del Banco del Proyectos Institucional y capacitación (Implementación, seguimiento y monitoreo)</t>
  </si>
  <si>
    <t>Porcentaje de proyectos del PDI gestionados por metodologías exigibles.</t>
  </si>
  <si>
    <t>Banco del Proyectos Institucional implementadao</t>
  </si>
  <si>
    <t>Desde la OAP se desarrollo un instrumento que permite ver la materialziación del Banco de Proyectos Institucionales. Este se presentará ante las instancias correspondientes.</t>
  </si>
  <si>
    <t xml:space="preserve">Intrumento en construcción </t>
  </si>
  <si>
    <t>ME-6- Diseñar e implementar el Sistema Unificado de Información y Estadística (SUIE).</t>
  </si>
  <si>
    <t>Diseño del SUIE</t>
  </si>
  <si>
    <t>Levantamiento y análisis de información 
Ejecución de la etapa precontractual</t>
  </si>
  <si>
    <t xml:space="preserve">Porcentaje de implementación del SUIE. </t>
  </si>
  <si>
    <t>Fase de diseño concluida</t>
  </si>
  <si>
    <t xml:space="preserve">Esta actividad no se ha tenido desarrollo </t>
  </si>
  <si>
    <t>Implementación el SUIE</t>
  </si>
  <si>
    <t>Desarrollo, pruebas y seguimiento al  funcionamiento del SUIE</t>
  </si>
  <si>
    <t xml:space="preserve">SUIE puesto en funcionamiento </t>
  </si>
  <si>
    <t xml:space="preserve">Seguimeinto y evaluación </t>
  </si>
  <si>
    <t>Dar continuidad a las correcta aplicación de las políticas de desarrollo administrativo  del MIPG 2.0</t>
  </si>
  <si>
    <t xml:space="preserve">IDI </t>
  </si>
  <si>
    <t>Durtante el 1° trimestre de la vigencia desde la Oficina Asesora de Planeación se realizaron reuniones con el MEN, como parte de la estrategia para mejorar los resultados frente al reporte FURAG 2021. En este sentido s erealizaron reunines con los diferentes díderes de las políticas de desarrollo administrativo, para recolectar evidencias y realizar el reporte en el aplicativo dispuesto para tal fin durante la 2° y 3° semana de marzxo, el certificado de diligenciamiento se recibio el pasado 22 de marzo con un diligenciamiento al 100%</t>
  </si>
  <si>
    <t>OFICINA DE CALIDAD</t>
  </si>
  <si>
    <t>PE-1- Acreditación Institucional de alta calidad</t>
  </si>
  <si>
    <t>ME-1- Obtener la Acreditación Institucional de Alta Calidad en el 2024</t>
  </si>
  <si>
    <t>Implementaicón</t>
  </si>
  <si>
    <t>Renovación de membresia de icontec</t>
  </si>
  <si>
    <t>Porcentaje de cumplimiento en las fases del Consejo Nacional de Acreditación</t>
  </si>
  <si>
    <t>Membresía renovada</t>
  </si>
  <si>
    <t xml:space="preserve">Se concretaron las fechas para la auditoria a realiazr por ICONTEC, 20 y 21 de abril. </t>
  </si>
  <si>
    <t xml:space="preserve">Correos enviados </t>
  </si>
  <si>
    <t>Ejecutar las actividades de la oficina de Calidad de la Escuela Tecnológica Instituto Técnico Central</t>
  </si>
  <si>
    <t>Ejecución contractual</t>
  </si>
  <si>
    <t>Se realizo el informe por la dirección y se presento ante el CIGD el 25 de febrero.
Se han actualizado documentos (20 de documentos).
Se aprobo por parte del CIGD el programa de auditorias 
Se realizo el informe de auditorias 2021.</t>
  </si>
  <si>
    <t>Acta de CIGD 25 de febrero.
https://itceduco-my.sharepoint.com/:f:/g/personal/calidad_itc_edu_co/EpT1760NHatIvGy2r9_BHYYBUW38e1quYehurvBx514DfA?e=rOeONH
Programa Anual de Auditorías Internas 2022 
https://etitc.edu.co/archives/progamaauditorias22.pdf
Informe de Auditorias Internas del SGI 2021  
https://etitc.edu.co/archives/auditoriainternagc21.pdf</t>
  </si>
  <si>
    <t>Organizar y realizar todas las actividades necesarias para las auditorías de seguimiento y renovación de las certificaciones NTC ISO 9001:2015 y NTC ISO IEC 27001:2013</t>
  </si>
  <si>
    <t>Auditorías realizadas</t>
  </si>
  <si>
    <t xml:space="preserve">Se remitió correo a ICONTEC el 2 marzo, donde se relaciona la información solicitada para realizar las auditorias de seguimiento NTC ISO 9001:2015, NTC ISO IEC 27001:2013 y 14001.
Se proyecta realizar la auditoria antes del 11 de julio. </t>
  </si>
  <si>
    <t>Correo enviado 2 de marzo</t>
  </si>
  <si>
    <t>Apoyar la evaluación de la gestión de riesgos en la entidad como insumo para la toma de decisiones</t>
  </si>
  <si>
    <t>Mapas de riesgos</t>
  </si>
  <si>
    <t xml:space="preserve">El apoyo a la gestión del riesgo de la Institución se realiza a través de la Oficina Asesora de Planeación, quienes para el 1° trimestre de la vigencia acompaño en la estructuración de los 20 Mapas y planes de tratamiento de Riesgos correspondientes a los 20 procesos. </t>
  </si>
  <si>
    <t>Matrices de planes y mapas de riesgos publicados. 
4.11. Mapa y Plan de Tratamiento de Riesgos
https://etitc.edu.co/es/page/leytransparencia</t>
  </si>
  <si>
    <t>Fortalecer la socialización del sistema de gestión integrado a través de publicidad, vallas y/o actividades.</t>
  </si>
  <si>
    <t>Campañas, correos, amteriales</t>
  </si>
  <si>
    <t>El 17 de marzo, se realizo una capacitación referente el tema "Salida no conforme". Participaron 10 funcionarios de la Entidad.</t>
  </si>
  <si>
    <t xml:space="preserve">https://itceduco-my.sharepoint.com/:f:/g/personal/calidad_itc_edu_co/EpT1760NHatIvGy2r9_BHYYBUW38e1quYehurvBx514DfA?e=rOeONH
</t>
  </si>
  <si>
    <t>ASEGURAMIENTO DE LA CALIDAD</t>
  </si>
  <si>
    <t xml:space="preserve">Diseño e implementación </t>
  </si>
  <si>
    <t>Finalizar informes planes de mejoramiento 2017-2018 por Facultad</t>
  </si>
  <si>
    <t>Documentos Planes de mejoramiento por Facultad</t>
  </si>
  <si>
    <t>De las 4 facultades pendientes por finalizar los informes, se han entregado 2 informes: Electrómecanica y procesos industriales, con miras a que estos revisen y finalicen el respectivo informe.</t>
  </si>
  <si>
    <t>Informes de finalización de planes de mejoramiento</t>
  </si>
  <si>
    <t>Elaborar informes planes de mejoramiento 2019-2020 por Facultad</t>
  </si>
  <si>
    <t xml:space="preserve">Esta actividad esta programada para el 2° semestre de la vigencia. </t>
  </si>
  <si>
    <t>Elaborar informe general de planes de mejoramiento 2019-2020</t>
  </si>
  <si>
    <t>Documento Plan de mejoramiento general</t>
  </si>
  <si>
    <t>Elaborar boletínes del SIACET</t>
  </si>
  <si>
    <t>3 Boletínes</t>
  </si>
  <si>
    <t xml:space="preserve">El 1° boletin de la vigencia esta en proceso de construcción y su publicación y socialización se realizara durate le mes de abril. </t>
  </si>
  <si>
    <t>Borrador del !° Boletin SIACET</t>
  </si>
  <si>
    <t>Construir matriz de evidencias a partir de las condiciones de calidad y los criterios normativos</t>
  </si>
  <si>
    <t>Matriz de evidencias</t>
  </si>
  <si>
    <t>La matriz se está contruyendo articulando las condiciones de calidad de programas e institucionales, con los factores de acreditación institucional y de programa, MIPG y la NTC 9001 de 2015. A la fecha se cuenta con la articulación a partir de las dos primeras condiciones institucionales.</t>
  </si>
  <si>
    <t>Proponer el modelo de autoevalución con fines de acreditación de programas.</t>
  </si>
  <si>
    <t>Modelo de Autoevaluación</t>
  </si>
  <si>
    <t>Se cuenta con la propuesta del modelo y la metodologia para la definición del modelo de autoevalución con fines de acreditación de programas, se encuentra pendiente su aprobación por el Cómite del PDI y Autoevación.
Asi mismo y una vez aprobado se realizará el taller para la ponderación de factores y características del modelo.</t>
  </si>
  <si>
    <t>Verificar la definición de lineamientos asociados a las políticas institucionales a partir del Decreto 1330 de 2019</t>
  </si>
  <si>
    <t>Políticas Institucionales</t>
  </si>
  <si>
    <t>Se ha realizado la verificación y existencia de las políticas en documentos institucionales vigentes y acompañamiento en la actualización de las mismas.</t>
  </si>
  <si>
    <t>Implementación</t>
  </si>
  <si>
    <t xml:space="preserve">Ejecutar procesos y estrategias dirigidas  a la acreditación institucional </t>
  </si>
  <si>
    <t>Processo ejecutados</t>
  </si>
  <si>
    <t>El 2 de febrero se definieron los equipos de trabajo para el desarrollo de la Acreditación institucional (Misional, Estratégico, Técnico).
Definición de cronograma con el equipo técnico para desarrollar el proceso de Autoevaluación con fines de acreditación Institucional</t>
  </si>
  <si>
    <t>Plan de Acción de Acreditación Institucional 
Cronograma de trabajo</t>
  </si>
  <si>
    <t>OE-1 Consolidar la calidad académica para la acreditación institucional de alta calidad respaldada fortalecimiento de la gestión, la infraestructura tecnológica y física.</t>
  </si>
  <si>
    <t>AUTOEVALUACIÓN</t>
  </si>
  <si>
    <t>PE-1- Acreditación institucional de Alta Calidad</t>
  </si>
  <si>
    <t>ME-1 Obtener la acreditación institucional de alta calidad en el 2024</t>
  </si>
  <si>
    <t>Articular el modelo de autoevaluación institucional con el modelo de autoevaluación de programas.</t>
  </si>
  <si>
    <t>Informe de avance</t>
  </si>
  <si>
    <t xml:space="preserve">Co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t>
  </si>
  <si>
    <t xml:space="preserve">Matriz de identificación </t>
  </si>
  <si>
    <t>Desarrollar 8 ejercicios de autoevaluación de programas.</t>
  </si>
  <si>
    <t>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t>
  </si>
  <si>
    <t>Correos enviados</t>
  </si>
  <si>
    <t>Radicar la solicitud de renovación de la acreditación de 8 programas de pregrado.</t>
  </si>
  <si>
    <t xml:space="preserve">Esta actividad esta sujeta a la consecución de la actividad anterior </t>
  </si>
  <si>
    <t>Garantizar que los ejercicios de autoevaluación y los procesos en cumplimiento del Decreto 1330 de 2019 y Acuerdo 02 de 2020 sean visibles, claros y transparentes entre la comunidad institucional</t>
  </si>
  <si>
    <t xml:space="preserve">Se diseño la estrategia para fortalecer la cultura de Autoevaluación inciando con la propuesta de embajadores de la ETITC y la preselección de candidatos a embajadores </t>
  </si>
  <si>
    <t>Evidencia de reunión realizada</t>
  </si>
  <si>
    <t>Consolidar la documentación de condiciones iniciales para el inicio al ejercicio de acreditación institucional</t>
  </si>
  <si>
    <t xml:space="preserve">Se cuenta con un borrador de documento de condiciones iniciales y con el 80% de avance de recolección de evidencias que daran cuenta del proceso. </t>
  </si>
  <si>
    <t xml:space="preserve">Nborrador del docuemnto Condiciones iniciales </t>
  </si>
  <si>
    <t>Lo social: un acuerdo para lo fundamental</t>
  </si>
  <si>
    <t>OE-6 Aumentar la cobertura mediante programas de educación superior diferenciados, con alta pertinencia regional de la institución.</t>
  </si>
  <si>
    <t>PE-14- Nuevos programas de pregrado y posgrado</t>
  </si>
  <si>
    <t>ME-29 Lograr para 2024, 3 carreras profesionales articulados por ciclos propedéuticos TP-TG-PU (Ing. Agrícola, Ing. Ambiental e Ing. Energías) y 1 maestría (seguridad informática)</t>
  </si>
  <si>
    <t>Concluir el proceso de condiciones institucionales ante el Ministerio de Educación Nacional. (1. Visita de EE, 2. Informe de Pares)</t>
  </si>
  <si>
    <t>Programas nuevos con registro calificado/Programas nuevos propuestos al MEN y al CNA*100</t>
  </si>
  <si>
    <t>Frente a Concluir el proceso de condiciones institucionales ante el Ministerio de Educación Naciona, se consolido el proceso a nivel interno finalizando visita de marzo durante los días 8, 9 y 10 de marzo</t>
  </si>
  <si>
    <t>Acta de cierre Visita de pares</t>
  </si>
  <si>
    <t>Concluir el proceso de renovación de registro calificado del programa de Ingeniería Mecánica articulada por ciclos propedéuticos con los niveles Técnico Profesional y Tecnología ante el Ministerio de Educación Nacional (1. Completitud, 2. Visita de EE, 2. Informe de Pares)</t>
  </si>
  <si>
    <t xml:space="preserve">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</si>
  <si>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Evicencias de Simulacros realizados.</t>
  </si>
  <si>
    <t>Asesorar a las facultades para el avance documental, consolidación de evidencias en cumplimiento con el Decreto 1330 de 2019, radicación, atención completitud.
1. Ing. Agrícola (3 niveles), 2. Ing. Ambiental (3 niveles), 3. Ing. Energías (3 niveles), 4. Maestría (1 programa), 5. Especializaciónes universitarias (1 programa), 6. Ing. Prof. Farmacéuticos (3 niveles)</t>
  </si>
  <si>
    <t xml:space="preserve">Se realizó una reunión con las Decaturas para mostrar los criterios a evaluar por el MEN y cual era la ingenerencia con el proceso 
El pasado 18 de marzo se realizó una reunión en la que se despejaron dudas acerca de los nuevos programas de posgrado: Especialización en mantenimiento Industrial. 
Se hizo entrega de guias de apoyo "Factibilidad". </t>
  </si>
  <si>
    <t>ME-30 Lograr al 2024, que el 50% de los programas con registro calificado en la modalidad presencial estén convertidos a modalidad semipresencial (blended)</t>
  </si>
  <si>
    <t>Capacitar a la Institución frente los mecanismos diseñados para el cumplimiento de modificaciones de registro calificado.</t>
  </si>
  <si>
    <t>De acuerdo a las decisiones que se tomen por la Vicerrectoría Académica se procedera a ejecutar esta actividad.</t>
  </si>
  <si>
    <t>Lo Ambiental: Un nuevo acuerdo por la vida y para la vida en contexto ambiental</t>
  </si>
  <si>
    <t>OE-11 Aumentar la cobertura mediante programas de educación superior diferenciados,
con alta pertinencia regional.</t>
  </si>
  <si>
    <t>PE-27- Diseñar y ofertar nuevos programas de pregrado con alta pertinencia regional rural</t>
  </si>
  <si>
    <t>ME-69 Estructurar y gestionar el registro de pregrado de Ingeniería Agrícola por ciclos</t>
  </si>
  <si>
    <t>Capacitar a la Institución frente los mecanismos diseñados para el cumplimiento de la solicitud de nuevo registro.</t>
  </si>
  <si>
    <t>Programas con registro calificado en la modalidad semipresencial/ programas con registro calificado en la modalidad presencial*100</t>
  </si>
  <si>
    <t xml:space="preserve">Durante el 1° trimestre se revisaron los 3 documentos maestros entregados. Se espera su presentación ante el Consejo académico y Consejo directivo para dar continuidad al prámite. </t>
  </si>
  <si>
    <t>Invitación a la socialiazción.</t>
  </si>
  <si>
    <t>ME-70 Estructurar y gestionar el registro de pregrado de Ingeniería Ambiental por ciclos</t>
  </si>
  <si>
    <t xml:space="preserve">A la fecha no se ha contratado el equipo curricular para desarrollar esta actividad. </t>
  </si>
  <si>
    <t>ME-71 Estructurar y gestionar el registro de pregrado de Ingeniería Energética por ciclos</t>
  </si>
  <si>
    <t>OE-10-Establecer un nuevo acuerdo ambiental mediante una
política institucional ambiental y la catedra institucional
en la ETITC</t>
  </si>
  <si>
    <t>GESTIÓN AMBIENTAL</t>
  </si>
  <si>
    <t xml:space="preserve">PE-22- Política institucional ambiental en la ETITC alineada al sistema de gestión ambiental </t>
  </si>
  <si>
    <t>ME-56 Implementar una política ambiental bajo consideraciones de sostenibilidad.</t>
  </si>
  <si>
    <t>1. Estudios Previos</t>
  </si>
  <si>
    <t xml:space="preserve">Estudios previos  para el contrato del proveedor: Laboratorio certificado por el IDEAM  para le muestreo y analisis de PCB en las matrices que se necesitan. </t>
  </si>
  <si>
    <t>Porcentaje de la política ambiental implementado.</t>
  </si>
  <si>
    <t xml:space="preserve">Estudios previos realizados </t>
  </si>
  <si>
    <t>Desde el proceso de gestión ambiental se encuentra en verificación de la posible usabilidad de la maquina electroerosionadora. 
Con relación al cambio del transformador eléctrico, durante la 3° semana de abril se realizaran estudios, que apoyen la compresión de las caracteristicas de sus contaminante, paso siguiente se dara paso al procesos contractual con la empresa certificado para tal fin</t>
  </si>
  <si>
    <t>Medición Análisis</t>
  </si>
  <si>
    <t>Muetreo y análisis del contenido de PCB de la Maquina electroerosionadora y el Transformador de la Subestación.</t>
  </si>
  <si>
    <t>Ejecución contractual realizado</t>
  </si>
  <si>
    <t>Esta actividad depende de la ejecución de la actividad anterior</t>
  </si>
  <si>
    <t>Reporte a la Autoridad Ambiental</t>
  </si>
  <si>
    <t>Radicado de la Autoridad Ambiental del reporte de los resultados de la caracterización de los equipos.</t>
  </si>
  <si>
    <t xml:space="preserve">Radicación de los documentos ante el ente ambiental </t>
  </si>
  <si>
    <t xml:space="preserve">2. Adquisición de elementos </t>
  </si>
  <si>
    <t xml:space="preserve">Adquisición de: Caja cartón coarrugado con bolsas interiores de PE de 0,05 mm de grosor, ideales para la recogida, transporte y eliminación de crist ales rotos en el laboratorio, 203x203x254 mm 
</t>
  </si>
  <si>
    <t xml:space="preserve">Elementos adquiridos </t>
  </si>
  <si>
    <t>Se evalua la posibilidad con la Asociación de Reciclaje, de recibir estetipo de elementos en contraprestación por  los elementos donados por la ETITC. (30 de marzo).</t>
  </si>
  <si>
    <t>Adecuación de espacios verdes</t>
  </si>
  <si>
    <t>Adecuación de invernadero para la impelmentación de una huerta urbana que apoye los proceso de educación ambeintal de la ETITC</t>
  </si>
  <si>
    <t>espacios verdes adecuados</t>
  </si>
  <si>
    <t>Se encuentra en etapa de exploración con la Viverrectoría de Investigación y el Grupo de Investigación GEA, con miras de determinar la posiblidad de retomar estas actividades de sostenibilidad (24 de marzo).</t>
  </si>
  <si>
    <t>Incorporación de talento humano calificado</t>
  </si>
  <si>
    <t>Profesional en Ingeniería Ambiental Administración Ambiental o afines con experiencia en implementación de la norma ISO14001:2015. Preferiblemente con formación como Auditor Interno en ISO 1401.</t>
  </si>
  <si>
    <t>Ejecución del proceso contractual</t>
  </si>
  <si>
    <t xml:space="preserve">El Cto - 019 de 2022 se ejecuta con normalidad y esta vigente hasta el 9 de diciembre. </t>
  </si>
  <si>
    <t xml:space="preserve">Acta de inicio </t>
  </si>
  <si>
    <t>Tecnólogo o tecnico en saneamiento ambiental, gestión ambiental o afines para el apoyo en la implementación del Sistema de Gestión Ambiental.</t>
  </si>
  <si>
    <t>Se revisará su posible ejecución despues del 30 de junio de 2022</t>
  </si>
  <si>
    <t>3. Alistamiento</t>
  </si>
  <si>
    <t>Identificar los puntos de vertimientos al sistema público de alcantarillado mediante Prueba de Anilinas.</t>
  </si>
  <si>
    <t>100% de las cajas de inspección identificadas</t>
  </si>
  <si>
    <t>La actividad fue realizada la 4 semana de marzo con el apoyo del personal de mantenimiento, en donde se inspeccionaron 5 cajas. 
Se proyecta inspeccionar 2 cajas adicionales durante el mes de abril.</t>
  </si>
  <si>
    <t>Informe de actividad</t>
  </si>
  <si>
    <t>Adecuar pocetas de laboratorio de Química para colectar vertimientos de las prácticas</t>
  </si>
  <si>
    <t>Trampa de grasas instalada en la poceta de la cafeteria</t>
  </si>
  <si>
    <t xml:space="preserve">Se evalua con el proceso Planta Física la posibilidad de hacer modificaciones en el laboratorio de química, toda vez que la infraestructura a través de la cual se reciben los residuos no cumple con los requerimientos legales. 
</t>
  </si>
  <si>
    <t>Instalar Trampa de grasas en la poceta de la cafeteria y realizar el respectivo seguimiento</t>
  </si>
  <si>
    <t>Seguimiento alas pocetas relizado</t>
  </si>
  <si>
    <t xml:space="preserve">Se solicitaron las cotizaciones necesarias para la instalación de etrapas de grasa en la cocina de la cafeteria (2 pocetas). </t>
  </si>
  <si>
    <t>Cotizaciones solicitadas</t>
  </si>
  <si>
    <t>Muestreo</t>
  </si>
  <si>
    <t>Contratación de laboratorio autorizado por el IDEAM para la caracterización de los vertimeintos No Domésticos</t>
  </si>
  <si>
    <t>Laboratorios que cumple requisitos legales contratado</t>
  </si>
  <si>
    <t>El proceso de Gestión ambiental recibio las cotizaciones y se encuentra en elaboración de estudios previos.</t>
  </si>
  <si>
    <t>Cotizaciones recibidas</t>
  </si>
  <si>
    <t>Reporte de resultados ante autoridades ambientales</t>
  </si>
  <si>
    <t>Recepción de los resultados de la caracterización de vertimeintos</t>
  </si>
  <si>
    <t>Vertimientos No Domesticos Caracterizados.</t>
  </si>
  <si>
    <t>Esta actividad depende de la contratación del laboratorio para la caracterización de vertimientos</t>
  </si>
  <si>
    <t>Reportar los resultados de la caracterización de vertimientos ante la SDA y la EAAB.</t>
  </si>
  <si>
    <t>Resultados de caracterización reportados.</t>
  </si>
  <si>
    <t>4. Pre Auditoria</t>
  </si>
  <si>
    <t>Levantamiento de información y estadística</t>
  </si>
  <si>
    <t>Certificación del SGA bajo estandares de la ISO14001:2015</t>
  </si>
  <si>
    <t>De la información acerca de 6 programas, se ha recolectado la informaicón de 1. 
Se cuenta con un analisis del cumplimiento de objetivos ambientales y fue socializado a la alta dirección de la Escuela. 
La ETITC participa en la estrategia ACERCAR de la SDA, quien hace acompañamiento a la Escuela en la implementación del Sistema ambiental y lo concerniente a la ISO 14.001.</t>
  </si>
  <si>
    <t>Auditoria de Certificación</t>
  </si>
  <si>
    <t>Análisis y clasificación de la información</t>
  </si>
  <si>
    <t>Esta actividades se planea realizar durante el 2° semestre de la vigencia</t>
  </si>
  <si>
    <t>5. Estudios Previos</t>
  </si>
  <si>
    <t xml:space="preserve">Estudios previos para el contratar el proveedor: Laboratorio certificado por el IDEAM  para el Estudio de Emisiones. </t>
  </si>
  <si>
    <t>Estudios previos  realizados</t>
  </si>
  <si>
    <t xml:space="preserve">El proceso indago acerca de los laboratorios autorizados, asi mismo se envio correos para solicitar estudios previos, sin embargo, no se ha recibido la informaicón apropiada, se estructura información institucional para reeenviar a los 2 laboratorios interesados en el proceso. </t>
  </si>
  <si>
    <t xml:space="preserve">Medición y Análisis </t>
  </si>
  <si>
    <t>Estudio de Emisiones bajo las condiciones establecidas en la Res. 909 de 2008</t>
  </si>
  <si>
    <t>Estudio de emisiones del 100% de las fuentes fijas relizado</t>
  </si>
  <si>
    <t>Esta actividad depende del proceso de contratación de referente a los estudios de emisiones.</t>
  </si>
  <si>
    <t>Reporte a la autoridad ambiental</t>
  </si>
  <si>
    <t>Radicado de la Autoridad Ambiental</t>
  </si>
  <si>
    <t>Resultados de caracterización reportados</t>
  </si>
  <si>
    <t>Diseño</t>
  </si>
  <si>
    <t>Diseño de los sistemas de control de emisiones y altura de los ductos de ventilación</t>
  </si>
  <si>
    <t>Diseños del sistema de control de emisiones realizado</t>
  </si>
  <si>
    <t xml:space="preserve">PE-24- Optimización en el consumo de energía eléctrica y uso de energías alternativas. </t>
  </si>
  <si>
    <t>ME-60 realizar la adecuada disposición de todos los residuos producidos  en el area de infraestructura, talleres y laboratorios.</t>
  </si>
  <si>
    <t>6. Estudios Previos</t>
  </si>
  <si>
    <t>Estudios previos para contratar el proveedor de elementos para el manejo de aceite lubricante usado.</t>
  </si>
  <si>
    <t xml:space="preserve">Porcentaje de adecuación de residuos cumplido </t>
  </si>
  <si>
    <t>El proceso se encuentra en proceso de indagar acerca de los proveedores que puedan suministrar los elementos de necesidad institucional (estibas, embudos, etc)</t>
  </si>
  <si>
    <t>Adquisición</t>
  </si>
  <si>
    <t>Adquisición de elementos para el manejo adecuado del aceite lubricante usado.
6 Estibas antiderrame Capacidad: 60,5 galones (229 litros)
1 Tanque Doble Pared para Aceite Usado, 300 Litros
1 Carro para bidón de 180-220 Kg (para transporte interno)
1 bandeja de drenaje de aceite, portatil, de bajo perfil, con bomba manual</t>
  </si>
  <si>
    <t>Estudio de emisiones del 100% de las fuentes fijas realizado</t>
  </si>
  <si>
    <t>Esta actividad depende del proceso de contratación del proveedor de elementos para el manejo de aceite lubricante usado.</t>
  </si>
  <si>
    <t xml:space="preserve">Capacitación </t>
  </si>
  <si>
    <t>Capacitación al personal encargado del mantenimiento de las maquinas</t>
  </si>
  <si>
    <t xml:space="preserve">Capacitación realizada </t>
  </si>
  <si>
    <t xml:space="preserve">Esta actividad esta pendiente de programación </t>
  </si>
  <si>
    <t>7. Estudios Previos</t>
  </si>
  <si>
    <t>Estudios previos  para el contrato del gestor de RESPEL Biológicos y No Biológicos.</t>
  </si>
  <si>
    <t>Estudios previos realizados</t>
  </si>
  <si>
    <t xml:space="preserve">Los estudios previos se encuentran en elaboración. </t>
  </si>
  <si>
    <t xml:space="preserve">Estudios previos </t>
  </si>
  <si>
    <t>Prestación del servicio</t>
  </si>
  <si>
    <t>Reportar y entregar de forma adecuada los RESPEL Biológicos y No Biológicos generados en las 4 sedes de la ETITC.</t>
  </si>
  <si>
    <t xml:space="preserve">Bitácora de generación de residuos </t>
  </si>
  <si>
    <t xml:space="preserve">Esta actividad depende del proceso de la contratación del gestor de RESPEL </t>
  </si>
  <si>
    <t>8. Estudios Previos</t>
  </si>
  <si>
    <t>Estudios previos para el contrato del proveedor de señalización.</t>
  </si>
  <si>
    <t>Se hará uso del contrato que ejecuta Planta Física Cto- 359 de 2021 (En adición), con el fin de realizar la señalización respectivas. Actualmente se cuenta con los diseños de sañalización según normatividad ambiental vigente.</t>
  </si>
  <si>
    <t>Cto 359 en ejecución de 2021</t>
  </si>
  <si>
    <t>Suministro e intalación</t>
  </si>
  <si>
    <t>Señalización para el Cuarto de almacenamiento de: Residuos, RESPEL, Aceite Industrial Usado y remarcación de canecas de puntos ecológicos.</t>
  </si>
  <si>
    <t>Espacios señalizados</t>
  </si>
  <si>
    <t xml:space="preserve">Se cuenta con los diseños necesarios, se proyecta el envió al proveedor correspondiente para su impreseión e instalación. </t>
  </si>
  <si>
    <t>Capacitación a la comunidad de la ETITC para el manejo adecuado de los elementos y espacios para la separación y almacenamiento temporal de residuos.</t>
  </si>
  <si>
    <t>Personal de la ETITC capacitado</t>
  </si>
  <si>
    <t>Esta actividad tendra lugar una vez se instalen la señalización respectiva.</t>
  </si>
  <si>
    <t>ME-58  lograr el 10% de ahorro energético</t>
  </si>
  <si>
    <t>9. proyecto</t>
  </si>
  <si>
    <t>Analisis de Calidad de la Energia para la Sede Central de la ETITC.</t>
  </si>
  <si>
    <t>Porcentaje de ahorro alcanzado</t>
  </si>
  <si>
    <t>3.5%</t>
  </si>
  <si>
    <t>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t>
  </si>
  <si>
    <t>Reuniones realizadas</t>
  </si>
  <si>
    <t>Proyecto</t>
  </si>
  <si>
    <t>- 'Inventario Energético
- Análisis comparativo de cosumo por areas
- Recomendaciones de estrategias para el ahorro de consumo de energia electrica</t>
  </si>
  <si>
    <t xml:space="preserve">En enero de 2022 el DNP  através de informe dio a conocer a la ETITC, las diferente matrices de consumo de energía. Se proyecta realizar un proyecto entorno a estos resultados y análisis realizados. </t>
  </si>
  <si>
    <t>Ejecución y seguimiento</t>
  </si>
  <si>
    <t>Hacer seguimiento al plan de gestión ambiental (actividades relacionadas con ahorro energetico)</t>
  </si>
  <si>
    <t xml:space="preserve">Matriz de seguimeinto </t>
  </si>
  <si>
    <t>Este seguimiento se programa realizar durante la 1° semana de abril</t>
  </si>
  <si>
    <t>ME-59 Implementar el programa de racionalización de consumo de papel</t>
  </si>
  <si>
    <t>Implementar el programa de racionalización de consumo de papel</t>
  </si>
  <si>
    <t>Porcentaje de implementación del programa  racionalización de consumo de papel</t>
  </si>
  <si>
    <t>Informe de ejecución</t>
  </si>
  <si>
    <t xml:space="preserve">Se cuenta con la Circular 07 de 2021 de la Rectoria. Durante la 1° semana de abril se llevará a cabo una reunión mediante la cual se determinara el plan de trabajo a realizar en la vigencia. </t>
  </si>
  <si>
    <t>OFICINA DE COMUNICACIONES</t>
  </si>
  <si>
    <t>ME-7- Aumentar la visibilidad institucional de la Escuela mediante estrategias de marketing digital.</t>
  </si>
  <si>
    <t>Diseño de Estrategias</t>
  </si>
  <si>
    <t>Diseñar y estructurar la política de comunicaciones de la ETITC</t>
  </si>
  <si>
    <t>Número de estrategias de posicionamiento implementadas.</t>
  </si>
  <si>
    <t xml:space="preserve">Documento elaborado </t>
  </si>
  <si>
    <t xml:space="preserve">Actalmente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t>
  </si>
  <si>
    <t>Elaboración y selección de estrategias según la política de comunicaciones institucional</t>
  </si>
  <si>
    <t>Estrategias elaboradas</t>
  </si>
  <si>
    <t>Con relación al plan de comunicaciones vigencia 2021 – 2024, se identificó una parrilla de contenido para suplir las necesidades de la institución, entre las cuales se identificaron estrategias a partir de las solicitudes al área, mismas que comprenden diferentes actividades y productos.
Febrero: 5 estrategias.
Marzo: 10 estrategias.</t>
  </si>
  <si>
    <t xml:space="preserve">Matriz de seguimiento a las estrategias del Plan de Comunicaciones </t>
  </si>
  <si>
    <t>Sistemas de control y plan de contingencias</t>
  </si>
  <si>
    <t>Sistemas de control y plan de contingencias desarrollado</t>
  </si>
  <si>
    <t xml:space="preserve">Actualmente se realiza un formato para evaluar la realización y consolidación de las estrategias de comunicación. 
Durante el 2021 se realizó el plan de contingencias que ha permitido una mejor articulación en el área  </t>
  </si>
  <si>
    <t>Borrador de formato de evaluación</t>
  </si>
  <si>
    <t xml:space="preserve">Implementación de las Estrategias </t>
  </si>
  <si>
    <t>Desarrollo de las estretegias (seguimiento y evaluación)</t>
  </si>
  <si>
    <t>Estreategias implementadas</t>
  </si>
  <si>
    <t>Esta actividad tendrá lugar una vez que consolide el formato de evaluación.</t>
  </si>
  <si>
    <t>PE-11- Implementación de estrategias de comunicación externas e internas y fortalecimiento de la gestión documental: LA ETITC COMUNICA</t>
  </si>
  <si>
    <t>ME-21- Fortalecer los canales existentes para la comunicación interna - externa.</t>
  </si>
  <si>
    <t xml:space="preserve">Diseño </t>
  </si>
  <si>
    <t xml:space="preserve">Identificar las necesidades de cada área y consolidar parrilla de contenido </t>
  </si>
  <si>
    <t>Porcentaje de implementación de la Política Institucional de Comunicaciones.</t>
  </si>
  <si>
    <t>Parrilla consolidada</t>
  </si>
  <si>
    <t xml:space="preserve">Actualmente a partir de las reuniones realizadas se han estructurado 3 parrillas de contenido, así mismo se hace unos el formato de solicitud de apoyo al área.
</t>
  </si>
  <si>
    <t xml:space="preserve">Evidencias audiovisuales de la ejecución de las parrillas de contenido </t>
  </si>
  <si>
    <t xml:space="preserve">Ejecución de la parrilla de contenido con su respectivo seguimiento y evaluación de impacto </t>
  </si>
  <si>
    <t>Proceso de ejecución de la parrilla completado</t>
  </si>
  <si>
    <t xml:space="preserve">De conformidad con la parrilla de contenidos se ha ejecutado las actividades previamente indentificadas en paoyo a los procesos institucionales. </t>
  </si>
  <si>
    <t>Matriz de de guimiento a las actividades</t>
  </si>
  <si>
    <t xml:space="preserve">Realizar el programa Institución al Día como espacio de participación ciudadana </t>
  </si>
  <si>
    <t>Programas realizados</t>
  </si>
  <si>
    <t>Durante el 1° trimestre de la vigencia se han realizado 12 emisiones con los diferentes procesos de la entidad.</t>
  </si>
  <si>
    <t>https://www.facebook.com/watch/16872038093/2246567575376324/</t>
  </si>
  <si>
    <t>VICERRECTORÍA ADMINISTRATIVA Y FINANCIERA</t>
  </si>
  <si>
    <t>Estrategia 1.
Lo institucional: La transformación cultural de la ETITC</t>
  </si>
  <si>
    <t>OE-3 Fortalecer el ecosistema de funcionalidades digitales para la gestión y el desarrollo de la actividad misional mediante el uso de las TIC</t>
  </si>
  <si>
    <t>INFRAESTRUCTURA ELÉCTRICA</t>
  </si>
  <si>
    <t>PE-10- Transformación digital de la ETITC</t>
  </si>
  <si>
    <t>ME-17- Adecuar las capacidades tecnológicas para atender las necesidades de los procesos misionales.</t>
  </si>
  <si>
    <t xml:space="preserve">Ejecución </t>
  </si>
  <si>
    <t>Prestación de servicios profesionales como apoyo a la gestión del área de infraestructura eléctrica para realizar adecuación y soporte de sistemas eléctricos y de redes de datos normalizados y especiales, diseño, implementación y mantenimiento de sistemas de iluminación y protección y soporte en la preparación de documentos de redes de datos y comunicaciones. según normatividad vigente (11 meses)</t>
  </si>
  <si>
    <t>Proyectos de TICS ejecutados / Proyectos de TICS programados para la academia</t>
  </si>
  <si>
    <t xml:space="preserve">Ejecución contractual </t>
  </si>
  <si>
    <t xml:space="preserve">Actualmente se cuenta con el Cto: 005, 006, 007, 138, 139 de 2022. $117.730.000
Soporte a los sistemas de conexión para los televisores, wifi </t>
  </si>
  <si>
    <t xml:space="preserve">Registros fotográficos 
Informes de gestión </t>
  </si>
  <si>
    <t>Prestación de servicios como apoyo a la gestión del área de infraestructura eléctrica, para realizar adecuación y soporte de sistemas eléctricos normalizados y especiales, mantenimiento de sistemas de iluminación y protección y soporte en la preparación de documentos de redes electricas, según normatividad vigente (tecnologo electricista o afines)</t>
  </si>
  <si>
    <t xml:space="preserve">Las actividades se hacen de manera transversal </t>
  </si>
  <si>
    <t xml:space="preserve">Actualmente se cuenta con el Cto: 005, 006, 007, 138 y 139 de 2022 
Se ha prestado soporte a los sistemas de iluminación, puesta a tierra, maquinas equipos. 
La información de estos soportes se verifica a través de la plataforma Mantum 
</t>
  </si>
  <si>
    <t>contratación de la prestación de servicios como apoyo a la gestión del área de infraestructura eléctrica, para desarrollar las actividades de adecuación de sistemas eléctricos normalizados y especiales, mantenimiento preventivo de equipos de misión crítica e implementación y mantenimiento de sistemas de automatización de los diferentes equipos de la etitc. (tecnologo electricista o afines)</t>
  </si>
  <si>
    <t xml:space="preserve">Con relación al mantenimiento de: UPS, Planta de energía eléctrica, Aires Acondicionados, reguladores de voltaje, sistema de iluminación greenmax, sistema de apantallamiento sistema de puesta a tierra, se realizan por el equipo de Infraestructura eléctrica, sin embargo, se adelantan los estudios necesarios para adelantar el proceso contractual, con el fin de adquirir prestaciones de servicio en temas de mantenimiento. </t>
  </si>
  <si>
    <t>Informes de MÁNTUN</t>
  </si>
  <si>
    <t>Contratación de la prestación de servicios como apoyo a la gestión del área de infraestructura eléctrica de las extensión Carvajal y Tintal de la Escuela Tecnológica Instituto Técnico Central para realizar adecuación y soporte de sistemas eléctricos normalizados, mantenimiento de sistemas de iluminación y protección eléctrica. según normatividad vigente. (técnico electricista o afines)</t>
  </si>
  <si>
    <t xml:space="preserve">De los 5 profesionales en el área, uno apoya a sede Carvajal y uno la sede Tintal, dependiendo de la necesidad del servicio.
</t>
  </si>
  <si>
    <t>Contratación del mantenimiento preventivo y correctivo especializado de las plantas eléctricas y sus respectivas transferencias automáticas.</t>
  </si>
  <si>
    <t xml:space="preserve">Se cuentan con los estudios previos; la vicerrectoría administrativa dio aval a los mismos, y se encuentra en trámite el CDP. </t>
  </si>
  <si>
    <t>Contratación del mantenimiento preventivo y correctivo especializado de los Aires acondicionados</t>
  </si>
  <si>
    <t>Contratación del mantenimiento preventivo y correctivo especializado de las UPS y Reguladores</t>
  </si>
  <si>
    <t>Contratación de mantenimiento preventivo, correctivo y certificación de los Sistema automatizados de apertura/cierre puertas calle 15, carrera 17 y patio central</t>
  </si>
  <si>
    <t>Se cuenta con los borradores de los estudios previos. 
Se realizan mantenimiento de tipo sostenible.</t>
  </si>
  <si>
    <t>Estudios previos 
Informes de MÁNTUN</t>
  </si>
  <si>
    <t>Contratación de mantenimiento preventivo y correctivo especializado de la plataforma elevadora GENIE</t>
  </si>
  <si>
    <t>Contratación de mantenimiento preventivo y correctivo de sistema de puesta a tierra de la sede Centro (apantallamiento)</t>
  </si>
  <si>
    <t>Contratación del mantenimiento preventivo y correctivo especializado del sistema de automatización de iluminación (GreenMax)</t>
  </si>
  <si>
    <t>Contratación del Mantenimiento preventivo y correctivo de los sistemas audio, video e iluminación artistica (Auditorio, teatro, capilla y sonido general)</t>
  </si>
  <si>
    <t xml:space="preserve">Contratación del mantenimiento correctivo y preventivo especializado de los controles de acceso </t>
  </si>
  <si>
    <t xml:space="preserve">Teniendo en cuenta que esta actividad se desarrolla a través de contratos anteriores, se está a la espera que culmine el contrato respectivo para determinar la necesidad de un mantenimiento. </t>
  </si>
  <si>
    <t>Contratación del mantenimiento correctivo y preventivo especializado del CCTV.</t>
  </si>
  <si>
    <t>Contratación del mantenimiento correctivo y preventivo especializado del sistema de alerta sismica</t>
  </si>
  <si>
    <t>Contratación del mantenimiento correctivo y preventivo especializado del sistema de audioevacuación</t>
  </si>
  <si>
    <t>Contratación del mantenimiento correctivo y preventivo especializado de la planta solar fotovoltaica de 22 kWp</t>
  </si>
  <si>
    <t xml:space="preserve">Por confirmar su factibilidad </t>
  </si>
  <si>
    <t>Contratación del Diseño e implementación de malla de tierras de telecomunicaciones de la sede Centro</t>
  </si>
  <si>
    <t>Contratación del Diseño e implementación del banco de compensación automática (condensadores) de la sede Centro</t>
  </si>
  <si>
    <t>Contratación del diseño y cambio de tablero de distribución eléctrica principal con las respectivas protecciones de la sede Centro</t>
  </si>
  <si>
    <t>Compra de materiales y herramientas para mantenimiento general de la Escuela</t>
  </si>
  <si>
    <t>Adquisición de materiales</t>
  </si>
  <si>
    <t>Ampliación del sistema de CCTV en todas las sedes</t>
  </si>
  <si>
    <t xml:space="preserve">Sinstemas ampliados </t>
  </si>
  <si>
    <t>Compra de materiales para realizar la actualización del cableado eléctrico y de redes de oficinas administrativas, investigación y de personal</t>
  </si>
  <si>
    <t>Compra de UPS trifásicas para algunos sectores de la sede Centro</t>
  </si>
  <si>
    <t>Contratación de la Integración de sistema TOIOTEM al sistema de control de acceso actual de la sede Centro</t>
  </si>
  <si>
    <t>Estrategia 3.
Lo ambiental: un acuerdo por y para la vida en contexto ambiental.</t>
  </si>
  <si>
    <t>OE-10
Establecer un nuevo acuerdo ambiental mediante una política institucional ambiental y la catedra institucional en la ETITC.</t>
  </si>
  <si>
    <t>PE-24-Optimización en el consumo de energía y uso de energias alternativas</t>
  </si>
  <si>
    <t>ME-58- Lograr el Diez porciento (10%) de ahorro energético</t>
  </si>
  <si>
    <t>Compra de Iluminación con sistema de abastecimiento energético por medio fotovoltaico para los parqueaderos de la sede Centro</t>
  </si>
  <si>
    <t>Suministro, instalación y puesta en funcionamiento de la fase 1 de una planta de energía solar fotovoltaica en las cubiertas de los bloques F,G,H de la sede Centro.</t>
  </si>
  <si>
    <t>Fase 1 de una planta de energía solar fotovoltaica en las cubiertas puesta en marcha</t>
  </si>
  <si>
    <t>Contratación del Diseño e implementación de malla de tierras electricas de la sede Centro</t>
  </si>
  <si>
    <t>OE-5
Consolidar la infraestructura física de la Escuela para el desarrollo de la academia y la consolidación de las nuevas apuestas institucionales</t>
  </si>
  <si>
    <t>PLANTA FÍSICA</t>
  </si>
  <si>
    <t>PE-13
Gestión integral de inmuebles</t>
  </si>
  <si>
    <t>ME-24
Englobar todos los predios que integran la sede Central</t>
  </si>
  <si>
    <t xml:space="preserve">Por definir </t>
  </si>
  <si>
    <t>Prestación de servicios profesionales  como apoyo a la gestión de inmuebles de la ETITC y sus sedes para la vigencia 2022</t>
  </si>
  <si>
    <t>Porcentaje de englobe de los predios que integran la sede central</t>
  </si>
  <si>
    <t>Acta de inicio del contrato</t>
  </si>
  <si>
    <t>Actualmente se ejecuta el contrato 009 de 2022, el cual tiene vigencia hasta el 30 de noviembre de 2022.</t>
  </si>
  <si>
    <t>https://itceduco-my.sharepoint.com/personal/arquitectura_itc_edu_co/_layouts/15/onedrive.aspx?id=%2Fpersonal%2Farquitectura%5Fitc%5Fedu%5Fco%2FDocuments%2FPLANTA%20F%C3%8DSICA%2F3%2E%202022%2F2%2E%20Planeaci%C3%B3n%202022%2FPLAN%20DE%20ACCI%C3%93N%202022&amp;ct=1650472022187&amp;or=OWA%2DNT&amp;cid=fce0ae26%2D7279%2D0ca8%2D6a8b%2D5b0eed5bc12b&amp;ga=1</t>
  </si>
  <si>
    <t>ME-25 
Determinar el aprovechamiento del inmueble de la calle 18 a partir del POT aprobado</t>
  </si>
  <si>
    <t xml:space="preserve">Estudios técnicos estructurales, arquitectónicos, de redes,  de uso, contexto y demás necesarias para definir la viabilidad de la casa y edificio de la sede calle 18 de la escuela tecnológica instituto técnico central. </t>
  </si>
  <si>
    <t xml:space="preserve">Porcentaje de ejecución de las intervenciones físicas.
</t>
  </si>
  <si>
    <t>1. Proceso de contratación
2. Ejecución del estudio</t>
  </si>
  <si>
    <t xml:space="preserve">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
</t>
  </si>
  <si>
    <t>Porcentaje de espacios aprovechados y con uso en el inmueble</t>
  </si>
  <si>
    <t>por definir</t>
  </si>
  <si>
    <t xml:space="preserve">Los estudios previos se encuentran elaborados, cuentan con la respectiva revisión por parte del área de Contratación (Número de CDP 9922, $128.192.750). </t>
  </si>
  <si>
    <t>ME-26
Formular el Plan de administración e intervención de las instalaciones en comodato (Localidad Kennedy)</t>
  </si>
  <si>
    <t>Avance del documento del plan de administración e intevención de las instalaciones en comodato de la etitc</t>
  </si>
  <si>
    <t xml:space="preserve">Porcentaje de formulación del Plan de administración e intervención de las instalaciones en comodato.
</t>
  </si>
  <si>
    <t>Documento</t>
  </si>
  <si>
    <t>El documento base se encuentra finalizado desde la vigencia 2021; según las necesidades se actualiza dicho planeación.</t>
  </si>
  <si>
    <t xml:space="preserve">Porcentaje de ejecución del Plan de administración e intervención de las instalaciones en comodato.
</t>
  </si>
  <si>
    <t xml:space="preserve">La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t>
  </si>
  <si>
    <t>ME-27
Formular e implementar el modelo operativo de administración de inmuebles</t>
  </si>
  <si>
    <t>Avance del documento del modelo operativo de administración de inmuebles</t>
  </si>
  <si>
    <t>Porcentaje de formulación e implementación del modelo operativo para la administración de inmuebles.</t>
  </si>
  <si>
    <t>Documento Modelo operativo para la administración de inmuebles.</t>
  </si>
  <si>
    <t>Ejecución de planes de mantenimiento en los inmuebles</t>
  </si>
  <si>
    <t>Ordenes de trabajo</t>
  </si>
  <si>
    <t xml:space="preserve">Actualmente se ejecuta el Cto - 146 de 2022, cuya finalidad es gestionar la puesta en marcha del plan de administración e intervención esde el mantenimiento.
Supervisión del personal del mantenimiento locativo y la ejecución de las actividades asignadas
2. Actualización del documento del Plan de Administración e intervención.
3. Apoyo en la elaboración de propuesta para proyectos en la ETITC: Nuevo sistema modular para las actividades de bienestar. Prototipo en Biocostrucción para el espacio de residuos en la ETITC.
4. Apoyo en la supervisión de la obra en mantenimiento y reforsamiento estructural.
</t>
  </si>
  <si>
    <t>ME-28
Gestionar la consecución de un nuevo Campus para la Escuela</t>
  </si>
  <si>
    <t>Porcentaje de implementación de la estrategia de consecución del Campus.</t>
  </si>
  <si>
    <t>Esta actividad no ha tenido avance</t>
  </si>
  <si>
    <t>Estrategia 3.
Lo ambiental: Un acuerdo por y para la vida en contexto ambiental</t>
  </si>
  <si>
    <t>OE-10
Establecer un nuevo acuerdo ambiental mediante una política institucional ambiental y la cátedra institucional en la ETITC</t>
  </si>
  <si>
    <t>PE-22
Política institucional ambiental en la ETITC</t>
  </si>
  <si>
    <t>ME-56
Implementar una poítica ambiental bajo consideraciones de sostenibilidad</t>
  </si>
  <si>
    <t>Estudios técnicos para el sistema piloto de aprovechamiento de agua lluvia para el bloque j de la sede central de la etitc.</t>
  </si>
  <si>
    <t xml:space="preserve">Los estudios previos se encuentran elaborados, cuentan con la respectiva revisión por parte del área de Contratación (Número de CDP 9722, $34.133.333). </t>
  </si>
  <si>
    <t>Alquiler de sistema de desodorización de baños incluida la instalación, servicio de recarga mensual, mantenimiento del sistema y asesoría personalizada en la escuela  tecnológica instituto técnico central y sus sedes durante la vigencia 2022</t>
  </si>
  <si>
    <t>1. Proceso de contratación
2. Ejecución del mantenimiento</t>
  </si>
  <si>
    <t>Los estudios previos se encuentran elaborados, cuentan con la respectiva revisión por parte del área de Contratación (Número de CDP 9822, $50.582.259). 
Esta actividad tendrá lugar durante el 2° semestre.</t>
  </si>
  <si>
    <t>PE-24
Optimización de en el consumo de energía eléctrica y uso de energías alternativas</t>
  </si>
  <si>
    <t>ME-60
Realizar la adecuada disposición de todos los residuos producidos en el área de infraestructura, talleres y laboratorios</t>
  </si>
  <si>
    <t>Adecuar los espacios de residuos de las sedes y de los talleres y laboratorios</t>
  </si>
  <si>
    <t>Porcentaje de adecuación de residuos cumplido</t>
  </si>
  <si>
    <t>Espacios organizados</t>
  </si>
  <si>
    <t xml:space="preserve">Con la Orden de compra 83842 por $28.146.798, se adquirieron 24 contenedores instalados el 4 de abril en los talleres: Modeleria, Motores, metalistería, fundición y mantenimiento locativo.  </t>
  </si>
  <si>
    <t>Disposición de residuos adecuada (Gestión ambiental)</t>
  </si>
  <si>
    <t>Formatos de entrega de residuos</t>
  </si>
  <si>
    <t xml:space="preserve">Se ha realizado la recolección de los residuos con los gestores contratados por la ETITC: 
Residuos de construcción y demolición.
Chatarra.
Residuos de origen natural.
</t>
  </si>
  <si>
    <t xml:space="preserve">Informe de actividades ejecutadas </t>
  </si>
  <si>
    <t>PE-25
Diseño e implementación de espacios de "concepto verde" que mejoren la vida académica en las sedes de la ETITC</t>
  </si>
  <si>
    <t>ME-61
Adecuar espacios verdes verticales y horizontales</t>
  </si>
  <si>
    <t>Adecuar espacios verdes verticales y horizontales</t>
  </si>
  <si>
    <t xml:space="preserve">Porcentaje de elaboración del programa de mantenimiento e intervención de los espacios verdes verticales y horizontales
</t>
  </si>
  <si>
    <t>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t>
  </si>
  <si>
    <t>Fabricación del espacio de residuos bajo un sistema de bioconstrucción para la sede central de la Escuela Tecnológica Instituto Técnico Central</t>
  </si>
  <si>
    <t xml:space="preserve">Porcentaje de ejecución del programa de mantenimiento e intervención de los espacios verdes verticales y horizontales
</t>
  </si>
  <si>
    <t>El proyecto cuenta con el diseñor del espacio de residuos, adicionalmente se estructuran los estudios previos, estudio de mercado.</t>
  </si>
  <si>
    <t xml:space="preserve">Prediseño del espacio </t>
  </si>
  <si>
    <t xml:space="preserve">Mantenimiento del invernadero y espacio de piscicultura de la sede central de la etitc. incluye adecuación de la estructura, recubrimiento, instalación de piso, adecuaciones interiores. incluye fabricación e instalación de nuevo módulo de 3mx 3m x 3m con las mismas especificaciones. </t>
  </si>
  <si>
    <t xml:space="preserve">Se han realizado las siguientes actividades de jardineria con el Cto 154 de 2022: 1- Organización y poda del  invernadero y espacio de piscicultura de la sede central de la ETITC. 
Se encuentra en fase de diseño el nuevo modulo para el invernadero a través del Cto- 090 de 2022.
</t>
  </si>
  <si>
    <t>PE-26
Actualización de la infraestructura física, cumpliendo normativas aplicables y generando espacios adecuados para el desarrollo de actividades académicas y de bienestar en el marco de la sostenibilidad</t>
  </si>
  <si>
    <t>ME-62
Adelantar el 50% del reforzamiento estructural de la sede principal</t>
  </si>
  <si>
    <t>Prestación de servicios profesionales en arquitectura como apoyo a la gestión del área de planta física de las instalaciones de la escuela tecnológica instituto técnico central para la vigencia 2022</t>
  </si>
  <si>
    <t xml:space="preserve">Porcentaje del reforzamiento estructural obtenido </t>
  </si>
  <si>
    <t>Ejecución Contractual</t>
  </si>
  <si>
    <t>Cto- 004 de 2022 por un valor $52.000.000. Hasta el 30 de noviembre</t>
  </si>
  <si>
    <t>Prestación de servicios profesionales como apoyo a la gestión del bien interés cultural de la Escuela tecnológica instituto técnico central para la vigencia 2022</t>
  </si>
  <si>
    <t>Através del Cto 008 de 2022 se han realizado las siguientes actividades: Apoyo a la supervisión de obra de mantenimiento para la preservación del inmueble BIC.
2. Elaboración de socilitudes ante el MinCultura.
Seguimiento a la ejecución de los proyectos aprobados por el MinCultura: Mantenimiento y limpieza de la claraboya, intervención del local de transformación, desinfección y fumigación general, reparación de filtraciones de agua por cubierta.</t>
  </si>
  <si>
    <t>Prestación de servicios como apoyo a la gestión del área de planta física como auxiliar de arquitectura de la escuela ETITC</t>
  </si>
  <si>
    <t xml:space="preserve">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</si>
  <si>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 xml:space="preserve">Prestación de servicios como apoyo a la gestión para el área de planta física de la ETITC como:
* Jardinero
*Pintor (todas las instalaciones)
*Ebanista y carpintero (todas las sedes)
*Albañil (todas las sedes)
* Fontanero (Todas las instalaciones)
*Ayudante de mantenimiento (Todas las instalaciones)
*Auxiliar de mantenimiento locativo (Todas las instalaciones)
</t>
  </si>
  <si>
    <t xml:space="preserve">* Jardinero: Cto - 154 de 2022
*Pintor: Cto- 010 de 2022   (todas las instalaciones)
*Techador: Cto- 011- 2022 (todas las sedes)
*Albañil: Cto 012 de 2022 (todas las sedes)
* Fontanero: 013 de 2022  (Todas las instalaciones)
*Ayudante de mantenimiento: 088 de 2022 (Todas las instalaciones)
*Auxiliar de mantenimiento locativo: 089 de 2022 (Todas las instalaciones)
</t>
  </si>
  <si>
    <t>Prestación de servicios a todo costo para el correcto funcionamiento del sistema de bombeo, lavado de tanques, limpieza de trampa de grasas, desinfección y fumigación de espacios, tratamiento de vectores y tratamiento de hongos en muros de las cuatro sedes de la escuela tecnológica insituto técnico central. incluye mano de obra, materiales, transporte y soporte de emergencia.</t>
  </si>
  <si>
    <t xml:space="preserve">Se cuenta con el estudio previo y se surte el proceso de estudio de mercado. </t>
  </si>
  <si>
    <t xml:space="preserve">Estudio previo </t>
  </si>
  <si>
    <t>proyecto - plan de eficiencia energetica - realizar la instalación de paneles solares en los bloques f, g y h, sistema conectado a red electrica actual, para el ahorro de energia.</t>
  </si>
  <si>
    <t xml:space="preserve">Esta actividad se proyecta realizar durante el 2° semestre </t>
  </si>
  <si>
    <t>diseño de extracción mecánica para la cocinas y baños de la sede central en cumplimiento de la normativa vigente. incluye trámites y autorizaciones ante las entidades competentes.</t>
  </si>
  <si>
    <t xml:space="preserve">Se encuentra en elaboración el estudio previo y estudio de mercado. </t>
  </si>
  <si>
    <t>diseño del proyecto de remodelación de baterías de baños de la sede central. incluye levantamiento de redes, diseño arquitectónico, diseño de redes, especificaciones, presupuesto, cronograma de obra y trámites de aprobación ante entidades competentes.</t>
  </si>
  <si>
    <t>Prestación de servicios especializados en conservación del patrimonio para realizar la actualización, complementación, actividades complementarias  y aprobación del plan especial de manejo y protección -pemp- de la sede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</si>
  <si>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Se cuenta con los estudios previos; ya se tiene la revsión completa de estos y se esta a la espera de la expedición del CDP.</t>
  </si>
  <si>
    <t>Interventoría para la prestación de servicios especializados en conservación del patrimonio para realizar la actualización, complementación, actividades complementarias  y aprobación del plan especial de manejo y protección -pemp- de la sede central de la escuela tecnológica instituto técnico central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</si>
  <si>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 xml:space="preserve">Se encuentra en elaboración el estudio previo y estudio de mercado, se esta a la espea de su revisión con la Oficina de Contratación. </t>
  </si>
  <si>
    <t>Prestación del servicio integral de mantenimiento preventivo, correctivo, y/o intervenciones menores en la sede Central, sede Calle 18, sede Carvajal y sede Tintal, donde la Escuela Tecnológica Instituto Técnico Central presta sus servicios; incluido el suministro del personal mínimo, materiales, equipos, repuestos y accesorios para los bienes muebles e inmuebles y la infraestructura física instalada en los mismos.</t>
  </si>
  <si>
    <t>Se encuentra en elaboración el estudio previo y estudio de mercado</t>
  </si>
  <si>
    <t>Ejecución del Cto- 225 de 2020</t>
  </si>
  <si>
    <t>De acuerdo al plan de pagos se han realizado y entregado los diseños arquitectónicos, estructurales y de redes del Proyecto reforzamiento.
Radicación del proyecto de roforzamiento alnte la Curaduría
Seguimiento a la radicación a la Curaduría
Inicio a la elaboración de los Pliegos de condiciones y estudios de mercado para la obra de reforzamiento.</t>
  </si>
  <si>
    <t>Seguimiento al contrato 225-2020 con el objeto: 	el contratista se compromete con la ETITC a planear, desarrollar y llevar a buen término la gerencia integral del proyecto institucional denominado "proyecto de reforzamiento estructural de la escuela tecnológica instituto técnico central" en las fases señaladas en el anexo técnico</t>
  </si>
  <si>
    <t xml:space="preserve">Ejecución de los Cómite Operativo del reforzamiento Estructural: 25 de enero, 14 de febrero ,23 de marzo.
 </t>
  </si>
  <si>
    <t>ME-63
Construir espacios adecuados para la ubicación del gimnasio y áreas para desarrollo de actividades de bienestar estudiantil, administrativos y docentes</t>
  </si>
  <si>
    <t xml:space="preserve">FABRICACIÓN DEL SISTEMA MODULAR PARA EL GIMNASIO Y ÁREAS DE BIENESTAR.
</t>
  </si>
  <si>
    <t>Número de espacios intervenidos para el desarrollo de actividades de bienestar.</t>
  </si>
  <si>
    <t>Documentación del proyecto</t>
  </si>
  <si>
    <t xml:space="preserve">Actualmente se cuenta con el diseño del sistema modular. </t>
  </si>
  <si>
    <t xml:space="preserve">Diseño del sistema modular </t>
  </si>
  <si>
    <t>REALIZAR LA INTERVENTORÍA INTEGRAL DE LA FABRICACIÓN DEL SISTEMA MODULAR PARA EL GIMNASIO Y ÁREAS DE BIENESTAR.</t>
  </si>
  <si>
    <t xml:space="preserve">Una vez se cuente con la publicación del proceso de contratación para la fablicación del sistema modular esta actividad tendrá lugar a su cumplimiento. </t>
  </si>
  <si>
    <t>ME-64
Contar con un sistema de control de acceso para la sede principal</t>
  </si>
  <si>
    <t>Señalización de los totem</t>
  </si>
  <si>
    <t xml:space="preserve">Porcentaje efectivo de la implementación del sistema de control en las 3 porterias de la sede central </t>
  </si>
  <si>
    <t xml:space="preserve">Esta actividad se ejecuta a través del Cto-359 de 2021. El contratista entrego el diseño de la señaliación, se encuentra en fabricación y se espera a su implementación. </t>
  </si>
  <si>
    <t>ME-65
Adecuación completa de la sede Calle 18</t>
  </si>
  <si>
    <t>Actividades de mantenimiento en la sede calle 18</t>
  </si>
  <si>
    <t>Adecuar las instalaciones de la sede Calle 18</t>
  </si>
  <si>
    <t xml:space="preserve">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
</t>
  </si>
  <si>
    <t>ME-66
Adaptación progresiva de la planta física para implementar la normativa de movilidad reducida</t>
  </si>
  <si>
    <t>Estudio técnico de seguridad humana y accesibilidad universal en el cumplimiento de la normativa vigente. incluye diseño arquitectónico, estructural, redes y trámites ante entidades competentes.</t>
  </si>
  <si>
    <t xml:space="preserve">Porcentaje de gestión para la implementación de la normatividad de movilidad reducida
</t>
  </si>
  <si>
    <t>Estudios realizados</t>
  </si>
  <si>
    <t xml:space="preserve">Esta actividad se proyecta realizar durante el 2° trimestre </t>
  </si>
  <si>
    <t>Implementación del sistema de transporte por escaleras de mersonas con movilidad reducida a través de una silla salva escaleras tipo oruga</t>
  </si>
  <si>
    <t xml:space="preserve">
Porcentaje de ejecución de la intervenciones necesarias </t>
  </si>
  <si>
    <t>Asistencia a una capacitación (4 de marzo)
realización del diseño para guardar la silla salva escaleras tipo oruga.
La cabina se fabricará a través del Cto 359 de 2021.</t>
  </si>
  <si>
    <t>ME-67
Optimización de la oferta de parqueaderos en la sede central</t>
  </si>
  <si>
    <t>Adecuación del parqueadero de la call 15</t>
  </si>
  <si>
    <t xml:space="preserve">Porcentaje de espacios intervenidos del área destinada a parqueaderos  </t>
  </si>
  <si>
    <t>Suministro e instalación de 90 unidades de biciparqueaderos. incluye todos los elementos necesarios para adquirir el sello de calidad del biciparqueadero de la Secretaría de movilidad.</t>
  </si>
  <si>
    <t>Adecuaciones realizadas</t>
  </si>
  <si>
    <t>ME-68
Gestionar las Dotaciones de las instalaciones y sede principal para la permanencia y aumento de la oferta</t>
  </si>
  <si>
    <t>Proceso de bajas de mobiliario</t>
  </si>
  <si>
    <t>Porcentaje de las dotaciones nueva instaladas y mantenimiento de las dotaciones existentes</t>
  </si>
  <si>
    <t>Proceso ejecutado</t>
  </si>
  <si>
    <t>Se Envió a Almacen del formato de baja de 714 unidades de moviliario entre sillas, pupitres, mesas y archivadores que se encuentran almacenados en la sede Centra.</t>
  </si>
  <si>
    <t>Modernización de mobiliario</t>
  </si>
  <si>
    <t xml:space="preserve">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</si>
  <si>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0E-5- Consolidar la infraestructura física de la Escuela para el desarrollo de la academia y la consolidación
de las nuevas apuestas institucionales.</t>
  </si>
  <si>
    <t>ALMACEN</t>
  </si>
  <si>
    <t>PE-13-Formula e implementar el modelo operativo de administración de inmuebles</t>
  </si>
  <si>
    <t>ME-27-Fortalecimiento a la administración e inmuebles ETITC</t>
  </si>
  <si>
    <t xml:space="preserve">Apoyo  a la gestión </t>
  </si>
  <si>
    <t>Apoyo a la gestión el área almacen (2 contratistas)</t>
  </si>
  <si>
    <t>Porcentaje de inplementaicón del modelo operativo de administración de inmuebles</t>
  </si>
  <si>
    <t>Para la vigencia 2022 se cuenta con 2 contratos por prestación de servicios: 016, 137. (finalizan 15 de diciembre). Valor por $47.733.861.</t>
  </si>
  <si>
    <t xml:space="preserve">Actas de inicio </t>
  </si>
  <si>
    <t>Actualización del Manual de Bienes Muebles</t>
  </si>
  <si>
    <t>Documento actualizado</t>
  </si>
  <si>
    <t xml:space="preserve">Actualmente se realiza la actualización del Manual de Bienes Muebles, se esta a la espera de la revisión por parte de la Vicerrectoría Administrativa y financiera. </t>
  </si>
  <si>
    <t xml:space="preserve">Borrador de Manual actualizado </t>
  </si>
  <si>
    <t>Impresora ZEBRA</t>
  </si>
  <si>
    <t>Equipo adquirido</t>
  </si>
  <si>
    <t xml:space="preserve">Se ha identificado la herramienta en la página colombia compra eficiente, y se adelanta el proceso de estudio técnico con el área de Informática y Comunicación. 
</t>
  </si>
  <si>
    <t>OE-1- Consolidar la calidad académica para la acreditación institucional de alta calidad respaldada fortalecimiento
de la gestión, la infraestructura tecnológica y física.</t>
  </si>
  <si>
    <t>ÁREA ADMINISTRATIVA Y FINANCIERA</t>
  </si>
  <si>
    <t>PE-2- Modelo integral de gestión academico-administrativa por Sistema de Créditos Académicos</t>
  </si>
  <si>
    <t>ME-2- Estructurar e implementar el modelo integral de gestión academico-administrativa por Sistema de Créditos Académicos al 2024.</t>
  </si>
  <si>
    <t>Estructurar e implementar el modelo integral de gestión academico-administrativa por Sistema de Créditos Académicos al 2024.</t>
  </si>
  <si>
    <t>Porcentaje de implementación del sistema académico-administrativo por sistema de créditos académicos</t>
  </si>
  <si>
    <t>GESTIÓN DOCUMENTAL</t>
  </si>
  <si>
    <t>PE-11- Implementación de estrategias de comunicación externas e internas y fortalecimiento de la gestión documental: LA ETITC COMUNICA.</t>
  </si>
  <si>
    <t>ME-22- Implementación del PINAR en cumplimiento a los parámetros establecidos por el Archivo General de la Nación.</t>
  </si>
  <si>
    <t>Actualización y fortalecimiento del SGEDA</t>
  </si>
  <si>
    <t>Prestación de servicios en las actividades de gestión documental de la Escuela Tecnológica Instituto Técnico Central</t>
  </si>
  <si>
    <t>Número de actividades ejecutadas del PINAR</t>
  </si>
  <si>
    <t>Actualmente el proceso de Gestión documental cuenta con 3 contratos de prestación de servicio (Cto-133, 134 y 135 del 2022), dichos ciontratos tuvieron inicio desde le 31 de enero, se culminaran el 30 de noviembre.</t>
  </si>
  <si>
    <t>Actas de inicio</t>
  </si>
  <si>
    <t>Fabricación e instalación del sistema rodante de archivo con accionamiento mecánico compuesto por 6 carros mecánicos y 2 carros fijos.</t>
  </si>
  <si>
    <t>Sistema de archivo fabricado e instalado</t>
  </si>
  <si>
    <t>Actualmente se encuentra en ejecución la revisión de los estudios previos y actualización de cotizaciones  a lugar</t>
  </si>
  <si>
    <t xml:space="preserve">Diseño, implementación y seguimiento de estrategias orientadas a gestionar el ciclo de vida de los documentos electrónicos, con estándares tecnológicos y estándares archivísticos: SGDEA </t>
  </si>
  <si>
    <t>SGDEA diseñado e Implementado</t>
  </si>
  <si>
    <t xml:space="preserve">No se requiere </t>
  </si>
  <si>
    <t>Para la implementación de las estrategias con relación al SGDEA, se hace necesario la usabilidad del software ALFRESCO, mediante el cual se realizaran diferentes pruebas. El líder del proceso cuenta con el usuario y contraseña. 
Se esta a  la espera de aprobación de  las TRD institucionales por parte del AGN (Agosto de 2022).</t>
  </si>
  <si>
    <t>Actualización del Sistema Información de Atención al Ciudadano SIAC</t>
  </si>
  <si>
    <t>% del software actualizado</t>
  </si>
  <si>
    <t>Se tienen identificadas las necesidades de actualización desde el Gestión Documental  (parametrización y diseños de informes) en reuniones posteriores se daran a conocer con Informática y comunicaciones, sin embargo este proceso re realizará después de finalizada la Ley de garantías</t>
  </si>
  <si>
    <t>Actualización, implementación y seguimiento de los instrumentos archivísticos</t>
  </si>
  <si>
    <t>Número de Instrumentos actualizados e implementados</t>
  </si>
  <si>
    <t xml:space="preserve">Se realizo la revisión y  se actualizó los programas del PGD (4 de 8 programas), una vez finalizado dicho proceso será expuesto ante las instancias necesarias para su aprobación y posterior ejecución (CIGD o CIA). </t>
  </si>
  <si>
    <t>OFICINA DE CONTRATACIÓN</t>
  </si>
  <si>
    <t>Etapas precontractual, contractual y pscontractual.</t>
  </si>
  <si>
    <t xml:space="preserve">Permitir que la ETITC gestione adecuadamente sus compras y contrataciones a través de plataformas electrónicas, lineamientos normativos, documentos estándar, instrumentos de agregación de demanda y técnicas de aprovisionamiento </t>
  </si>
  <si>
    <t>1. Consolidar y publicar el Plan Anual de Adquisiciones, según las necesidades de adquisición de bienes y servicios de la Entidad.</t>
  </si>
  <si>
    <t xml:space="preserve">Se han adelantado los procesos contractuales acorde a las necesidades institucionales y teniendo en cuenta los lineamientos normativos lugar: 169 contratos durante el 1° trimestre de la vigencia. </t>
  </si>
  <si>
    <t>Procesos contractuales</t>
  </si>
  <si>
    <t xml:space="preserve">Fortalecimiento institucional </t>
  </si>
  <si>
    <t xml:space="preserve">Realizar capacitaciones a las áreas frente a las modalidades de contratación, el procedimiento pertinente para cada modalidad y la elaboración de los estudios y documentos previos necesarios para iniciar los procesos contractuales. </t>
  </si>
  <si>
    <t>2. Gestionar las modificaciones del Plan Anual de Adquisiciones con la correspondiente justificación y aprobación de acuerdo con los lineamientos del Manual de Contratación de la ETITC y publicar al menos una modificación a mitad de año.</t>
  </si>
  <si>
    <t>Durante el mes de febrero y marzo, se han realizado Uso de SECOP y Tienda virtual, modalidades de contratación (3).</t>
  </si>
  <si>
    <t xml:space="preserve">Capacitaciones realizadas </t>
  </si>
  <si>
    <t>EOE.-1-Consolidar la calidad académica para la acreditación institucional de alta calidad respaldada fortalecimiento
de la gestión, la infraestructura tecnológica y física</t>
  </si>
  <si>
    <t>TALENTO HUMANO</t>
  </si>
  <si>
    <t>PE-5- MIPG - y los sistemas de gestión para una gobernanza transparente</t>
  </si>
  <si>
    <t>ME-8- Revisión de la  Estructura Organizacional que soporte las nuevas apuestas institucionales</t>
  </si>
  <si>
    <t>Analizar los resultados del contrato suscrito con la UNA
Determinar la oportunidad de diseñar una propuesta para la reestructuración organizacional</t>
  </si>
  <si>
    <t>Propuesta de nueva estructura organizacional presentadas ante las entidades competentes</t>
  </si>
  <si>
    <t>Propuesta elaborada</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</si>
  <si>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</si>
  <si>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Documento técnico Contrato Universidad Nacioanal</t>
  </si>
  <si>
    <t>ME-10- Fortalecer la cultura organizacional como soporte del Desarrollo y mejoramiento del clima organizacional.</t>
  </si>
  <si>
    <t xml:space="preserve">*Plan de  Bienestar laboral                                   *Fortalecimiento del   Clima laboral  tenieno en cuenta  la medición 2021  *Código de integridad,    </t>
  </si>
  <si>
    <t>Porcentaje de apropiación de presupuesto para el pago de plantas de personal</t>
  </si>
  <si>
    <t xml:space="preserve">Plan de Bienestar laboral ejecutado </t>
  </si>
  <si>
    <t xml:space="preserve">*Plan de  Bienestar laboral  y fortalecimiento del clima laboral        
Se han enviado las tarjetas de cumpleaños a los funcionarios durante el 1° trimestre (100).
Sesiones de eucaristia (2)
Taller la Ola 40 (Participaron 12 personas)
Socialización del programa de COMPENSAR.
Se han enviado las respectivas manifestaciones de condolencias (4)
Se socializo el apoyo de salud mental brindado por ARL POSITIVA.
se socializo "6 acciones clave para fortalecernos ante el covid 19" Fortalecimiento emocional.
Se promovio la vacunación de la comunidad educativa.
Conmemoración del día de la mujer (130 personas).
Se ofrecio a los servidores la compensación del tiempo de semana santa.
Celebración del día dehombre. 
Taller "comparte tus tormentas, aprende a controlar tu ansiedad y depresión"
Taller de elaboración de gel antibacterial (11 personas)
*Código de integridad:
Socialización de código de integridad 17 de enero.
</t>
  </si>
  <si>
    <t xml:space="preserve">Implementación del Plan de Capacitación   </t>
  </si>
  <si>
    <t xml:space="preserve">Plan de capacitación ejecutado </t>
  </si>
  <si>
    <t xml:space="preserve">Se han realizado:
Modalidades de contratación y SECOP II
Funciones y responsabilidades de supervisores de contrato
Orden y aseo en el espacio de trabajo
Sistema Interno de Aseguramiento de la Calidad de la ETITC. 
Protección de datos personales, escritorio y pantallas limpias.
Políticas de seguridad de recursos Humanos correos sospechosos y como identificarlos.
Inducción de Informática y comunicaciones.
Inducción de seguridad y salud en el trabajo
uso eficiente del agua.
Gestión de residuos programas pos consumo. 23 de marzo.
prevención, violencia y ruta unica de violencia a la mujer. 24 de marzo.
Nuevo código disciplinario y PQRSD.
</t>
  </si>
  <si>
    <t>GTH-F0-05
Formatos de registro de asistencia 
Diligenciados</t>
  </si>
  <si>
    <t xml:space="preserve">Ejecución de: 
*Plan anula de vacantes    *Plan de Previsión      </t>
  </si>
  <si>
    <t>Planes ejecutados</t>
  </si>
  <si>
    <t xml:space="preserve">Se realizo el proceso de selección de 2 cargos de nivel asistencial (23 y 1° de abril).
Cargo profesional especializado en el área de Bienestar Universitario. 26 de enero. Resolución 47 de 2022
Se vinculo la auxiliar de la Decanatura de Sistemas. 28 de enero. Resolución 48 de 2022
Auxiliar administrativo de la Decanatura de especializaciones. 28 de enero. Resolución 56 de 2022
Se encuentra en el proceso de proveer los cargos de: profesional especializado del Centrol de lenguas y Auxiliar administrativo de TH.
</t>
  </si>
  <si>
    <t>Resoluciones a lugar</t>
  </si>
  <si>
    <t>OE-2 Fortalecer y potenciar el Talento Humano en las plantas de personal docente y administrativa.</t>
  </si>
  <si>
    <t xml:space="preserve">PE-7 - Consolidacion y aseguamiento del Talento Humano para el mejoramiento de las capacidades en las plantas administrativas y docentes </t>
  </si>
  <si>
    <t>ME-12 - dar continuidad al talento Humano  integral en las plantas administrativas</t>
  </si>
  <si>
    <t>Fortalecimiento y consolidación del Talento Humano</t>
  </si>
  <si>
    <t xml:space="preserve">Verificación el cumplimiento de todas las activides propias del área en compromiso con el Talento humano Institucional </t>
  </si>
  <si>
    <t>recursos apropiados</t>
  </si>
  <si>
    <t>Durante el 1° trimestre se han realizado actividades de acompañamiento a cada área de pendiedo de los planeado dentro del Plan Estrategico de Talento Humano: Nómina, Bienestar laborar, Capacitaciones, Selección y Vinculación, Bonos pencionales y SST.</t>
  </si>
  <si>
    <t>Informes, actas de reunión y reportes en aplicativos estatales</t>
  </si>
  <si>
    <t>ME-13- Presentar ante las instancias competentes la solicitud y cumplimiento de requistos para el desarrollo de los procesos meritocraticos de las plantas Administrativas</t>
  </si>
  <si>
    <t>Identificación de las vacantes  internas y externas para la planeacion del concurso administrativo y docente
53 vacantes reportadas al SIMO para el inicio del Concurso Administrativo</t>
  </si>
  <si>
    <t>Porcentaje de requisitos cumplidos</t>
  </si>
  <si>
    <t>ME-14- Adelantar los proceso meritocraticos de la planta docente</t>
  </si>
  <si>
    <t xml:space="preserve">Selección y vinculación  por merito  de 4 docentes de educación superior de Tiempo Completo  y 20 de Medio tiempo </t>
  </si>
  <si>
    <t>Porcentaje de cumplimiento del proceso meritocrático de la planta docente</t>
  </si>
  <si>
    <t>Procesos de vinculación ejecutados</t>
  </si>
  <si>
    <t xml:space="preserve">La Escuela Suscribio un contrato Inter administrativo cuyo objeto es "Prestar los servios de acompañamiento para la implementación y desarrollo del concurso profesoral 2021, para proveeer  4 docentes de educación superior de Tiempo Completo  y 20 de Medio tiempo".
Dicho contrato dio inicio el 17 de enero del 2022, se realizó la parametrización en el aplicativo OTUS, se elaboró el cronograma del concurso, diseño de perfiles, se publicó la convocatoría, se publico la cartilla guia al aspirante para el proceso de inscripción, se llevaron a cabo las inscripciones y se verificaron los documentos de inscrpción. 
</t>
  </si>
  <si>
    <t>Cronograma del concuros docente</t>
  </si>
  <si>
    <t>PE-8- Estructuración de la carrera docente</t>
  </si>
  <si>
    <t xml:space="preserve">ME-15- Organizar e implementar el sistema  de plan de carrera docente </t>
  </si>
  <si>
    <t xml:space="preserve">Organizar e implementar el sistema  de plan de carrera docente </t>
  </si>
  <si>
    <t>Porcentaje del plan de carrera docente implementado</t>
  </si>
  <si>
    <t>Plan de Carrera Docente estructurado e implementado</t>
  </si>
  <si>
    <t>Actualmente se encuentra en ejecución el Plan de Formación, Capacitación y Actualización Docente, este se ecuentra vigente hasta la presente vigencia.  Durante el 2022 se proyecta estructurar el plan de carrera de los profesores PES.</t>
  </si>
  <si>
    <t>OE-1-Consolidar la calidad académica para la acreditación institucional de alta calidad respaldada fortalecimiento 
de la gestión, la infraestructura tecnológica y física.</t>
  </si>
  <si>
    <t>ME-12- Dar continuidad al talento humano integral en las plantas de personal.</t>
  </si>
  <si>
    <t xml:space="preserve">Diagnóstico de  condiciones saludables ETITC </t>
  </si>
  <si>
    <t>Examenes médicos ocupacionales de ingreso, periódicos y de egreso</t>
  </si>
  <si>
    <t xml:space="preserve">Ejecución de examenes medicos a todo el personal </t>
  </si>
  <si>
    <t>El proceso para llevar a cabo esta actividad se encuentra publicado en SECOP, este proceso incluye el diagnóstico de condiciones de salud y profesiograma. IP 018- 2022. $ 18.000.000</t>
  </si>
  <si>
    <t>Proceso SECOP IP 018- 2022</t>
  </si>
  <si>
    <t xml:space="preserve">Diagnóstico condiciones de Salud </t>
  </si>
  <si>
    <t xml:space="preserve">Informe Diagnostico  condiciones de Salud  </t>
  </si>
  <si>
    <t>La actividad se ejecuta de manera conjunta</t>
  </si>
  <si>
    <t>El proceso para llevar a cabo esta actividad se encuentra publicado en SECOP, este proceso incluye el diagnóstico de condiciones de salud y profesiograma. IP 018- 2022</t>
  </si>
  <si>
    <t xml:space="preserve">Definición de profesiogramas  </t>
  </si>
  <si>
    <t>Creacióndeprofesiogramas conforme cargos y necesidades ETITC</t>
  </si>
  <si>
    <t>Capacitaciones SST</t>
  </si>
  <si>
    <t xml:space="preserve">Campaña prevención enfermedades laborales </t>
  </si>
  <si>
    <t>Campaña</t>
  </si>
  <si>
    <t xml:space="preserve">Esta actividad se llevará a cabo durante el 2° trimestre de la vigencia. Actualmente se cuenta con los estudiantes previos. </t>
  </si>
  <si>
    <t xml:space="preserve">Campaña prevención accidentes de trabajo </t>
  </si>
  <si>
    <t>Camapaña</t>
  </si>
  <si>
    <t xml:space="preserve">Capacitaciones y actividades de estilos de vida y trabajo saludable </t>
  </si>
  <si>
    <t xml:space="preserve">Esta actividad se llevará a cabo durante el 2°semestre de la vigencia. </t>
  </si>
  <si>
    <t xml:space="preserve">Sistema de Vigilancia y analisis de puestos de trabajo </t>
  </si>
  <si>
    <t xml:space="preserve">Capacitaciones y actividades de promoción y prevención  </t>
  </si>
  <si>
    <t xml:space="preserve">Aplicación bateria de riesgo psicosocial </t>
  </si>
  <si>
    <t>Medicion de riesgo psicosocial ETITC</t>
  </si>
  <si>
    <t>Capacitación mediante el Proyecto de Seguridad Víal para la movilidad Segura "Aula Virtual".</t>
  </si>
  <si>
    <t>Campaña de sensibilización en seguridad vial de acuerdo al rol en la vía con comunidad educativa y administrativos ETITC.</t>
  </si>
  <si>
    <t xml:space="preserve"> Capacitación teórico - práctica en pista (conductores) para dar cumplimiento a los requesitos de la resolución 1565 del Plan de Seguridad Vial</t>
  </si>
  <si>
    <t xml:space="preserve">Entrenamiento </t>
  </si>
  <si>
    <t xml:space="preserve">Apoyo técnico seguridad y salud en el trabajo </t>
  </si>
  <si>
    <t>Gestion en implementación SGSST</t>
  </si>
  <si>
    <t>Auditoria interna certificada SGSST</t>
  </si>
  <si>
    <t xml:space="preserve">Informe de auditoria y plan de acción </t>
  </si>
  <si>
    <t xml:space="preserve">AMBIENTAL: UN ACUERDO POR Y PARA LA VIDA EN CONTEXTO </t>
  </si>
  <si>
    <t>OE-10-Establecer un nuevo acuerdo ambiental mediante una 
política institucional ambiental y la catedra institucional 
en la ETITC</t>
  </si>
  <si>
    <t xml:space="preserve">PE-26 Actualización de la infraestructura fisica cumpliendo normativas aplicables y generando espacios adecuados para el desarrollo de actividades académicas y de bienestar en el marco de la sostenibilidad </t>
  </si>
  <si>
    <t xml:space="preserve">ME- 68  Gestionar las dotaciones de las instalaciones y sede principal para la permanencia y aumento de la oferta </t>
  </si>
  <si>
    <t>Ejecución de actividades para el aseguramiento del SGSST</t>
  </si>
  <si>
    <t>Mantenimiento y recarga extintores (VIGENCIA HASTA DICIEMBRE - 2022)</t>
  </si>
  <si>
    <t>Porcentaje de las dotaciones nueva instalada y mantenimiento de las dotaciones existentes</t>
  </si>
  <si>
    <t xml:space="preserve">Extintores recargados y aptos para su uso </t>
  </si>
  <si>
    <t>Suministro de botiquines (VIGENCIA HASTA DICIEMBRE - 2022)</t>
  </si>
  <si>
    <t xml:space="preserve">Dotacion total de botiquines </t>
  </si>
  <si>
    <t xml:space="preserve">Kits de derrames y capacitación en uso </t>
  </si>
  <si>
    <t xml:space="preserve">Dotacion de  kits de derrames y capacitación en uso </t>
  </si>
  <si>
    <t xml:space="preserve">Adquisición de equipos capacita y mediciones higienicas ocupacionales </t>
  </si>
  <si>
    <t xml:space="preserve">Adquisicion de equipos capacitacion personal y medición en ambientes </t>
  </si>
  <si>
    <t>Se cuentan con los estudios previos y estudio  de mercado, el proceso se proyecto realizar durante el mes de mayo.</t>
  </si>
  <si>
    <t xml:space="preserve">Compra y suministro de elementos de protección personal </t>
  </si>
  <si>
    <t xml:space="preserve">Dotacion elementos de protección personal  </t>
  </si>
  <si>
    <t xml:space="preserve">Se cuenta con el borrador de los estudios previos. El proceso se proyecta llevar a cabo en junio de la presente vigencia. </t>
  </si>
  <si>
    <t xml:space="preserve">Implementación Sistema globalmente Armonizado y Rotulación y etiquetado sustancias químicas </t>
  </si>
  <si>
    <t>Sistema globalmente armonizado ETITC</t>
  </si>
  <si>
    <t>Implementación de medidas de protección para trabajo seguro en alturas</t>
  </si>
  <si>
    <t>dotacion medidas de proteccion TSA</t>
  </si>
  <si>
    <t xml:space="preserve">* Formación en trabajo seguro en alturas </t>
  </si>
  <si>
    <t>actualizacion cursos TSA</t>
  </si>
  <si>
    <t>Verificación y certificación equipos de alturas</t>
  </si>
  <si>
    <t>Verificacion y recertificacion TSA</t>
  </si>
  <si>
    <t>OE-3-Fortalecer el ecosistema de funcionalidades digitales para la gestión y el desarrollo de la actividad
misional mediante el uso de las TIC.</t>
  </si>
  <si>
    <t>INFORMÁTICA Y COMUNICACIONES</t>
  </si>
  <si>
    <t>PE-9- Tecnologías de información y comunicaciones al servicio de la academia y la ciencia</t>
  </si>
  <si>
    <t>ME-18- Incorporar elementos de tecnología a los talleres, laboratorios y aulas para enseñanza remota sincrónica en modalidad de alternancia</t>
  </si>
  <si>
    <t>Prestación de servicios para apoyar las actividades propas del área de informática y comunicaciones.</t>
  </si>
  <si>
    <t>Porcentaje de talleres y aulas habilitados con conexión remota.</t>
  </si>
  <si>
    <t>Para la vigencia 2022 se realizaron 9 contratos por prestación de servicios: 023, 024, 025, 026, 027, 110, 111, 161, 162. ($ 244.313.413)</t>
  </si>
  <si>
    <t xml:space="preserve">Avtas de inicio </t>
  </si>
  <si>
    <t>Renovación y capacitación del software Flexsim (fecha de vencimiento:29/10/2022 )</t>
  </si>
  <si>
    <t>Licencia de Sofware renovada</t>
  </si>
  <si>
    <t>Esta actividad se realizara durante el segundo semestre de la vigecia.</t>
  </si>
  <si>
    <t>Renovación software ISLonline y 400 licencias de antivirus Eset  (fecha de vencimiento: 10/08/2022 )</t>
  </si>
  <si>
    <t xml:space="preserve">ACTIVIDAD DE SEGURIDAD DIGITAL </t>
  </si>
  <si>
    <t>Renovación software Automation Studio (fecha de vencimiento:22/04/2022)</t>
  </si>
  <si>
    <t>Se cuenta con los estudios previos y se solicitó el CDP</t>
  </si>
  <si>
    <t>Renovación software Safetica DLP, ISL  y  Deslock (fecha de vencimiento: )</t>
  </si>
  <si>
    <t>Renovación software Simapro (fecha de vencimiento: (09-2022 )</t>
  </si>
  <si>
    <t>Renovación software rextore (fecha de vencimiento:  30/09/2021)</t>
  </si>
  <si>
    <t>Renovación software MasterCam  (fecha de vencimiento: 04/06/2022 )</t>
  </si>
  <si>
    <t>Esta actividad se relizará durante el 2 trimestre de la vigencia</t>
  </si>
  <si>
    <t>Renovación software Multisim - Labview  (fecha de vencimiento:10/05/2022)</t>
  </si>
  <si>
    <t>Renovación Licenciamiento  Open Value Subscription for Education Solutions (Campus Agreement) (fecha de vencimiento: 23/10/2022)</t>
  </si>
  <si>
    <t>Renovación software Solidworks (fecha de vencimiento: 15/07/2022)</t>
  </si>
  <si>
    <t>Renovación soporte plataforma Gnosoft (fecha de vencimiento:28/10/2021 )</t>
  </si>
  <si>
    <t>Renovación soporte Plataforma Gnosoft investigación (fecha de vencimiento:16/12/2022 )</t>
  </si>
  <si>
    <t>Renovación Software Enterprise Architect (Fecha de vencimiento: 20/04/2022)</t>
  </si>
  <si>
    <t>Se cuenta con los estudios previos y se solicito el CDP</t>
  </si>
  <si>
    <t>Renovación "4 licencias de Adobe Cloud + Adobe Sign Enterprise Transactional
Transacciones Anuales 1.500 + 2 Adobe DC pro" (Fecha de vencimiento: 22/10/2022)</t>
  </si>
  <si>
    <t>Renovación soporte y actualizacion SIAC (fecha de vencimiento: 01/12/2022)</t>
  </si>
  <si>
    <t xml:space="preserve">Soporte realizado </t>
  </si>
  <si>
    <t>Adquisición de herramienta para firma electrónica Adobe Sign Enterprise Transacciones Anuales 1.500 + 1 Adobe DC pro</t>
  </si>
  <si>
    <t>Heramienta adquirida</t>
  </si>
  <si>
    <t>Adquisición de herramienta para backups en la nube de One Drive</t>
  </si>
  <si>
    <t>Renovación del soporte de la herramienta para biblioteca KOHA (fecha de vencimiento: junio 2022)</t>
  </si>
  <si>
    <t>Esta actividad se relizará durante el 2 semestre de la vigencia</t>
  </si>
  <si>
    <t>Adquisición de insumos para impresoras</t>
  </si>
  <si>
    <t xml:space="preserve">Insumos adquiridos </t>
  </si>
  <si>
    <t xml:space="preserve">Se adelanta el proceso de requerimientos según las necesidades de la institución </t>
  </si>
  <si>
    <t>Un mantenimiento correctivo y dos Mantenimientos preventivos de impresoras y scanners</t>
  </si>
  <si>
    <t>Mantenimiento realizado</t>
  </si>
  <si>
    <t>Mantenimiento de impresoras Datacard para carnetización</t>
  </si>
  <si>
    <t>Esta actividad esta en revisión de factibilidad</t>
  </si>
  <si>
    <t>Insumos de mantenimiento portatiles dañados + elementos para soporte y mantenimiento</t>
  </si>
  <si>
    <t xml:space="preserve">Insumos y mantenimiento adquiridos </t>
  </si>
  <si>
    <t>Instalación de un (1) canal de internet dedicado 1024 MB y  dos (2) MPLS 256 GB uno (1) de doce (12) MB para las sedes. Fecha de vencimiento (09-2022)</t>
  </si>
  <si>
    <t>Canal de internet instalado</t>
  </si>
  <si>
    <t xml:space="preserve">ME-17- Adecuar las capacidades tecnológicas para atender las necesidades de los procesos misionales </t>
  </si>
  <si>
    <t>Adquisición e implementación del sistema de Gestión Académica SGA</t>
  </si>
  <si>
    <t>implementación del sistema de Gestión Académica SGA</t>
  </si>
  <si>
    <t>Esta actividad se relizará durante el 2 semestre de la vigencia, toda vez que se esta a la espera del concepto del Comité de Infraestructura Tecnológica</t>
  </si>
  <si>
    <t>Implementación de IPV6</t>
  </si>
  <si>
    <t>Protocolo IPV6 implementado</t>
  </si>
  <si>
    <t>Soporte de los sistemas de información: siparc, rusia, koha,sigaf y siac</t>
  </si>
  <si>
    <t>siparc, rusia, koha, sigaf y siac con soporte</t>
  </si>
  <si>
    <t xml:space="preserve">Esta actividad esta en evaluación por tema de priorización de recursos </t>
  </si>
  <si>
    <t>Ejecutar las actividades propias de la adecuación de infraestructura tecnológica en la ETITC</t>
  </si>
  <si>
    <t xml:space="preserve">Instalaciones adecuadas </t>
  </si>
  <si>
    <t>$ 308.245.757.12</t>
  </si>
  <si>
    <t xml:space="preserve">A través del Cto 344 de 2021, se actualiza la infraestructura del WIFI institucional. Dicho contrato presenta una adición por $ 308.245.757.12. La ejecución se realizará hasta el 22 de mayo de la presente vigencia. (Valor total $1.157.720.960,12)
A través Cto 350 de 2021 se realiza la actualización de la infraestructura LAN. Finaliza el 22 de mayo de la vigencia. $ 414.102.014
</t>
  </si>
  <si>
    <t>Informes de avance del contrato</t>
  </si>
  <si>
    <t>RENOVACIÓN DEL PLAN DE ACTUALIZACIÓN Y SOPORTE PARA EL SOFTWARE MANTUM CMMS+ED DURANTE UN (1) AÑO PARA EL APOYO A LAS ÁREAS DE LA GESTIÓN DE LA ESCUELA TECNOLÓGICA INSTITUTO TÉCNICO CENTRAL (ETITC).</t>
  </si>
  <si>
    <t>Se cuenta con los estudios previos y se solicito el CDP.</t>
  </si>
  <si>
    <t>ME-19- Implementar un modelo estratégico para impulsar la evolución digital de la ETITC, plasmado en el PETI.</t>
  </si>
  <si>
    <t>Actualización del modelo estrategico en el PETI</t>
  </si>
  <si>
    <t>Porcentaje de implementación de modelo estratégico en el PETI.</t>
  </si>
  <si>
    <t>PETI actualizado</t>
  </si>
  <si>
    <t xml:space="preserve">Se cuentan con los estudios previos y estudios de mercado. Se proyecta obtener la aprobación del Comité de Infraestructura Tecnológica en su próxima sesión. </t>
  </si>
  <si>
    <t>ME-20- Cumplimiento del 100% la Política de Gobierno Digital para 2021.</t>
  </si>
  <si>
    <t xml:space="preserve">Estructurar las actividades estrategicamente con la política de gobierno digital </t>
  </si>
  <si>
    <t>Porcentaje de implementación de la Política de Gobierno Digital</t>
  </si>
  <si>
    <t>Política implementada</t>
  </si>
  <si>
    <t xml:space="preserve">Esta actividad se proyecta realizar de manera mancomunada con diferentes áreas de la institución. 
Con relación a la política de Cero papel, ya se establecion el Comité respectivo; el pasado 1° de abril, se realizo la primera sesión (diagnóstico de consumo de papel, herramientas como impresoras, con el fin de moderar su uso). </t>
  </si>
  <si>
    <t>Acta de reunión.</t>
  </si>
  <si>
    <t>VICERRECTORÍA ACADÉMICA</t>
  </si>
  <si>
    <t>INSTITUTO DE BACHILLERATO TÉCNICO INDUSTRIAL</t>
  </si>
  <si>
    <t>ME-16- Centro de Atención al Docente del IBTI "La ETITC un lugar para todos."</t>
  </si>
  <si>
    <t>Fase de diseño del CAD - Implementación</t>
  </si>
  <si>
    <t xml:space="preserve"> Centro de atención que permita mejorar la condiciones laborales, la calidad de vida y la estadía de los docentes del IBTI en la Escuela.</t>
  </si>
  <si>
    <t>Número de docentes del IBTI  que se benefician del centro de atención / Total de docentes del IBTI *100</t>
  </si>
  <si>
    <t>CAD Diseñado e implementado</t>
  </si>
  <si>
    <t>Durante el 1° trimestre de la vigencia se consolidaron las actividades que se desarrollaran al interior del proyecto Centro de atención al docente del IBTI:
1. Diagnóstico de las principales necesidades laborales, familiares, emocionales y sociales presentan los docentes del IBTI.
2. Identificación de aquellas necesidades más comunes y repetitivas manifestada por los docentes.
3. Tabulación y organización de la información suministrada.
4. Análisis de la información.
5. Presentación teórica.
6. Estrategias y herramientas para la implementación del Centro de Atención al Docente (CAD).
Dicha informacións será relevante para desarrollar los siguientes puntos con relación al proyecto: 
1. Antecedentes.
2. Problemática.
3. Marco Referencial.
4. Metodología de Investigación.
5. Futurización.
6. Proyección y planeación. ´
7. Gestión de recursos.
Se proyecta para le 26 de abril se proyecta presentar el proyecto ante el Consejo Académico del IBTI.</t>
  </si>
  <si>
    <t xml:space="preserve">Documento Centro de atención al docente IBTI </t>
  </si>
  <si>
    <t>Lo Social: Un acuerdo para lo fundamental</t>
  </si>
  <si>
    <t>OE-6-Aumentar la cobertura mediante programas de educación superior diferenciados, con alta
pertinencia regional de la institución.</t>
  </si>
  <si>
    <t>PE-15- El IBTI y su papel significativo en la consolidación de la Escuela</t>
  </si>
  <si>
    <t>ME-33 Promover la estrategia de Articulación `de tu escuela a mi escuela y a mi Universidad`</t>
  </si>
  <si>
    <t>Implementación y seguimiento</t>
  </si>
  <si>
    <t>Seguimiento y trazabilidad de los estudiantes admitidos a 6 grado 2022</t>
  </si>
  <si>
    <t>Número de estudiantes vinculados en la vigencia / 1300 * 100</t>
  </si>
  <si>
    <t>Seguimiento a estudiantes admitidos realizado</t>
  </si>
  <si>
    <t>1130 Estudiantes matriculados en el IBTI</t>
  </si>
  <si>
    <t xml:space="preserve">Realizando un compartivo del ingreso de los estudiantes durante las vigencia 2022 (273) y 2021 (200), lo cual nos permite ver un aumento en el número de los estudiantes. </t>
  </si>
  <si>
    <t>Plataforma Gnosoft</t>
  </si>
  <si>
    <t xml:space="preserve">Proceso de Admisiones para conseguir el posicionamiento de la meta del proyecto </t>
  </si>
  <si>
    <t>Proceso de admisión ejecutado</t>
  </si>
  <si>
    <t>El proceso de admisiones durante el 2021 se realizo en un 100%, para el 2022 el proceso comienza en el mes de agosto. 
Esta actividad se plante realizar durante el 2° semestre.</t>
  </si>
  <si>
    <t xml:space="preserve">Acompañamiento  a los estudiantes que desean seguir en los PES en su proceso de continuidad academica grado 11 </t>
  </si>
  <si>
    <t>Acompañamiento relizado</t>
  </si>
  <si>
    <t xml:space="preserve">Actualmente se encuentran cinco (5) estudiantes en los programas PES, graduados de 11: 3 vigencia 20220, y 2 vigencia 2021. El acompañamiento se realiza a partir de la valoración de asignaturas a homologar; esto a través de los acuerdo 006 y 007 de 2017. </t>
  </si>
  <si>
    <t>Acuerdos 006 y 007 de 2017</t>
  </si>
  <si>
    <t>ME-32 Fortalecer el modelo educativo del IBTI que permita aumentar la cobertura, la permanencia y continuidad de la institución.</t>
  </si>
  <si>
    <t>Fase de evaluación y reestructuración del PEI</t>
  </si>
  <si>
    <t>* Formación docente en evaluación para los aprendizajes.
* Formación docente en interpretación y diseño de preguntas tipo Saber</t>
  </si>
  <si>
    <t>% avance del PEI</t>
  </si>
  <si>
    <t>PEI reestructurado</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</si>
  <si>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</si>
  <si>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Grabación de la capacitación realizada. 
Cronogramade capacitaciones ralizadas.</t>
  </si>
  <si>
    <t xml:space="preserve"> ME-31- Fortalecer el proceso de articulación y/o integración entre las IEM (Instituciones de Educación Media) y la ETITC.</t>
  </si>
  <si>
    <t>Fortalecer el proceso de articulación y/o integración entre las IEM (Instituciones de Educación Media) y la ETITC.</t>
  </si>
  <si>
    <t>Porcentaje de egresados del IBTI que ingresan a PES de la ETITC.</t>
  </si>
  <si>
    <t>Información de las metricas entregadas</t>
  </si>
  <si>
    <t xml:space="preserve">Preguntar al Vicerrector Miguel </t>
  </si>
  <si>
    <t>OE-7 Implementar programas y acciones para asegurar la permanencia de los estudiantes.</t>
  </si>
  <si>
    <t>BIENESTAR UNIVERSITARIO</t>
  </si>
  <si>
    <t>PE-16- Desarrollo integral y transformación social de la comunidad: bienestar comprometido con la permanencia</t>
  </si>
  <si>
    <t>ME-37- Implementar el Centro de Refuerzo Especializado Académico (CREA).</t>
  </si>
  <si>
    <t>Implementación 
(SICOLOGÍA)</t>
  </si>
  <si>
    <t>1. Acompañamiento integral y en procesos de aprendizaje</t>
  </si>
  <si>
    <t>Número de estudiantes de los ciclos propedéuticos atendidos en el CREA / Total de estudiantes matriculados en los ciclos propedéuticos * 100</t>
  </si>
  <si>
    <t xml:space="preserve">Acompañamiento realizado </t>
  </si>
  <si>
    <t>35 estudiantes atendidos en los servicios de entrenamiento y/o  asesoría individual. con una dedicación semanal de hasta 2 horas.</t>
  </si>
  <si>
    <t>https://itceduco-my.sharepoint.com/:f:/g/personal/psicologia_itc_edu_co/EorFXOKDWrhOnWAgY-c7pUwBMheF_fT_rKD1LWEOHo7LAQ?e=UYcvib</t>
  </si>
  <si>
    <t xml:space="preserve">
2. Caracterización de la población estudiantil en procesos de aprendizaje</t>
  </si>
  <si>
    <t xml:space="preserve">Caraterización de la población realizada </t>
  </si>
  <si>
    <t>Se aplicó el instrumento diagnóstico a los estudiantes nuevos durante la inducción (24 y 27 de enero), aplicaron 361. Informe de caracterización en procesos de aprendizaje</t>
  </si>
  <si>
    <t>3. Implementación de estrategias para el fortalecimiento de los procesos de aprendizaje</t>
  </si>
  <si>
    <t>Estrategias realizadas</t>
  </si>
  <si>
    <t>1. Diseño y publicación de neurotips, a através de las redes sociales, todos los lunes de cada mes.
2. Maqueteado del espacio para CREA con el portafolio de servicios, el cual hará parte de la pestaña de servicios en la página institucioanl. Se entregó a comunicacjiones a la espera de ser cargado a la misma.
3. Webinar "Tardes de Café", el cual se realiza una vez al mes, se inició Ccon el tema "LA LITERATURA UN ESPEJO DE TINTA" , se transmitió por el fb insititucional el día 10 de marzo, cuenta con 658 reproducciones.
4. Taller en procesos lógico- matemáticos el día
5. Diseño y publicación del lecto-tips, los cuales están listos para ser publicados por la oficina de comunicaciones ( se compartirán 4 por mes, los días viernes)</t>
  </si>
  <si>
    <t>4. Investigación y proyecto sobre adaptación a la vida universitaria</t>
  </si>
  <si>
    <t xml:space="preserve">Proyecto escrito </t>
  </si>
  <si>
    <t>1. Diseño y aplicación de la encuesta de percepción de los estudiantes de la ETITC en cuanto a su proceso de adaptación universitaria, actualmente se está aplicando con cierre al 29 de abril, a la fecha la han respondido 274 estudiantes.</t>
  </si>
  <si>
    <t>ME-36- Implementar el  Banco de electivas de Bienestar Universitario y la Cátedra ETITC</t>
  </si>
  <si>
    <t xml:space="preserve">Implementación 
</t>
  </si>
  <si>
    <t>Diplomados (8),  cursos (1) y conferencias</t>
  </si>
  <si>
    <t>Número de electivas aprobadas en la vigencia / 3 *100</t>
  </si>
  <si>
    <t>Diplomados,  cursos y conferencias realizados</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</si>
  <si>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Taller junto con la oficina de egresados "Cómo ser competitivos en el mundo laboral", con la asistencia de 17 estudiantes, se llevó a cabo el viernes 
7. Se han estructurado las electivas de artes y deportes, así mismo en acompañamiento para la presentación de la prueba saber pro y T y T</t>
  </si>
  <si>
    <t>ME-35 Formular e implementar el registro único de seguimiento de información y acompañamiento (RUSIA) de la comunidad educativa de la institución</t>
  </si>
  <si>
    <t>Diseño
(SICOLOGÍA)</t>
  </si>
  <si>
    <t>Identificación tiempos de procedimiento y responsables de seguimiento</t>
  </si>
  <si>
    <t>Estudiantes registrados en Rusia durante la vigencia / 3600 * 100</t>
  </si>
  <si>
    <t>1.200 estudiantes registrados en RUSIA</t>
  </si>
  <si>
    <t>Tanto el valor como la implementaciòn y ejecución de este contrato no se ha llevado a cabo puesto que corresponde a la fase 3 que se implementará una vez finalice ley de garantías y se pueda realizar la formalización del contrato.</t>
  </si>
  <si>
    <t xml:space="preserve">4. Definición estrategias de mitigación sobre riesgos y poblaciones encontradas  </t>
  </si>
  <si>
    <t>Estrategias definidas</t>
  </si>
  <si>
    <t>Identificación de perfiles de impacto  y reporte de impacto</t>
  </si>
  <si>
    <t>Reportes realizados</t>
  </si>
  <si>
    <t>Identificación alertas tempranas - riesgos asociados a la deserción</t>
  </si>
  <si>
    <t>alertas tempranas generadas</t>
  </si>
  <si>
    <t>ppto vigencia anterior - cto 215-2020
48.483.218</t>
  </si>
  <si>
    <t>600 estudiantes con alertas identificadas</t>
  </si>
  <si>
    <t>A la fecha se han actualizado las 675 alertas asociadas tempranas asociadas a la caracterización estudiantil aplicada a los 675 estudiantes PES</t>
  </si>
  <si>
    <t>ID ALERTAS TEMPRANAS ESTUDIANTES PES.pdf</t>
  </si>
  <si>
    <t>Caracterización Estudiantil PES</t>
  </si>
  <si>
    <t>Caracterización realizada</t>
  </si>
  <si>
    <t>A la fecha se han realizado 675 caracterizaciones que incluyen estudiantes nuevos y antiguos de los PES y especializaciones activos para el periodo 2022-1</t>
  </si>
  <si>
    <t>CARACTERIZACIONES ESTUDIANTES PES 1ER TRIMESTRE - PROYECTO RUSIA.pdf</t>
  </si>
  <si>
    <t>Integración con academusoft</t>
  </si>
  <si>
    <t>Sistema academusoft integrado</t>
  </si>
  <si>
    <t>ppto vigencia anterior - cto -297-2021
59.979.332</t>
  </si>
  <si>
    <t xml:space="preserve">A la fecha se realizó la integración completa del sistema academnusoft con Adviser </t>
  </si>
  <si>
    <t>integración ADVISER -ACADEMNUSOFT -PROYECTO RUSIA.pdf</t>
  </si>
  <si>
    <t>identificación alertas académicas (primer, segundo y tercer corte)</t>
  </si>
  <si>
    <t>alertas académicas identificadas</t>
  </si>
  <si>
    <t>2000 estudiantes con alertas académicas identificadas por corte Primer periodo</t>
  </si>
  <si>
    <t>2000 estudiantes con alertas académicas identificadas por corte segundo periodo</t>
  </si>
  <si>
    <t>A la fecha se reportan 2413 estudiantes con alertas académicas para primer corte (7-11 marzo)</t>
  </si>
  <si>
    <t>ID ALERTAS ACADÉMICAS PES 1ER CORTE.pdf</t>
  </si>
  <si>
    <t>ME-34- Fortalecer el Programa de Atencion Básica Ampliada.</t>
  </si>
  <si>
    <t>Seguimiento y evaluación</t>
  </si>
  <si>
    <t>Dar continuidad a los servicios de Bienestar univiersitario</t>
  </si>
  <si>
    <t>Número de participantes en servicios de bienestar / Total de integrantes de la comunidad educativa * 100</t>
  </si>
  <si>
    <t>Servicios ofertados</t>
  </si>
  <si>
    <t>proceso de inducciòn 2022-1: 256 estudiantes promedio dìa, esta actividad se hace una por semestre</t>
  </si>
  <si>
    <t>https://itceduco-my.sharepoint.com/:x:/g/personal/psicologia1_itc_edu_co/Eba6EukQQfJGk8lcRw0e3sABh7W7fCJTCkPvD8Yc6EcIGQ?e=05D3Mc</t>
  </si>
  <si>
    <t>Implementación 
(DEPORTES)</t>
  </si>
  <si>
    <t xml:space="preserve">CAMPETITC:
Torneos SUE
Torneos externos
carreras atleticas
caminatas
Deportes Extremos
inscripciones gimnasio
</t>
  </si>
  <si>
    <t xml:space="preserve">Actividades desarrolladas </t>
  </si>
  <si>
    <t>1. Se han realizado en total 202 inscripciones al gimnasio. 2.Torneo de ping pong 28 participantes. 3.Torneo de ping pong carvajal 20 participantes. 3. Se realizaron cotizaciones para la media maraton de bogota. 4. se programo torneo de pulso para el 25 de abril y campeonate 3x3 de veleibol amistoso el 23 de abril.</t>
  </si>
  <si>
    <t>LA ETITC VISACAVI:
Pausas activas
Conferencias
Material Deportivo
Mantenimiento Gimnasio</t>
  </si>
  <si>
    <t>Durante el trimeste se han beneficciado 257 estudinates del prestamo de material deportivo en la sede de centro y la sede de carvajal 63. 2. En rutinas peronalizas 85 personas.  3. En entrenaminetos personalizados 10 de la sede carvajal. 4. Se realizo estudios previo para la compra de material deportivo, se encuentran en la vice academica.</t>
  </si>
  <si>
    <t>https://bit.ly/3v7TnSe</t>
  </si>
  <si>
    <t>Implementación 
(ENFERMERIA)</t>
  </si>
  <si>
    <t>1. Disminuir los factores de riesgo en salud de la comunidad educativa mediante programas, campañas y talleres para mejorar su calidad de vida.</t>
  </si>
  <si>
    <t>Programas, talleres y capacitaciones realizadas</t>
  </si>
  <si>
    <t xml:space="preserve">Se realizaron una serie de campañas a toda la comunidad educativa: capacitación en primer respondiente a 17 administrativos, campaña de donación de sangre con un total de 120 personas, taller de hábitos de vida saludable 100 asistentes, Campaña Cuidado del Riesgo Cardiovascular 41 administrativos, Campaña Sexo con Sentido 64, Taller sobre alimentación saludable 68, Talleres en promoción de la salud y prevención de la enfermedad 35 asistentes. </t>
  </si>
  <si>
    <t>https://itceduco-my.sharepoint.com/:f:/g/personal/enfermeria_itc_edu_co/EtGPza4yuGpKr40RoAK_n5QBZiwrY2GL3dtoBA0-VWJ08Q?e=vzopH6</t>
  </si>
  <si>
    <t>2. Promover la salud y prevenir la enfermedad a través de estrategias de acompañamiento individual como colectivo</t>
  </si>
  <si>
    <t>Acompañamientos realizados</t>
  </si>
  <si>
    <t>Se realizaron 24 atenciones individuales en el servicio de enfermería de la sede central y 5 en la sede Carvajal, se atendieron 202 valoraciones físicas preactividad deportiva.</t>
  </si>
  <si>
    <t>Por confirmar</t>
  </si>
  <si>
    <t>Implementación 
(PASTORAL)</t>
  </si>
  <si>
    <t>Formación Espiritual y personal.</t>
  </si>
  <si>
    <t>Actividades realizadas</t>
  </si>
  <si>
    <t xml:space="preserve">Eucaristías: 
825 participantes. 
Reflexiones semanales: 
1876 correos enviados, 
Acompañamiento Espiritual 88 entre estudiantes y administrativos,
Taller OLA 40: 186 personas que realizaron el taller
</t>
  </si>
  <si>
    <t>Subsidio de alimentación.</t>
  </si>
  <si>
    <t xml:space="preserve">se entregaron 200 servicios y se apoya a 189 estudiantes. </t>
  </si>
  <si>
    <t>Filantropía.</t>
  </si>
  <si>
    <t>Ejecución 
(SICOLOGÍA)</t>
  </si>
  <si>
    <t>Proyecto de Salud Mental, líneas;
1. Docentes, Consecuentemente
2. Estudiantes, Sanamente</t>
  </si>
  <si>
    <t>1. Consecuentemente
Esta es la línea para maestros, se han diseñado 7 estrategias de salud mental que incluye, podcast (el cual se publicó por redes insitucionales el día lunes 24 de abril), catilla, infografía, 2 foros, conversatorio.  este material está para ser enviado a comunicaciones para realizar la respectiva carga en la página institucional.
En el mes de enero se aplicó un instrumento de salud mental a docentes con una participación de 58 y se elaboró el informe de caracterización de esta población
2. Sanamente
Línea para estudiantes, dentro del marco de la celebración de la semana de la salud Física y emocional se llevaron a cabo estategias para el fortalecimiento de la salud mental a través de una actividad masiva en conjunto con las áreas de enfermería y artes.
En la actualidad está diseñado el instrumento de caracterización, el cual se encuentra en revisión para aplicación en el mes de mayo.
3. Metelemente
Diseño de encuesta de necesidades a estudiantes, la respondieron 26 personas y de allí se definieron los temas a trabajar en el programa.
Se realizó reestructuración del espacio y se fijó cronograma de trabajo, la primera emisión se llevará a cabo el día 6  de mayo</t>
  </si>
  <si>
    <t>Proyecto "Yo me quiero, yo me cuido, yo decido bien"</t>
  </si>
  <si>
    <t>Proyecto ejecutado</t>
  </si>
  <si>
    <t>1. El lanzamiento del proyecto y socialización a la comunidad educativa, se realizará en el segundo semestre del año de esta actividad</t>
  </si>
  <si>
    <t>Seguimiento ACADEMICO estudiantes</t>
  </si>
  <si>
    <t xml:space="preserve">seguimiento académico a los estudiantes: 
1. Convenio SED
287 (se realiza a través de grupo de WhatsApp y correo electrónico)
2. EBRA
220 se realiza a través de la plataforma academusoft
- Estrategias diseñadas y compartidas por correo, se envían a todos los estudiantes matriculados de la ETITC, a través del correo electrónico, a la fecha se han diseñado y compartido 4, se realizan 2 por mes.
3. Monitorías
A la fecha 29 estudiantes han tomado el servicio a través de los 8 monitores que se encuentran activos.
</t>
  </si>
  <si>
    <t>1. Acompañamiento individual;  atención en crisis, proceso de segumiento</t>
  </si>
  <si>
    <t>A la fecha se están atiendo 83 estudiantes de las sedes Centro, Tintal y Carvajal. Por ser información confidencial no se adjunto evidencia, el cargue se realiza en el sistema adviser.</t>
  </si>
  <si>
    <t>Ejecución
(ARTES)</t>
  </si>
  <si>
    <t>Proyecto La Cultura Somos Todos</t>
  </si>
  <si>
    <t>Se cuenta con 40 estudiantes 
15 en guitarra
10 Trabajo Vocal
3 Bajo eléctrico
1 Contrabajo
1 Violoncello
1 Contrabajo
2 Violín
10 Teclado
Docentes 3
2 guitarra
1 teclado
Administrativos 1
trabajo vocal</t>
  </si>
  <si>
    <t>https://itceduco-my.sharepoint.com/:f:/g/personal/musica_itc_edu_co/EipnNE1uGOpGish1xXBStYYBqcY_L-Nim3Whgku8SIM0Dw?e=NWMoFt</t>
  </si>
  <si>
    <t>Apoyo actividades Institucionales</t>
  </si>
  <si>
    <t xml:space="preserve">2 eucaristias 
1 acompañamiento actividad imposición ceniza 
1 eucaristia bienvenida 
1 de febrero 
administrativos 20
sistemas 1
electromecànica 2
dibujo mecànico 1
ingenieria 1
total 25
2 de marzo 
estudiantes 710
docentes 40
administrativos 60
total 810 </t>
  </si>
  <si>
    <t>Gestión Cultural</t>
  </si>
  <si>
    <t>Gestiones realizadas</t>
  </si>
  <si>
    <t>4 agrupaciones musicales para la semana de la salud como eje transversal 
1 grupo danza urbana lunes  28 de marzo tintal
administrativos 5
docentes 4
estudiantes 150
total 159
1 grupo fusiòn llanera martes 29 de marzo carvajal
administrativos 6
docentes 6
estudiantes 60
total 72
1 grupo de teatro miercoles 30 marzo sede centro
administrativos 65
docentes 30
estudiantes 500
total 595
1 grupo danza y musica jueves 31 de marzo sede centro
administrativos 10
docentes 10
estudiantes 300
total 320</t>
  </si>
  <si>
    <t>https://itceduco-my.sharepoint.com/:f:/g/personal/musica_itc_edu_co/EseavQq2979Kq6wid0adFNcBphQdTGfxZCqKa0TlTZ6-1A?e=hZY9pV</t>
  </si>
  <si>
    <t>Ejecución
(TRABAJO SOCIAL)</t>
  </si>
  <si>
    <t>Proyecto Inclusión Educativa, Intercultural y de Género Para la Comunidad de Educación Superior de La ETITC “Inclúyeme" - Componente Diversidad Sexual y de género</t>
  </si>
  <si>
    <t xml:space="preserve">A la fecha se han llevado a cabo las siguientes acciones:
1. DIAGNÓSTICO PARTICIPATIVO DIVERSIDAD DE GÉNERO - 29-mar – 64 ESTUDIANTES PES
2. CONMEMORACIÓN DIA INTERNACIONAL DE LA MUJER - 8-mar – 141 ADMIN PES
3. CONMEMORACIÓN DIA DEL HOMBRE – 25-mar – 283 ADMIN PES
4. TALLER ID VIOLENCIAS Y RUTA DE ATENCIÓN DISTRITAL PARA CASOS VIOLENCIA CONTRA LA MUJER - 24-mar – 38 ADMINISTRATIVOS
5. ENCUENTRO VIRTUAL MUJERES ETITC - 4-mar -  4 DOCENTES ESTUDIANTES PES
</t>
  </si>
  <si>
    <t>https://itceduco-my.sharepoint.com/:f:/g/personal/bienestaruniversitario_itc_edu_co/Er9XSfgiSRdBuM8BurGbQWcB5hMTZ4CQF5nIhVSGOlzS7w?e=V7exz8</t>
  </si>
  <si>
    <t>Proyecto Inclusión Educativa, Intercultural y de Género Para la Comunidad de Educación Superior de La ETITC “Inclúyeme" - Componente Discapacidad y Diversidad Intercultural</t>
  </si>
  <si>
    <t>A la fecha se han llevado a cabo las siguientes acciones:
1. CAPACITACIÒN ORUGA SALVAESCALERAS - 4-mar – 7 PARTICIPANTES ADMIN-ESTUDIANTES PES
2. CONSTRUCCIÓN POLÍTICA DE INCLUSIÓN</t>
  </si>
  <si>
    <t>Programa Apoyo y Promoción Socio económica</t>
  </si>
  <si>
    <t>levado a cabo las siguientes acciones:
1.	ENCUENTRO PRESENCIAL GENERACIÓN E - MEN - CHARLA DE EMPRENDIMIENTO - 25-feb – 165 ESTUDIANTES PES
2.	CARGUE INCENTIVO PERMANENCIA 2021-2 - 1-feb – 336 ESTUDIANTES PES
3.	RENOVACIÒN Y LEGALIZACIÒN DE CREDITOS ICETEX 2022-1 - 1-feb – 2 ESTUDIANTES PES
4.	RENOVACIONES BENEFICIARIOS GEN E 2022-1 - 1-feb – 292 ESTUDIANTES PES
5.	ENCUENTRO SOCIALIZACIÓN PROGRAMAS APOYO PROMOCIÓN SOCIO ECONÓMICA SEDE CARVAJAL - 23-mar – 61 ESTUDIANTES PES
6. ASESORÍAS INDIVIDUALES  JeA Y GEN E - FEB Y MARZO - 12 ESTUDIANTES PES</t>
  </si>
  <si>
    <t>Proyecto Bienestar con Impacto social</t>
  </si>
  <si>
    <t xml:space="preserve">Llevado a cabo las siguientes acciones:
1. SOCIALIZACIÓN CARACTERIZACIÓN ESTUDIANTIL DOCENTES 2022-1 - 27-ene -  55 DOCENTES PES
2. RELACIÓN SECTOR EXTERNO - 22-mar – 8 PARTICIPANTES EMPRESA DECANOS PES
</t>
  </si>
  <si>
    <t xml:space="preserve">PE-23- La catedra institucional de la Escuela </t>
  </si>
  <si>
    <t>ME-57- Diseñar e implementar  la catedra ETITC</t>
  </si>
  <si>
    <t xml:space="preserve">Diseñe e implementación </t>
  </si>
  <si>
    <t>Diseñar e implementar  la catedra ETITC</t>
  </si>
  <si>
    <t>% de diseño e implementación de la catedra ETITC alcanzado</t>
  </si>
  <si>
    <t>La catedra ETITC  diseñada e implementada</t>
  </si>
  <si>
    <t>1. El diseño se encuentra finalizado  y en la actualidad se está gestionando el lanzamiento de la catedra, prevista para el segundo semestre.</t>
  </si>
  <si>
    <t>OE-1- Consolidar la calidad académica para la acreditación institucional de alta calidad respaldada fortalecimiento
de la gestión, la infraestructura tecnológica y física</t>
  </si>
  <si>
    <t>DESPACHO</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</si>
  <si>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</si>
  <si>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</si>
  <si>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Adquisición de plataforma</t>
  </si>
  <si>
    <t>Adquirir una plataforma académica segundo idioma</t>
  </si>
  <si>
    <t>Porcentaje de programas de educación superior articulados a la política institucional de lengua extranjera</t>
  </si>
  <si>
    <t>Plataforma academica segundo idioma adquirida y puesta en marcha</t>
  </si>
  <si>
    <t xml:space="preserve">Se cuenta con los estudios previos, de igual manera se cuenta con el estidio de mercado.
Se han realizado 3 reuniones con los posibles oferentes de la plataforma (estudiantes docentes). También se han realizado reuniones con los usuarios de la plataforma una vez se adquiera, el aque se ha expresado la necesidad y la usabilidad del aplicativo. </t>
  </si>
  <si>
    <t>Estudios previos.</t>
  </si>
  <si>
    <t>PE1. Acreditación Institucional de Alta Calidad</t>
  </si>
  <si>
    <t xml:space="preserve">Prestación de servicios profesionales </t>
  </si>
  <si>
    <t>Prestación de servicios en las actividades de aseguramiento de la calidad</t>
  </si>
  <si>
    <t>5 Contratos formalizados. Ejecución contractual Prestación Servicios Profesionales Aseguramiento de Calidad. Ejecución contractual</t>
  </si>
  <si>
    <t>Actualmente se ejecutan los contratos: 095, 094, 096 de 2022, por un valor de 33.605.000 cada uno. Estos se ejecutan en la Oficina de Autoevaluación.
Durante el segundo semestre de la vigencia se proyecta contratar 2 profesionales para la Vicerrectiría Académica</t>
  </si>
  <si>
    <t xml:space="preserve">Prestación servicios profesionales apoyo a la gestión. actividades del Despacho </t>
  </si>
  <si>
    <t>Ejecución contractual. Prestación de servicios en las actividades del Despacho de la Escuela Tecnológica Instituto Técnico Central</t>
  </si>
  <si>
    <t>Actualmente se ejecuta el Contrato 159 - 2022, vigente desde el 1° de marzo hasta el 15 de noviembre de 2022.</t>
  </si>
  <si>
    <t>PE-4- Modelo de gestión académica curricular soportada en resultados de aprendizaje y competencias</t>
  </si>
  <si>
    <t>ME-4- Implementar el modelo de evaluación por resultados de aprendizaje y competencias, soportado en los lineamientos del MEN y el  sistema interno de aseguramiento de la calidad académica.</t>
  </si>
  <si>
    <t>Formulación e implementación</t>
  </si>
  <si>
    <t>Capacitación para profesores en resultados de aprendizaje, sus estrategias didacticas y su evaluación.</t>
  </si>
  <si>
    <t>Número de Syllabus actualizados</t>
  </si>
  <si>
    <t xml:space="preserve">Esta actividad se proyecta realizar durante el 3° trimestre de la vigencia. </t>
  </si>
  <si>
    <t>Diseño y evaluación microcurricular soportada en resultados de aprendizaje y competencias</t>
  </si>
  <si>
    <t>Diseño  y evaluación microcurricular soportada en resultados de aprendizaje y competencias</t>
  </si>
  <si>
    <t>Porcentaje de programas de educación superior articulados al modelo de evaluación por resultados de aprendizaje y competencias</t>
  </si>
  <si>
    <t>Diseño y evaluación microcurricular realizada</t>
  </si>
  <si>
    <t xml:space="preserve">Actualmente se ejecuta el contrato 091 de 2022. Se realizo el estudio inspección de completitud de 425 Syllabus.
</t>
  </si>
  <si>
    <t>ME-29-  Lograr  al 2023 el Registro Calificado de 1 Especialización Profesional, 1 Especialización Tecnológica, al 2024, 3 carrera profesional por ciclos y 1 Maestría.</t>
  </si>
  <si>
    <t>Documentos estructurados</t>
  </si>
  <si>
    <t xml:space="preserve">Actualmente se desarrolla el Contrato para la creación de estudios maestros para 3 especializaciones (Instrumentación industrial, manteimiento industrial y Gestión y construcción de redes de media tensión).
Desde la vigencia 2021 se cuenta con las especializaciones: Diseño y Gestión de Sistemas y Dispositivos para Internet de las Cosas, Seguridad y Salud en el Trabajo. </t>
  </si>
  <si>
    <t>ME-30-  Lograr al 2024, que el 50% de los programas con registro calificado en la modalidad presencial  esten convertidos a modalidad semipresencial (blended).</t>
  </si>
  <si>
    <t>Esta actividad se aclarará durante el 2° semestre de la vigencia, de acuerdo a la directiva Ministerial  09 de 2021.</t>
  </si>
  <si>
    <t>OE-3- Fortalecer el ecosistema de funcionalidades digitales para la gestión y el desarrollo de la actividad
misional mediante el uso de las TIC.</t>
  </si>
  <si>
    <t>FACULTAD DE ELECTROMECÁNICA</t>
  </si>
  <si>
    <t xml:space="preserve">2° Fase del proyecto aulas para alternancia </t>
  </si>
  <si>
    <t>Elementos adquiridos y con soporte técnico</t>
  </si>
  <si>
    <t xml:space="preserve">Para la vigencia 2022, se proyecta implementar nuevos equipos de vanguardia, para lo que se han adquirido entre febrero y marzo de la vigencia (2° fase del proyecto APA) 313 elementos e instrumentos. </t>
  </si>
  <si>
    <t>Contratos ejecutados</t>
  </si>
  <si>
    <t xml:space="preserve">Laboratorio de Inmotica y control industrial </t>
  </si>
  <si>
    <t xml:space="preserve">Con la empresa Schneider Electric de Colombia SAS, se adquirieron 2 laboratorios de inmódica y de control industrial, a través de los contratos 336 de 2021 y 351 de 2021; por $591.453.000. Actualmente ya se firmaron las pólizas de cumplimiento. </t>
  </si>
  <si>
    <t>Polízas Firmadas</t>
  </si>
  <si>
    <r>
      <rPr>
        <b/>
        <sz val="14"/>
        <color theme="1"/>
        <rFont val="Calibri"/>
        <family val="2"/>
        <scheme val="minor"/>
      </rPr>
      <t>ME-17- Adecuar las capacidades tecnológicas para atender las necesidades de los procesos misionales.</t>
    </r>
  </si>
  <si>
    <t>Solicitud de ofertas</t>
  </si>
  <si>
    <t>Certificar a docentes y estudiantes en nuevas tecnologías de software</t>
  </si>
  <si>
    <t>Docentes y estudintes certificados en nuevas tecnologias de software</t>
  </si>
  <si>
    <t>A través del Semillero Fabricación digital se efectúan licencias en Solidworks, para la formación de estudiantes (70) y docentes (7, en manejo de software en diferentes 24 módulos distintos</t>
  </si>
  <si>
    <t>EOE-11-Aumentar la cobertura mediante programas de educación superior diferenciados,
con alta pertinencia regional.</t>
  </si>
  <si>
    <t xml:space="preserve">PE-27-   Diseñar y ofertar nuevos programas de pregrado con alta pertinencia regional rural
</t>
  </si>
  <si>
    <t>ME-71-  Estructurar  y gestionar el registro de   Pregrado en Ingeniería de energías por ciclos.</t>
  </si>
  <si>
    <t>Diseño y construcción de los nuevos plan de estudios de a nivel de pregrado. Ingenieria en Energias.</t>
  </si>
  <si>
    <t>Porcentaje Registro del pregrado en Ingeniería de energías por ciclos alcanzado</t>
  </si>
  <si>
    <t xml:space="preserve">Actualmente la Facultad se encuentra en fase de investigación para elaborar un PEP sobre Ingenieria en Energias por ciclos propedeuticos. Esta actividad se proyecta consolidar durante el 4° trimestre de la vigencia. </t>
  </si>
  <si>
    <t>PE-1- Acreditación Institucional de Alta Calidad</t>
  </si>
  <si>
    <t>Documentos maestros y syllabus  actualizados</t>
  </si>
  <si>
    <t>Fases del Consejo Nacional de Acreditación alcanzadas</t>
  </si>
  <si>
    <t xml:space="preserve">El documento Maestro de Ingeniería (técnico, tecnología, profesional), no ha tenido cambios durante el 2022, debido a que no se han solicitado cambios desde la V. Académica.
Los Sylabus no han tenido modificaciones, ya que se evalúa una modificación en el formato de los mismos con el fin de integrar resultados de aprendizaje </t>
  </si>
  <si>
    <t>Desarrollar las actividades del Plan de Mejoramiento 2021- 2022</t>
  </si>
  <si>
    <t>Actividades consolidadas</t>
  </si>
  <si>
    <t xml:space="preserve">Con relación al plan de mejoramiento, se ha estructurado un documento que integra los diferentes elementos que surgieron de temas como registro calificado y acreditación, se muestra las 16 actividades a desarrollar. </t>
  </si>
  <si>
    <t xml:space="preserve">Documento consolidado </t>
  </si>
  <si>
    <t>PE-5- MIPG y Los sistemas de gestión para una gobernanza transparente</t>
  </si>
  <si>
    <t>Profesional de Apoyo Facultad para el apoyo de la gestión</t>
  </si>
  <si>
    <t xml:space="preserve"> Profesional de Apoyo Facultad para el apoyo de la gestión</t>
  </si>
  <si>
    <t>Actualmente se cuenta con el profesional, incorporado mediante el Cto- 076-2022</t>
  </si>
  <si>
    <t>Acta de inicio</t>
  </si>
  <si>
    <t>Planificación</t>
  </si>
  <si>
    <t xml:space="preserve">Capacitación a docentes 
Formación en temas de resultado de aprendizaje.
</t>
  </si>
  <si>
    <t>Porcentaje de programas de educación superior articulados al modelo de evaluación por resultados de aprendizaje y competencias.</t>
  </si>
  <si>
    <t>Docentes capacitados</t>
  </si>
  <si>
    <t xml:space="preserve">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
</t>
  </si>
  <si>
    <t>Listas de asistencia 
Borrador del documento PEP</t>
  </si>
  <si>
    <t xml:space="preserve">PE-6- Egresados como embajadores institucionales </t>
  </si>
  <si>
    <r>
      <rPr>
        <b/>
        <sz val="14"/>
        <color theme="1"/>
        <rFont val="Calibri"/>
        <family val="2"/>
        <scheme val="minor"/>
      </rPr>
      <t>ME-11-Implementar el Sistema de Acompañamiento al desarrollo del Egresado - SADE., con responsabilidad social y académica.</t>
    </r>
  </si>
  <si>
    <t>Apoyo en la implementación del SADE</t>
  </si>
  <si>
    <t>Porcentaje de implementación del SADE.</t>
  </si>
  <si>
    <t>Listados de asistencia, grabaciones de egresados y participación a reuniones y capacitaciones</t>
  </si>
  <si>
    <t xml:space="preserve">El 24 de febreros se realizó un Foro presencial con la temática “cables para el futuro”. Se contó con la participación de 5 instituciones.
19 de marzo. Con el apoyo del CONTE se realizó un encuentro presencial, con la temática “Normatividad y cultura de la legalidad”. Se contó con la participación de 5 instituciones.
</t>
  </si>
  <si>
    <t xml:space="preserve">Listas de Asistencia </t>
  </si>
  <si>
    <t>OE.4- Fortalecer la visibilidad de la escuela bajo en entorno de asertividad para el posicionamiento
nacional e internacional.</t>
  </si>
  <si>
    <t>PE12. Internacionalización para ampliar fronteras del conocimiento</t>
  </si>
  <si>
    <t xml:space="preserve">Planificación y ejecución </t>
  </si>
  <si>
    <t>Participación en eventos como: Encuentro RIEM 2022</t>
  </si>
  <si>
    <t>LIstados de asistencia y grabaciones al encuentro RIEM 2022</t>
  </si>
  <si>
    <t>Esta atividad aun no tiene avances, se proyecta para el 4° trimestre de la vigencia</t>
  </si>
  <si>
    <t>Movilidad de docentes y estudiantes (Académica)</t>
  </si>
  <si>
    <t>Movilidades Nacionales. Inscripiciones, pasajes,  y auxilio de viaje (estudiantes)</t>
  </si>
  <si>
    <t xml:space="preserve">Proecesos de movilidad ejecutados </t>
  </si>
  <si>
    <t xml:space="preserve">A través de convenios con la ECCI Universidad y la Uniminuto, los estudiantes que cumplen unas ciertas características (80% de sus materias académicas), tienen la oportunidad de  continuar sus estudios de posgrado en diferentes materias (iniciar estudios de posgrado).
</t>
  </si>
  <si>
    <t>OE-7- Implementar programas y acciones para asegurar la permanencia de los estudiantes.</t>
  </si>
  <si>
    <t>Visita a empresas del sector y actividades de acercamiento</t>
  </si>
  <si>
    <t>Grabaciones y listados de visita a empresas del sector y actividades realizadas</t>
  </si>
  <si>
    <t xml:space="preserve">El pasado enero de la vigencia, el Decano de la Facultad realizo una vista al SENA sede Cazucá, con fines de generar alianzas.
Desde la Decanatura se cuenta con 188 estudiantes inscritos a las ofertas de 10 empresas. A dichos estudiantes se les socializa las diferentes ofertas laborales. </t>
  </si>
  <si>
    <t xml:space="preserve">Estidiantes CREA </t>
  </si>
  <si>
    <t xml:space="preserve">Dentro del Proyecto CREA, se tiene 4 estudiantes incritos. </t>
  </si>
  <si>
    <t>Vehiculo Eléctrico y documentación asociada, cotizaciones, facturas de compra, remisiones.</t>
  </si>
  <si>
    <t>Programa de fortalecimiento de grupos y de investigación implementado</t>
  </si>
  <si>
    <t>Proceso pre y contractual realizado</t>
  </si>
  <si>
    <t xml:space="preserve">El proyecto se encuentra en fase de diseño, al cual se integran 5 ingenieros, se han llevado a cabo 4 reuniones durante el 1° trimestre de la vigencia .  </t>
  </si>
  <si>
    <t>Cargador eléctrico y documentación asociada, cotizaciones, facturas de compra, remisiones.</t>
  </si>
  <si>
    <t xml:space="preserve">El proyecto se encuentra en fase de diseño, al cual se integran 3 ingenieros, se han llevado a cabo 1 reuniones durante el 1° trimestre de la vigencia.  </t>
  </si>
  <si>
    <t>OE-9-La Extensión y la Proyección social como aporte al desarrollo de capacidades.</t>
  </si>
  <si>
    <t>PE-20- Centro de capacitación industrial como espacio de cualificación para la empleabilidad a mediando plazo</t>
  </si>
  <si>
    <t xml:space="preserve">ME-50- Consolidar y fortalecer el vínculo entre empresa, estado - academia ETITC
</t>
  </si>
  <si>
    <t>Personal certificado según AWS</t>
  </si>
  <si>
    <t>Número de empresas vinculadas por diferentes factores con la ETITC/ 40 *100</t>
  </si>
  <si>
    <t>Certificaciones suministradas</t>
  </si>
  <si>
    <t>Actualmente la Facultad se encuentra en poceso de solicitud de cotizaciones, esta actividad se proyecta realizar durante el 2° semestre de la vigencia</t>
  </si>
  <si>
    <t>FACULTAD DE MECATRÓNICA</t>
  </si>
  <si>
    <t>Actividades de movilidad e internacionalización</t>
  </si>
  <si>
    <t>Grabaciones, fotos soporte de las actividades de movilidad e internacionalización</t>
  </si>
  <si>
    <t>El Docente, Rafael Cepeda participo en el Congreso CICE en  Ecuador.</t>
  </si>
  <si>
    <t xml:space="preserve">Carta de asistencia </t>
  </si>
  <si>
    <t>Movilidades Nacionales. Inscripciones, pasajes, viáticos (Docentes)</t>
  </si>
  <si>
    <t>Esta actividad se proyecta para el 2° semestre del año</t>
  </si>
  <si>
    <t>Movilidades Internacionales (estudiantes)</t>
  </si>
  <si>
    <t>Movilidades Internacionales (docentes)</t>
  </si>
  <si>
    <t>El Docente, Rafael Cepeda participo en el Congreso CICE en   Ecuador.</t>
  </si>
  <si>
    <t>Movilidades (Asistencia Encuentro con redes Acofi, Congreso Acofi, asistencia a eventos nacionales e internacionals en representación de la ETITC) Decanos y Vicerrector Academico</t>
  </si>
  <si>
    <t>Esta actividad se realizara en el 2° trimestre de la vigencia</t>
  </si>
  <si>
    <t>Encuentro Nacional RIIMA - Red de Ingenieria Mecatronica (Decanos y Directores de programa)</t>
  </si>
  <si>
    <t>Esta actividad se realizara en el 2° Y 3° trimestre de la vigencia</t>
  </si>
  <si>
    <t>Infomatrix 2022</t>
  </si>
  <si>
    <t>Actualmente se realiza la convocatoria Infomatrix 2022</t>
  </si>
  <si>
    <t>Socialización de la convocatoria a través de la página web institucional</t>
  </si>
  <si>
    <t>Robomatrix 2022</t>
  </si>
  <si>
    <t>Esta actividad aún no tiene avance</t>
  </si>
  <si>
    <t>Participación experto internacional en II Congreso  Internacional de Educación en Ciencias Sociales</t>
  </si>
  <si>
    <t>Esta actividad se realizara en el 2° semestre de la vigencia</t>
  </si>
  <si>
    <t>Tiquetes y alojamiento experto internacional en II Congreso  Internacional de Educacion en Ciencias Sociales</t>
  </si>
  <si>
    <t xml:space="preserve">OE-8-Fortalecer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 </t>
  </si>
  <si>
    <t xml:space="preserve"> PE-19- Innovación para el  Fortalecimiento Institucional y el Desarrollo Social.</t>
  </si>
  <si>
    <t>ME-47- Fortalecer las redes de innovación y alianzas estratégicas de cooperación con otros actores del Sistema Nacional de Ciencia Tecnología e Innovación – SNCTI, sector público, privado y academia para actividades de Investigación, Desarrollo e Innovación - I+D+i.</t>
  </si>
  <si>
    <t>Evento STEM, tecnologias convergentes y robotica, (Estudiantes educacion media)</t>
  </si>
  <si>
    <t>Relaciones estratégicas con otros actores del SNCTI</t>
  </si>
  <si>
    <t>Participación en eventos</t>
  </si>
  <si>
    <t xml:space="preserve">Se tienen identificadas las temáticas y los actores que acompañaran en este evento. Se evaluara durante el 2° trimestre de la vigencia </t>
  </si>
  <si>
    <t>ME-11-Implementar el Sistema de Acompañamiento al desarrollo del Egresado - SADE., con responsabilidad social y académica.</t>
  </si>
  <si>
    <t xml:space="preserve">Seguimiento y consolidación </t>
  </si>
  <si>
    <t>Fortalecimiento comunidad egresados</t>
  </si>
  <si>
    <t>Evento fortalecimiento habilidades y competencias egresados facultad Mecatronica</t>
  </si>
  <si>
    <t xml:space="preserve">Se está realizando el diseño de la asociación de egresa de mecatrónica, apoyados por los egresados Nicolás Castiblanco y Jessi Castiblanco. Esta asociación busca que los estudiantes usen Software de tipo campus, para que los egresados los puedan utilizar, empresa IMPULSA COLOMBIA. </t>
  </si>
  <si>
    <t>Se proyecta realizar esta actividad con Bienestar Universitario en el Evento RIIMA</t>
  </si>
  <si>
    <t>PE5. MIPG y Los sistemas de gestión para una gobernanza transparente</t>
  </si>
  <si>
    <t xml:space="preserve">Perfeccionamiento el contrato </t>
  </si>
  <si>
    <t>La actividades son ejecutadas por la profesional Marcela Escobar, Hasta el 30 de noviembre 078-2022</t>
  </si>
  <si>
    <t xml:space="preserve">Auxiliar Administrativo Facultad </t>
  </si>
  <si>
    <t>La actividades son ejecutadas por Martha Rodriguez, hasta el 30 de noviembre 093-2022</t>
  </si>
  <si>
    <t>Fortalecimiento de competencias disciplinares de los profesores de la facultad.</t>
  </si>
  <si>
    <t>Procesos de capacitación ejecutados</t>
  </si>
  <si>
    <t xml:space="preserve">Se está realizando capacitaciones en: Matlab (96 entre estudiantes y docentes) y Labview (22 docentes). Se adelanta el proceso para 60 certificaciones.
Desde la facultad se capacitan docentes del IBTI ( 3 en LabView) </t>
  </si>
  <si>
    <t xml:space="preserve">Plan de capacitaciones </t>
  </si>
  <si>
    <t>FACULTAD DE PROCESOS INDUSTRIALES</t>
  </si>
  <si>
    <t xml:space="preserve">La ETITC realizo el respectivo aporte para participar en el V Encuentro de la Red de Programas de Ingeniería Industrial
Nodo Centro, 29 de abril de 2022 ($2.000.000).
Durante el mes de marzo se enviaron 7 resúmenes para participar en el evento EIEI en el mes de septiembre
La ETITC partipará en el 10 ° congreso internacional "Nuevas tendencias  en la gestiónj del conocimiento en ingeniería", del 9 al 14 de mayo. En dicho encuentro participaran 10 universidades. 
</t>
  </si>
  <si>
    <t>https://itceduco-my.sharepoint.com/:f:/g/personal/procesos_itc_edu_co/EsrxrLcyDCVCk9SL-mWNID8BIP55yoHgN1Jckgvh8fTk8w?e=WM6qGu</t>
  </si>
  <si>
    <t>La Decana Luisa Goméz, participó en la reunión de la Asociación Colombiana de de Facultad de Ingenieria (Barranquilla- marzo 22)</t>
  </si>
  <si>
    <t xml:space="preserve">Esta actividad se proyecta realizar durante el 2° semestre de la vigencia </t>
  </si>
  <si>
    <t>La Decana Luisa Goméz, participó en la reunión de la Asociación Colombiana de de Facultad de Ingenieria (Barranquilla- marzo 22)
Durante el mes de marzo se enviaron 7 resúmenes para participar en el evento EIEI en el mes de septiembre.</t>
  </si>
  <si>
    <t>Membresías</t>
  </si>
  <si>
    <t>Se cuenta con los estudios previos de para obtener la membresía con ACOSEND, sin embargo este proceso se surtira una vez finalice la Ley de garantías</t>
  </si>
  <si>
    <t xml:space="preserve">Alojamiento experto internacional en X Congreso Internacional en gestión del conocimiento en Ing. </t>
  </si>
  <si>
    <t>La ETITC partipará en el 10 ° congreso internacional "Nuevas tendencias  en la gestión del conocimiento en ingeniería", del 9 al 14 de mayo. En dicho encuentro participaran 10 universidades. Como invitado participará el docente Leonardo Casteras.</t>
  </si>
  <si>
    <t>V Encuentro de la red de programa de ingeniería Industrial</t>
  </si>
  <si>
    <t>La ETITC realizo el respectivo aporte para participar en el V Encuentro de la Red de Programas de Ingeniería Industrial
Nodo Centro, 29 de abril de 2022 ($2.000.000).</t>
  </si>
  <si>
    <t>Eventos con egresados</t>
  </si>
  <si>
    <t>Evento fortaleciemiento habilidades y competencias egresados facultad Procesos</t>
  </si>
  <si>
    <t xml:space="preserve">Se han extendido invitaciones a egresados para contar con su participación en los diferentes eventos que se realizan desde la Facultad y desde la Escuela.
También se ha realizado la actualización de base de datos, creación de grupos por correo electrónico y whatsapp Se construyo la encuesta "Percepción del egresado en porcesos de actualización e innovación". </t>
  </si>
  <si>
    <t>PE-4- Modelo de gestión académica curricular soportada en resultados de
aprendizaje y competencias</t>
  </si>
  <si>
    <t xml:space="preserve">Formulación e implementación </t>
  </si>
  <si>
    <t>Reunión docentes facultad para mejora curricular del programa</t>
  </si>
  <si>
    <t xml:space="preserve">Se realizo una reunión con docentes para definir los resultados de aprendizaje en el área de Procesos de manofactura y producción, sontó con la participación de 20 profesores. 
Reunión de proyectos integradores con docentes (una reunión quincenal), participan en promedio 20 docentes. </t>
  </si>
  <si>
    <t xml:space="preserve">Actualización </t>
  </si>
  <si>
    <t>Revisar y actualizar los documentos maestros del programa ingenieria en procesos farmaceuticos por ciclos, con fines de solicitud del registro calificado</t>
  </si>
  <si>
    <t>Documentos actualizados</t>
  </si>
  <si>
    <t>Esta actividad se desarrollará duran el 2° trimestre de la vigencia.</t>
  </si>
  <si>
    <t xml:space="preserve">Perfeccionamiento del contrato y ejecución </t>
  </si>
  <si>
    <t>Apoyo a la gestión en la Decanatura de Procesos Industriales</t>
  </si>
  <si>
    <t>Ejecucióin contractual</t>
  </si>
  <si>
    <t xml:space="preserve">Actualmente se ejecuta el Cto - 079 de 2022. </t>
  </si>
  <si>
    <t>PE-9-  Tecnologías de información y comunicaciones al servicio de la academia y la ciencia</t>
  </si>
  <si>
    <t xml:space="preserve">Fortalecimiento tecnológico </t>
  </si>
  <si>
    <t>Renovación licencia FlexSim</t>
  </si>
  <si>
    <t xml:space="preserve">Por confirmar </t>
  </si>
  <si>
    <t>Capacitación en manejo de software especializado Flexsim (por 3 asistentes)</t>
  </si>
  <si>
    <t>Capacitación en manejo de software especializado Flexsim 2 (por 3 asistentes)</t>
  </si>
  <si>
    <t xml:space="preserve"> PE-18- Fortalecimiento permanente en Competencias en investigación, ciencia, tecnología e innovación en la ETITC   </t>
  </si>
  <si>
    <t xml:space="preserve">ME-43- Diseñar  e implementar  un Programa de capacitación permanente para la Investigación, Ciencia, Tecnología e Innovación y de fortalecimiento de la investigación en la ETITC. </t>
  </si>
  <si>
    <t>Programa de capacitación permanente implementado</t>
  </si>
  <si>
    <t>Certificación Lean Mangement como opción de grado</t>
  </si>
  <si>
    <t xml:space="preserve">La certificación se encuentra vigente hasta el 30 de junio, por ende, esta actividad se proyecta realizar durante el 2° semestre de la vigencia. </t>
  </si>
  <si>
    <t xml:space="preserve">PE-21- Proyección Social más allá de las fronteras
</t>
  </si>
  <si>
    <r>
      <rPr>
        <b/>
        <sz val="14"/>
        <color theme="1"/>
        <rFont val="Calibri"/>
        <family val="2"/>
        <scheme val="minor"/>
      </rPr>
      <t>ME-54- Estructurar programa de oferta de servicios</t>
    </r>
    <r>
      <rPr>
        <b/>
        <sz val="14"/>
        <color rgb="FFFF0000"/>
        <rFont val="Calibri"/>
        <family val="2"/>
        <scheme val="minor"/>
      </rPr>
      <t xml:space="preserve"> </t>
    </r>
    <r>
      <rPr>
        <b/>
        <sz val="14"/>
        <color theme="1"/>
        <rFont val="Calibri"/>
        <family val="2"/>
        <scheme val="minor"/>
      </rPr>
      <t>proyección social</t>
    </r>
  </si>
  <si>
    <t>Fortalecimiento curricular</t>
  </si>
  <si>
    <t>Oferta de cursos, propuestos por la facultad a la Oficina de extension. e-learning FlexSim</t>
  </si>
  <si>
    <t>Programas de proyección social estructurados</t>
  </si>
  <si>
    <t>Se reallizo una capacitación en Sofware FlexSim, epsecificamente en el modilo estadístico, participaron 10 docentes (19, 20 y 24 de enero).</t>
  </si>
  <si>
    <t>ME-70-  Estructurar  y gestionar el registro de   Pregrado en Ingeniería Ambiental por ciclos.</t>
  </si>
  <si>
    <t>Diseño y formulación</t>
  </si>
  <si>
    <t>Porcentaje Registro del pregrado en Ingeniería Ambiental por ciclos alcanzado</t>
  </si>
  <si>
    <t xml:space="preserve">Esta actividad se proyecta realizar durante el 2° semestre de la vigencia. </t>
  </si>
  <si>
    <t>FACULTAD DE MECÁNICA</t>
  </si>
  <si>
    <t>PE- 12- Internacionalización para ampliar fronteras del conocimiento</t>
  </si>
  <si>
    <t>Movilidades Nacionales. Inscripiciones, pasajes,  y auxilio de viaje,(estudiantes y/o profesores)</t>
  </si>
  <si>
    <t>Participación en el concurso de vehiculo de tracción humana VTH</t>
  </si>
  <si>
    <t>Porcentaje de implementación de la politica Institucional de internacionalización y coperación nacional e internacional</t>
  </si>
  <si>
    <t>Participación en eventos de movilidad académica</t>
  </si>
  <si>
    <t xml:space="preserve">Desde los Proyectos Integradores con estudiantes y docentes se esta realizando el rediseño de los vehiculos de tracción eléctrica y humano a nivel académico. </t>
  </si>
  <si>
    <t>Participación en el concurso de  vehiculo tracción eléctrica VTE.</t>
  </si>
  <si>
    <t xml:space="preserve">Desde los Proyectos Integradores con estudiantes y docentes, se está realizando el rediseño de los vehiculos de tracción eléctrica y humano a nivel académico. </t>
  </si>
  <si>
    <t>Movilidades para docentes y estudiantes</t>
  </si>
  <si>
    <t>Esta actividad aún no tiene avance.</t>
  </si>
  <si>
    <t xml:space="preserve">Participación y  asistencia  en encuentro con redes Acofi, Congreso Acofi, asistencia a eventos nacionales e internacionals en representación de la ETITC) </t>
  </si>
  <si>
    <t>Desde la Facultad no se ha participado en eventos durante el 1° trimestre.</t>
  </si>
  <si>
    <t>Seminarios en gestión  del   mantenimiento, Ensayos No destructivos, estimación de la vida residual de calderas y recipientes a presión</t>
  </si>
  <si>
    <t>ME-69- Estructurar y gestionar el registro de Pregrado en Ingeniería Agrícola por ciclos</t>
  </si>
  <si>
    <t xml:space="preserve">Proceso de calidad </t>
  </si>
  <si>
    <t xml:space="preserve">Surtir el proceso para solicitar el registro calificado del pregrado en ingenieria Agricola por ciclos </t>
  </si>
  <si>
    <t>Porcentaje Registro del pregrado en Ingeniería Agrícola por ciclos alcanzado</t>
  </si>
  <si>
    <t xml:space="preserve">Documentos que soporten el proceso de solicitud del registro calificado </t>
  </si>
  <si>
    <t xml:space="preserve">Los documentos maestros para el pregrado en ingenieria Agricola por ciclos se encuentran elaborados, paso siguiente se surtirá un proceso de tipo institucional para verificar la viabilidad de este programa en la ETITC. 
Desde Autoevaluación </t>
  </si>
  <si>
    <t xml:space="preserve">Documentación en evaluación institucional </t>
  </si>
  <si>
    <t>FACULTAD DE SISTEMAS</t>
  </si>
  <si>
    <t>Perfeccionamiento y desarrollo del contrato</t>
  </si>
  <si>
    <t xml:space="preserve">Actualmente se ejecuta el Cto- 080 2022, por un valor </t>
  </si>
  <si>
    <t>Convocatoria y desarrollo de las sesiones</t>
  </si>
  <si>
    <t>Reunión Gestión Curricular</t>
  </si>
  <si>
    <t>Sesiones realizadas</t>
  </si>
  <si>
    <t>En Enero se instauró el Comité Curricular de Facultad. El 14 de febrero se realizo la 1° sesión del Comité (declaración del Comité), y el 31 de marzo la segunda sesión (resultados de aprendizaje del programa)</t>
  </si>
  <si>
    <t xml:space="preserve">Actas del Comité Curricular de Facultad. </t>
  </si>
  <si>
    <t>Actualizar el PEP de la facultad</t>
  </si>
  <si>
    <t>PEP de la Facultad de Sistemas actualizados</t>
  </si>
  <si>
    <t>Para el 1° trimestre de la vigencia la actualización del PEP se encuentra en un 40%. Matriz de resultados de aprendizaje actualizada</t>
  </si>
  <si>
    <t>Matriz de resultados de aprendizaje actualizada</t>
  </si>
  <si>
    <t xml:space="preserve">Formación y capacitación </t>
  </si>
  <si>
    <t xml:space="preserve">Proceso de formación realizado </t>
  </si>
  <si>
    <t xml:space="preserve">Se hizó lel lanzamiento de las iniciativas:
Competencias en Google Cloud (16 participantes )
SEC-COUNCIL (27 participantes). Sin embargo se extendió la invitación a los 52 docentes de la Facultad. </t>
  </si>
  <si>
    <t>Correos electrónicos</t>
  </si>
  <si>
    <t>Formación complementaria - profesores de la facultad.</t>
  </si>
  <si>
    <t>Proceso de capacitación realizado</t>
  </si>
  <si>
    <t>Proyecto Articulador</t>
  </si>
  <si>
    <t>Proyecto Articulador diseñado e implementado</t>
  </si>
  <si>
    <t xml:space="preserve">Para el 1° trimestre de la vigencia se realizo difusión masiva  a estudiantes y docentes para su incripción, así mismo se dio claridad acerca del espacio en el que se realizará el seguimiento al proyecto articulador </t>
  </si>
  <si>
    <t>Seminario de ingeniería de Sistemas</t>
  </si>
  <si>
    <t>Actiivdad realizada</t>
  </si>
  <si>
    <t xml:space="preserve">Esta actividad se proyecta realizar durante el 2° trimestre de la vigencia. </t>
  </si>
  <si>
    <t>Evento, fortaleciemiento habilidades y competencias egresados facultad</t>
  </si>
  <si>
    <t>Evento realizado</t>
  </si>
  <si>
    <t xml:space="preserve">Con relación a la iniciativa SEC-COUNCIL un egresado inscribio la certificación en Ethical hacking.
Con la compañia CEED, se realizo la formación en DRUPAL 
 desde 22 de enero hasta 2 de marzo, participaron 3 egresados. </t>
  </si>
  <si>
    <t xml:space="preserve">Evidencias de las clases realizadas
Listados de incripción </t>
  </si>
  <si>
    <t>PE-12- Internacionalización para ampliar fronteras del conocimiento</t>
  </si>
  <si>
    <t>Movilidades Nacionales. Inscripiciones, pasajes,  y viaticos</t>
  </si>
  <si>
    <t>Encuetro Nacional REDIS - Redde decanos y directores de Ingeniería de Sistemas</t>
  </si>
  <si>
    <t>Grabación de eventos, y documentos que verifiquen la participación en eventos de movilidad académica</t>
  </si>
  <si>
    <t xml:space="preserve">Se realizo la socialización en el sitio web intitucional para recibir los respectivos proyectos, la cual se proyecta realizar a finales del mes de mayo. </t>
  </si>
  <si>
    <t xml:space="preserve">Información en sitio web </t>
  </si>
  <si>
    <t>EHSP 2021 Internacional</t>
  </si>
  <si>
    <t>Sede - Circuitos de maratones</t>
  </si>
  <si>
    <t>Inscripción de equipos Maratón nacional de programación</t>
  </si>
  <si>
    <t xml:space="preserve">La ETITC interactuó en 3 diferentes sesiones (24 de febrero, 3 y 10 de marzo) con estudiantes y docentes de la Universidad San Marcos de Costa Rica. "Potenciando humanidad a través de la comunicación"  </t>
  </si>
  <si>
    <t>Evidencias de las sesiones realizadas</t>
  </si>
  <si>
    <t xml:space="preserve">La ETITC interactuo en 3 diferentes sesiones (24 de febrero, 3 y 10 de marzo) con estudiantes y docentes (Jackeline Prieto) de la Universidad San Marcos de Costa Rica. "Potenciando humanidad a través de la comunicación " 
 </t>
  </si>
  <si>
    <t xml:space="preserve">En el marco de la Asamble nacional de ACOFI, el Decano de la Facultad participó en la sesión realizada en Barranquilla (17 y 18 de marzo)
Desde el 28 de marzo se contó con la movilidad del Decano de la Facultad de la Universidad Técnica de Bulgaria. </t>
  </si>
  <si>
    <t>Certificados de asistencia</t>
  </si>
  <si>
    <t>Renovación</t>
  </si>
  <si>
    <t>Renovación licencia Enterprise Archictect</t>
  </si>
  <si>
    <t>Renovación adquirida</t>
  </si>
  <si>
    <t>Kits de informática forense (3) y formación</t>
  </si>
  <si>
    <t>Instrumento adquirido</t>
  </si>
  <si>
    <t>Fase II - Laboratorio de IA y Ciencia de Datos</t>
  </si>
  <si>
    <t>Fase II completada</t>
  </si>
  <si>
    <t>PE-14- Nuevos programas  de pregrado y posgrado</t>
  </si>
  <si>
    <t>ME-29-  Lograr  al 2023 el Registro Calificado de 1 Especialización Profesional, 1 Especialización Tecnológica, al 2024, 1 carrera profesional por ciclos y 1 Maestría.</t>
  </si>
  <si>
    <t>Desarrollo contractual</t>
  </si>
  <si>
    <t>Diseño y construcción del programa de Maestría relacionada con Seguridad Informática (Estudio de Factibilidad)</t>
  </si>
  <si>
    <t>Documento elaborados</t>
  </si>
  <si>
    <t>Con corte a 30 de marzo se cuenta con el informe de avance (estudio de viabilidad y factibilidad)</t>
  </si>
  <si>
    <t>Convocatoria, perfeccionamiento y desarrollo contractual</t>
  </si>
  <si>
    <t>Diseño y construcción del programa de Maestría relacionada con Seguirdad Informática (Documento mestro y anexos)</t>
  </si>
  <si>
    <t>FACULTAD DE ESPECIALIZACIONES</t>
  </si>
  <si>
    <t>Diseño y construcción de todos los documentos y anexos necesarios para las tres (3) nuevas especializaciones (cambio de caracter académico)</t>
  </si>
  <si>
    <t>Documentos diseñados y estructurados</t>
  </si>
  <si>
    <t>Con la ayuda de un grupo de asesores externos se está elaborando los respectivos documentos para la estructuración de las 3 especializaciones, estos se entregaran el 31 de agosto. ($120.000.000)</t>
  </si>
  <si>
    <t xml:space="preserve">Documentos maestros </t>
  </si>
  <si>
    <t>OE-10-Establecer un nuevo acuerdo ambiental mediante una
política institucional ambiental y la catedra institucional
en la ETITC.</t>
  </si>
  <si>
    <t>PE-26- Actualización de la infraestructura física, cumpliendo normativas aplicables y generando espacios adecuados para el desarrollo de actividades académicas y de bienestar en un el marco de la sostenibilidad</t>
  </si>
  <si>
    <t>ME-68- Gestionar las dotaciones de las instalaciones y sede principal para la permanencia y aumento de la oferta</t>
  </si>
  <si>
    <t>Ambiente especializado de aprendizaje y ensayos de Lubricación: Compra de elementos laboratorio, Formación docentes, Adecuación espacios</t>
  </si>
  <si>
    <t xml:space="preserve">Dos Luxometros y 2 Sonómetros con sus respectivas bases </t>
  </si>
  <si>
    <t>Porcentaje de las dotaciones nuevas instaladas y mantenimiento de las dotaciones existentes</t>
  </si>
  <si>
    <t>Equipos instalados y entregados</t>
  </si>
  <si>
    <t>Desde la vigencia 2021 se cuenta con los estudios previos, se proyecta realziar durante el 2 trimestre de la vigencia. Se espera el concepto desde la Oficina de Contratación para reactivar el proyecto.</t>
  </si>
  <si>
    <t xml:space="preserve">2. Diseño de estructuración, implementación y seguimiento del laboratorio </t>
  </si>
  <si>
    <t>Organizar el espacio adecuado para el "Laboratorio de Metrología"</t>
  </si>
  <si>
    <t xml:space="preserve">Se envio corros a 8 proveedores de los cuales 3 han dado respuesta. Este proyecto cuenta con 7 fases. 
Se proyecta para el 21 de abril una reunión con e Instituto Nacional de Metrología </t>
  </si>
  <si>
    <t xml:space="preserve">Solicitudes y cotizaciones enviadas </t>
  </si>
  <si>
    <t>BIBLIOTECA Y MEDIOS EDUCATIVOS</t>
  </si>
  <si>
    <t>Actualización y mejoramiento</t>
  </si>
  <si>
    <t>Prestación de servicios para el correcto funcionamiento del área</t>
  </si>
  <si>
    <t>Actualmente se cuenta con 2 contratistas en el área Cto 106- 20222 y Cto-105 de 2022. $ 40.162.500.</t>
  </si>
  <si>
    <t>Renovación de contenidos y servicios   para la Biblioteca Digital E-Books 7-24, como apoyo a las actividades académicas e investigación de la comunidad en general durante doce (12).  Editorial Pearsons</t>
  </si>
  <si>
    <t>Renovación ejecutada</t>
  </si>
  <si>
    <t>El contrato de la vigencia 2021 continua hasta septiembre de la vigencia 2022, en dado caso de ncesitar actualizar los recursos bibliograficos se surtira el debido proceso.</t>
  </si>
  <si>
    <t xml:space="preserve">Renovación de contenidos y servicios   para la Biblioteca Digital E-Books 7-24, como apoyo a las actividades académicas e investigación de la comunidad en general durante doce (12).  Editorial mc. Graw Hill </t>
  </si>
  <si>
    <t xml:space="preserve">Con las diferentes decanaturas y el IBTI, se esta recopilando la información acerca de los recursos bibliográficos que son necesarios de actualizar para la vigencia.  </t>
  </si>
  <si>
    <t>Renovación Servicio Especializado de Metabiblioteca (servidor en internet modalidad cloud services) de los Sistemas Koha, OJS, Dspace y la implementacion del sistema Metaproxy, Soportes Digitales de Información.</t>
  </si>
  <si>
    <t>Renovación anual de diarios nacionales El TIEMPO, ESPECTADOR PORTAFOLIO y revista
SEMANA</t>
  </si>
  <si>
    <t>El área se encuentra en espera del concepto del área de Contratación.</t>
  </si>
  <si>
    <t>Digitalización Proyectos de Grado para Repositorio Institucional</t>
  </si>
  <si>
    <t>Digitalización realizada</t>
  </si>
  <si>
    <t xml:space="preserve">El área se encuentra en comunicación constante con los autores de lo Proyectos de grado, con el fin de solicitar la autorización de digitalizar dichos documentos. </t>
  </si>
  <si>
    <t xml:space="preserve">Avance de Trabajos de grado adelantados </t>
  </si>
  <si>
    <t>Actualización de material bibliográfico impreso</t>
  </si>
  <si>
    <t>Elementos bibliograficos adquiridos</t>
  </si>
  <si>
    <t>Adquisición de elementos: 
*Cámara fotográfica Nikon D5600 con lente 18-55 VR
*Impresora Color Duplex Carnets
*1. Cinta Color frente y Negro Reverso
*Cinta de laminado con holograma
*Cinta transparente laminado
*Tarjetas Blancas Calibre 30</t>
  </si>
  <si>
    <t xml:space="preserve">Se confirmará con la Restoría y la Vicerrectoría Académica si se continuaran realziando carnets físicos. 
</t>
  </si>
  <si>
    <t>Servicio de mantenimiento para: 
Preventivo Video Beam
Preventivo Impresora Color Duplex Carnets</t>
  </si>
  <si>
    <t xml:space="preserve">Mantenimientos realizados </t>
  </si>
  <si>
    <t xml:space="preserve">Esta actividad se proyecta realziar durante el 3° trimestre de la vigencia. </t>
  </si>
  <si>
    <t>Los Institucional: La transformación cultural de la ETITC</t>
  </si>
  <si>
    <t>TALLERES Y LABORATORIOS</t>
  </si>
  <si>
    <t>PE-9 Tecnologías de información y comunicaciones al servicio de la academia y la ciencia</t>
  </si>
  <si>
    <t>ME-17 Adecuar las capacidades tecnológicas para atender las necesidades de los procesos misionales.</t>
  </si>
  <si>
    <t>3. Mantenimiento de laboratorios  ETITC</t>
  </si>
  <si>
    <t>Mantenimiento de horno de inducción y mexcladora de rulos (Fundición)</t>
  </si>
  <si>
    <t xml:space="preserve">Mantenimiento realizado </t>
  </si>
  <si>
    <t>SUMINISTRO DE GASES INDUSTRIALES PARA LOS TALLERES DE METALISTERIA, FUNDICIÓN, TRATAMIENTOS TÉRMICOS, MODELERÍA Y MOTORES, MEDIANTE LA FORMA DE MONTO AGOTABLE, DE LA ESCUELA TECNOLÓGICA INSTITUTO TÉCNICO CENTRAL</t>
  </si>
  <si>
    <t xml:space="preserve">Esta actividad se esta desarrollando a través del proceso IP017- 2022. Se ejecutará a lo largo de la vigencia ($20.515.600). </t>
  </si>
  <si>
    <t>Proceso contractual 
 IP017- 2022</t>
  </si>
  <si>
    <t>Estan en elaboración los estudios previos y estudio de mercado.</t>
  </si>
  <si>
    <t>Mantenimiento de las impresoras del taller de diseño</t>
  </si>
  <si>
    <t>Mantenimiento preventivo, correctivo y calibración de los equipos del taller de electrónica.</t>
  </si>
  <si>
    <t>Mantenimiento preventivo, correctivo de equipos y maquinaria del taller de Metalisteria</t>
  </si>
  <si>
    <t>Mantenimiento y calibración para los equipos del taller de Motores, para el desarrollo de las clases teorico-practicas en apoyo a IBTI, PES y extensión y desarrollo</t>
  </si>
  <si>
    <t xml:space="preserve">Mantenimiento y calibración de: Motores monofasicos, trifasicos, transformadores monofasicos y trifasicos, torrecilla para medidas y máquinas electrícas DL 1013M3, multimetros, osciloscopios, módulos inductivos, capacitivos y resistivos DL Lorenzo, cámara termográfica, analizador de redes, variacs. </t>
  </si>
  <si>
    <t>Mantenimiento preventivo y correctivo y calibración de los equipos:
1. Taller de Mecánica
2. Taller de Automatización industrial
3.Taller de FAB LAB
4. Taller de insustria 4.0
5.Taller instalaciones eléctricas B.T.
6.Taller de domótica
7. taller de tratamientos térmicos.</t>
  </si>
  <si>
    <t>Se realiza el mantenimiento preventivo al taller de Mecánica (1 semestre 2022), Cto 368- 2021 (valor de prorroga 57.500.000).</t>
  </si>
  <si>
    <t xml:space="preserve">Ejecución del contrato Cto 368- 2021 </t>
  </si>
  <si>
    <t>4. Adquisición de elementos e insumos para los laboratorios ETITC</t>
  </si>
  <si>
    <t>Adquisición de insumos para: 
1. Taller de fundición
2. laboratorio de sistemas
3. Taller de diseño</t>
  </si>
  <si>
    <t>La adquisición de insumos para el taller de Diseño se realizará a través del proceso: IP 020 de 2022. CDP 10222. $29.190.861</t>
  </si>
  <si>
    <t>Proceso contractual 
 IP020- 2022</t>
  </si>
  <si>
    <t>Suministro de insumos y materiales.
Taller de Motores.
taller de electricidad
taller de Mecánica
taller de FAB LAB
taller de Insustria 4.0
taller de Automatización industrial
taller de Instalaciones eléctricas de B.T.
taller de Domótica
taller de Tratamientos térmicos</t>
  </si>
  <si>
    <t>Se esta la etapa pre contractual (solicitud de cotizaciones, estudios previos, estudios de mercado).</t>
  </si>
  <si>
    <t xml:space="preserve">Adquisición de equipos de laboratorio para física y química  </t>
  </si>
  <si>
    <t>Compra de equipos de instrumentación como apoyo a las actividades académicas para los estudiantes de IBTI y PES de talleres y Laboratorios del taller de electrónica.</t>
  </si>
  <si>
    <t>Se encuentra en la etapa pre contractual (solicitud de cotizaciones, estudios previos, estudios de mercado).
Se esta realizando el diagnóstico de elementos requeridos en el taller respectivo.</t>
  </si>
  <si>
    <t>Suministro de insumos para el desarrollo de las actividades academico tecnicas  de los PES, IBTI y Programas de extension del taller de Metalisteria</t>
  </si>
  <si>
    <t xml:space="preserve">Se esta la etapa pre contractual (solicitu de cotizaciones, estudios previos, estudios de mercado).
</t>
  </si>
  <si>
    <t xml:space="preserve">7. Diseño, estructuración, implementación  y seguimiento del laboratorio </t>
  </si>
  <si>
    <t>Modernización Taller metalistería/Soldadura</t>
  </si>
  <si>
    <t>Taller modernizado</t>
  </si>
  <si>
    <t>ESTA ACTIVIDAD NO ESTA APROBADA NI PRIORIZADA.</t>
  </si>
  <si>
    <t>Presentación digital de los talleres y laboratorios</t>
  </si>
  <si>
    <t xml:space="preserve">6. Diseño, estructuración, implementación  y seguimiento del laboratorio </t>
  </si>
  <si>
    <t>Modernización taller de fundición</t>
  </si>
  <si>
    <t xml:space="preserve">5. Diseño, estructuración, implementación  y seguimiento del laboratorio </t>
  </si>
  <si>
    <t>Laboratorio de vehículos eléctricos</t>
  </si>
  <si>
    <t>Contratación Laboratoristas</t>
  </si>
  <si>
    <t xml:space="preserve">Los Contratos: 061, 062,063, 064, 065, 066, 067, 068,069, 070, 071, 072, 073, 074, 075, 104 y 143 de 2022 se ejecutan con normalidad y tienen vigencia hasta el 30 de noviembre. </t>
  </si>
  <si>
    <t xml:space="preserve">OE-5- Consolidar la infraestructura física de la Escuela para el desarrollo de la academia y la consolidación
de las nuevas apuestas institucionales. </t>
  </si>
  <si>
    <t>INSTALACIONES KENNEDY</t>
  </si>
  <si>
    <t>PE-13- Gestión integral de inmuebles</t>
  </si>
  <si>
    <t>ME-26 Formular el plan de administración e intervención  de las instalaciones en comodato Localidad Kennedy</t>
  </si>
  <si>
    <t xml:space="preserve">Diagnóstico, implemnetación y ejecución </t>
  </si>
  <si>
    <t>Diagnóstico de necesidades de mantenimiento de la infraestructura eléctrica de las instalaciones del Tintal y Carvajal -  Contratación de un profesional que brinde el apoyo en el mantenimiento del sistema eléctrico del Tintal y Carvajal.</t>
  </si>
  <si>
    <t>Porcentaje de formulación del Plan de administración e intervención de las instalaciones en comodato.</t>
  </si>
  <si>
    <t>Diagnóstico realizado</t>
  </si>
  <si>
    <t>El diagnóstico de necesidades de mantenimiento de la infraestructura eléctrica de las instalaciones del Tintal y Carvajal fue realizado durante el mes de febrero, con base en lo anterior se realizo un plan de trabajo el cual será desarrollado a través de la vigencia. 
Actualmente se desarrolla el Cto-  con normalidad.</t>
  </si>
  <si>
    <t>Plan de trabajo Planta Física . Infraestructura Eléctrica</t>
  </si>
  <si>
    <t>Mantener las instalaciones de Kennedy en óptimas condiciones.</t>
  </si>
  <si>
    <t>Se realizó mantenimiento de todas las zonas verdes,(febrero - marzo), así mismo de las 2 edificios en las instalaciones Kennedy.</t>
  </si>
  <si>
    <t xml:space="preserve">Diagnóstico de necesidadedes para el  desarrollo de las actividades misionales de las instalaciones Tintal y Carvajal -  Contratación de cuatro profesionales que brinden el  servicio en el área de enfermeria Carvajal , psicología, tallerista medios audiovisuales, apoyo talleres y laboratorios  y biblioteca. </t>
  </si>
  <si>
    <t xml:space="preserve">Se surtieron los procesos contractuales en la sede Tintal para la Enfermeria, psicología. 
Se cuenta con personal de planta en el enfermeria de la Sede Carvajal, apoyo de medios audiovisuales y sistemas en la Sede Tintal. 
Se proyecta surtir los respectivos procesos para los talleristas y bibliotecologos una vez se reciban los espacios en adecuado funcionamiento. </t>
  </si>
  <si>
    <t xml:space="preserve">Actas de incio. </t>
  </si>
  <si>
    <t>Diagnóstico de necesidades de mantenimiento de la infraestructura locativa de las instalaciones del Tintal y Carvajal -  Contratación de un profesional que brinde el apoyo en el mantenimiento locativo.</t>
  </si>
  <si>
    <t>Porcentaje de ejecución del Plan de administración e intervención de las instalaciones en comodato.</t>
  </si>
  <si>
    <t>Las sedes cuentan con 2 personas que apoyan el mantenimiento locativo (una persona de planta y una persona por prestación de servicios).</t>
  </si>
  <si>
    <t>Dotar los talleres y laboratorios de las instalaciones Kennedy</t>
  </si>
  <si>
    <t xml:space="preserve">Esta actividad se proyecta para el 2° semestre de la vigencia. </t>
  </si>
  <si>
    <t>Diagnóstico de la necesidad estratégica,implementación - estudio de mercado. Ejecución- compra de los elementos y reclutamiento de un profesional para soporte tecnológico.</t>
  </si>
  <si>
    <t xml:space="preserve">Para el tema de conectividad se realizaron compras e instalaciones necesarias. </t>
  </si>
  <si>
    <t>VICERRECTORIA ACADÉMICA</t>
  </si>
  <si>
    <t>VICERRECTORIA DE INVESTIGACIÓN EXTENSIÓN Y TRANSFERENCIA</t>
  </si>
  <si>
    <t>Los social: Un acuerdo para lo fundamenta</t>
  </si>
  <si>
    <t>OBJETIVO ESTRATÉGICO
OE-8
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t>
  </si>
  <si>
    <t>INVESTIGACIÓN</t>
  </si>
  <si>
    <t>PE. 17 Centro de Pensamiento y Desarrollo Tecnológico</t>
  </si>
  <si>
    <t xml:space="preserve">ME-38- Elaborar los estudios de prefactibilidad, justificación técnica, el diagnóstico de Recursos Humanos, Financieros y Disponibilidad de Infraestructura y Tecnologías de la Información, vinculadas a las actividades de investigación, desarrollo e Innovación del Centro de Pensamiento y Desarrollo Tecnológico. </t>
  </si>
  <si>
    <t>Actividades de  prefactibilidad</t>
  </si>
  <si>
    <t>Estudios de prefactibilidad</t>
  </si>
  <si>
    <t xml:space="preserve">Informes realizados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</si>
  <si>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le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</si>
  <si>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Guia del CPDT</t>
  </si>
  <si>
    <t xml:space="preserve">Convocatoria Jovenes Talentosos </t>
  </si>
  <si>
    <t>Esta actividad no ha tenido avamce en el 1° trimestre de la vigencia</t>
  </si>
  <si>
    <t>Diseño y desarrollo de proyectos de investigación</t>
  </si>
  <si>
    <t xml:space="preserve">Capacitación en Investigación </t>
  </si>
  <si>
    <t>ME-40 Establecer la red institucional y de alianzas estratégicas del Centro con los respectivos sosportes que los respalde</t>
  </si>
  <si>
    <t>Actividades de red institucional</t>
  </si>
  <si>
    <t xml:space="preserve">Lineas de investigación y focos estratégicos definidos </t>
  </si>
  <si>
    <t xml:space="preserve">En esta actividad no se muestra avances, sin embargo, se tiene previsto para el 2° trimestre de la vigencia. </t>
  </si>
  <si>
    <t>PE. 18. Fortalecimiento Permanente en Competencias en Investigación, Ciencia, Tecnología e Innovación en la ETITC</t>
  </si>
  <si>
    <t>ME-43- Diseñar  e implementar  un Programa de capacitación permanente para la Investigación, Ciencia, Tecnología e Innovación y de fortalecimiento de la investigación en la ETITC.</t>
  </si>
  <si>
    <t>Programa de capacitaciones permanente implementado</t>
  </si>
  <si>
    <t>Informe de capacitación</t>
  </si>
  <si>
    <t>Esta actividas se proyecta realizar durante el 2° semestre de la vigencia</t>
  </si>
  <si>
    <t>Renovación  y capacitación en  base de datos  Web Of Science ( vigente 30 de abril)</t>
  </si>
  <si>
    <t>Resolucion renovación
Informe</t>
  </si>
  <si>
    <t xml:space="preserve">Actualmente se cuenta con los estudios previos, fueron radicados y aprobados ante la Oficina de Contratación el 15 de marzo. </t>
  </si>
  <si>
    <t>Informe</t>
  </si>
  <si>
    <t xml:space="preserve">Renovación y capacitación de la herramienta Turnitin </t>
  </si>
  <si>
    <t>Esta actividad se proyecta realizar el 1° de septiembre de la vigencia.</t>
  </si>
  <si>
    <t xml:space="preserve">ME. 44. Diseñar  e implementar  un Programa de fortalecimiento de grupos de investigación y ampliación de las modalidades de investigación. </t>
  </si>
  <si>
    <t>Actividades de gestión de investigación estudiantil  (Contrato Prestación de servicios)</t>
  </si>
  <si>
    <t xml:space="preserve">Programa de fortalecimiento de grupos y de investigación implementado </t>
  </si>
  <si>
    <t xml:space="preserve">Actualmente se ejecutan los contratos: 051, 052, 053, 054 y 055. Todos vigentes hasta en 17 de diciembre de 2022. </t>
  </si>
  <si>
    <t xml:space="preserve">Contratos e ejecución </t>
  </si>
  <si>
    <t xml:space="preserve">Convocatorias 09 -2021 y 10-2022  Financiación  proyectos de investigación para grupos  </t>
  </si>
  <si>
    <t>Proyectos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</si>
  <si>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</si>
  <si>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t xml:space="preserve">Solicitud de servicio Oficina de Comunicaciones 
Borrador de Convenio </t>
  </si>
  <si>
    <t xml:space="preserve">Convocatoria 02   Proyectos Disciplinares </t>
  </si>
  <si>
    <t>Proyectos disciplinares</t>
  </si>
  <si>
    <t>II Encuentro Institucional Docentes investigadores</t>
  </si>
  <si>
    <t xml:space="preserve">Participantes </t>
  </si>
  <si>
    <t>Se cuenta con los estudios previos y el CDP 9622 por $28.000.000 (actualización de autoevaluación 5.000.000 y  Campamento de investigación 18.000.000)</t>
  </si>
  <si>
    <t>Estudios previos y CDP</t>
  </si>
  <si>
    <t xml:space="preserve">Conmemoración dia del investigador </t>
  </si>
  <si>
    <t>informe</t>
  </si>
  <si>
    <t xml:space="preserve">Participación convocatorias externas de proyectos de investigación  ( Convenio SUE-) </t>
  </si>
  <si>
    <t>Proyectos aprobados</t>
  </si>
  <si>
    <t>Se cuentan con el CDP N 11722. 
Esta actividas se proyecta realizar durante el 2° semestre de la vigencia</t>
  </si>
  <si>
    <t>CDO N° 11722</t>
  </si>
  <si>
    <t>Afiliación a Redcolsi</t>
  </si>
  <si>
    <t>Resolución Membresía</t>
  </si>
  <si>
    <t>Actualmente se cuenta con la Resolución de pago N 128 del 3 de marzo del 2022.</t>
  </si>
  <si>
    <t xml:space="preserve">Resolución de pago </t>
  </si>
  <si>
    <t>IX Campamento de Semilleros de Investigación</t>
  </si>
  <si>
    <t xml:space="preserve">Informe </t>
  </si>
  <si>
    <t>CDP 9622</t>
  </si>
  <si>
    <t>Encuentro Nodo Bogotá RedColsi</t>
  </si>
  <si>
    <t>Encuentro Nacional RedColsi</t>
  </si>
  <si>
    <t>XI Encuentro Institucional de Semilleros de Investigación</t>
  </si>
  <si>
    <t>INNOVACIÓN</t>
  </si>
  <si>
    <t>ME-45 Implementar programa de transferencia de conocimiento ( fortalecer la visibilidad e impacto del conocimiento según los resultados de investigación generado por la activida científica, tecnológica, académica, social e industrial de la ETITC</t>
  </si>
  <si>
    <t>II Convocatoria Acompañamiento emprendimientos de Base Tecnológica</t>
  </si>
  <si>
    <t>Programa de transfarencias de conocimiento implementado</t>
  </si>
  <si>
    <t xml:space="preserve">Se programó y realizó un Comité de Propiedad Intelectual el 16 de marzo de 2022 para socializar las políticas y actividades que gestiona la Vicerrectoría en materia de propiedad intelectual, dentro del cual se socializó la I Convocatoria de Propiedad Intelectual (2021) con el fin de recibir retroalimentación e insumos para la construcción de la II Convocatoria de Propiedad Intelectual (2022), proyectada para el 2 trimestre. </t>
  </si>
  <si>
    <t>https://itceduco-my.sharepoint.com/:f:/g/personal/asesorinnovacion_itc_edu_co/ErGKbo_D46VOitI5W-6v8oUB1Gk-WUbXEGrPOUXsurC7AQ?e=Kjr2rD</t>
  </si>
  <si>
    <t xml:space="preserve">ME-46- Implementar el programa Incubadora tecnológica: Identificación y proyección de productos de investigación con potencial tecnológico y empresarial (spin-off, star-up, patentes...).  </t>
  </si>
  <si>
    <t xml:space="preserve"> II Convocatoria de Propiedad Intelectual</t>
  </si>
  <si>
    <t xml:space="preserve">Esta actividad se proyecta realziar para el 2° semestre. </t>
  </si>
  <si>
    <t>ME. 47. Fortalecer las redes de innovación y alianzas estratégicas de cooperación con otros actores del Sistema Nacional de Ciencia Tecnología e Innovación – SNCTI, sector público, privado y academia para actividades de Investigación, Desarrollo e Innovación - I+D+i.</t>
  </si>
  <si>
    <t xml:space="preserve">
I Encuentro Red de investigación e innovación de la ETITC</t>
  </si>
  <si>
    <t xml:space="preserve">1. Se llevó a cabo el Comité de Instalación de la Red de Investigación e Innovación en Ciencia y Tecnología para el Desarrollo Sostenible (31 de marzo de 2022) en donde se presentó la propuesta del I Encuentro de la Red. Se propuso realizar como I Encuentro un Congreso, organizado por la Red y el Centro de Pensamiento y Desarrollo Tecnológico de la ETITC. Así mismo, la propuesta fue socializada con el Rector (25 de marzo de 2022), Decanos e investigadores de la ETITC. 2. Se actualizó el sitio web de la Red de Investigación. Se incluyó: el video de presentación de la Red, el registro fotográfico del evento de lanzamiento de la Red, las Instituciones participantes y los miembros del Comité de Dirección.  </t>
  </si>
  <si>
    <t>1. https://itceduco-my.sharepoint.com/:f:/g/personal/asesorinnovacion_itc_edu_co/EtBfbkAvelROizK7Nu_gDCgBRWKVnuLNc5yba50imqtOOQ?e=fFuzyY 
2. https://etitc.edu.co/es/page/investigacion&amp;red</t>
  </si>
  <si>
    <t>1. Se realizó el pago de la anualidad de la patente correspondiente al año 2022 ante la Superintendencia de Industria y Comercio, CDP 10922 (548.000) . 
2. Se creó el site de la patente en la página web de la ETITC con el fin de visibilizar la invención y los avances en su transferencia 3. Se gestiona la fabricación del prototipo de la patente Prensa de Alacrán con Tensor de Trinquete de la mano del Centro de Pensamiento y Desarrollo Tecnológico de la ETITC, para lo cual se ha llevado a cabo: reunión con el ing. John Rincón, inventor de la patente (22 de marzo de 2022); elaboración de Estudios previos y solicitud de CDP para la "Elaboración de planos y fabricación del prototipo de la patente".</t>
  </si>
  <si>
    <t xml:space="preserve">1. https://itceduco-my.sharepoint.com/:f:/g/personal/asesorinnovacion_itc_edu_co/EqNQw7iI4L9EqMsyv1aJxAgBsO4P-s2DZFC4COUcWzCQYQ?e=Qj6M8D
2. https://etitc.edu.co/es/page/investigacion
3. https://itceduco-my.sharepoint.com/:f:/g/personal/asesorinnovacion_itc_edu_co/Eq4q8fUz5tJOpwKLzPbath4BV6cQV4I2Ys1I5WwAkgcXig?e=CP7fKI
</t>
  </si>
  <si>
    <t>ME. 48. Diseñar y estructurar el Observatorio Tecnológico y de Innovación de la ETITC</t>
  </si>
  <si>
    <t xml:space="preserve">Estudio de analisis Cienciometrico </t>
  </si>
  <si>
    <t>Inventario productos</t>
  </si>
  <si>
    <t>Se realizo el respectivo informe Bililiometrico en las 4 lineas de investigación con el Grupo GEA. Se evidencia el informe respectivo, Así mismo se proyecta realizar este análisis con los demás grupos de investigación.</t>
  </si>
  <si>
    <t>ME-49 Gestionar y crear el proyecto editorial de la Escuela Tecnológica Instituto  Técnico Central</t>
  </si>
  <si>
    <t>Se tiene proyecta la convocatoria N° 1 de 2022, El plazo de inscripción se dio durante el mes de marzo del 01/03/2022 al 31/03/2022. Se contó con un Inscrito. El proceso de capacitación se realizará durante el 2° semestre de la vigencia. 
Se tienen previstas 7 documento (autores), sin embargo, los mismos no han enviado las respectivas correcciones a lugar.</t>
  </si>
  <si>
    <t>III Convocatoria Cuadernos ETITC</t>
  </si>
  <si>
    <t>Adquision ISBN</t>
  </si>
  <si>
    <t xml:space="preserve">Esta actividad se proyecta realziar durante el 2° semestre </t>
  </si>
  <si>
    <t>Boletines  ETITC</t>
  </si>
  <si>
    <t>Adquision DOI</t>
  </si>
  <si>
    <t xml:space="preserve">Esta actividad se proyecta realizar durante el 2° trimestre de la vigencia </t>
  </si>
  <si>
    <t>EXTENSIÓN</t>
  </si>
  <si>
    <t>PE-21- Proyección Social más allá de las fronteras</t>
  </si>
  <si>
    <t>ME-55- Realizar convenios que permitan la participación en convocatorias que den respuesta a comunidades vulnerables.</t>
  </si>
  <si>
    <t>Realizar convenios que permitan la participación en convocatorias que den respuesta a comunidades vulnerables.</t>
  </si>
  <si>
    <t>Convenios reaiizados con comunidades vulnerables</t>
  </si>
  <si>
    <t>Convenios suscritos</t>
  </si>
  <si>
    <t>Se han realizado acercamiento con empresa: FESTO (suministro de 11 cursos, acuerdo marco), SENA, SIEMENS, CONECTEL</t>
  </si>
  <si>
    <t>PE-20- Centro de Capacitación Industrial  como espacio de cualificación  para la empleabilidad a inmediato plazo.</t>
  </si>
  <si>
    <t xml:space="preserve">Crear vinculos estrategicos con empresas del sector </t>
  </si>
  <si>
    <t xml:space="preserve">Vinculos creados </t>
  </si>
  <si>
    <t xml:space="preserve">Con Bienestar Universitario se analizan las conclusiones del trabajo de reconocimientos del entorno, para identificar la oportunidad de ofertar cursos con las sedes de Mártires y Kennedy. </t>
  </si>
  <si>
    <t xml:space="preserve">Incripciones a capacitaciones y eventos nacionales e internacionales </t>
  </si>
  <si>
    <t>Inscripciones realizadas</t>
  </si>
  <si>
    <t>Esta actividad se proyecta realizar durante el 2° trimestre de la vigencia 
La ETITC, participo en un Webinar dirigido por la Universidad de Colombia “Taller mujeres en la Ciencia”.</t>
  </si>
  <si>
    <t xml:space="preserve">Visitar empresas e instituciones </t>
  </si>
  <si>
    <t xml:space="preserve">visitas realziadas </t>
  </si>
  <si>
    <t>Esta actividad se proyecta realizar durante el 2° trimestre de la vigencia, sin embargo, se cuenta con la planeación para las visitas respectivas.</t>
  </si>
  <si>
    <t xml:space="preserve">Participación en ferias institucionales y eventos académicos
</t>
  </si>
  <si>
    <t>Certificados de participación</t>
  </si>
  <si>
    <t>Esta actividad se proyecta realizar durante el 2° trimestre de la vigencia. sin embargo, se cuenta con la planeación para las visitas respectivas.</t>
  </si>
  <si>
    <t>ME-51.- Gestionar la oferta de asignaturas para procesos de cualificación como herramienta al mundo laboral y/o homologación e inserción en la educación Superior</t>
  </si>
  <si>
    <t xml:space="preserve">Aumentar las ofertas de asignaturas a los estudiantes PES.
</t>
  </si>
  <si>
    <t>Número asignaturas ofertadas para procesos de cualificación</t>
  </si>
  <si>
    <t>Asignaturas diseñadas y ofertadas</t>
  </si>
  <si>
    <t>Esta ctividad se plante consolidad durante el 2° trimestre de la vigencia.</t>
  </si>
  <si>
    <t>Desarrollar la asignatura de comunicación oral y escrita (54 horas) en el curso pre ingeniero durante el primer semestre de 2022.</t>
  </si>
  <si>
    <t>Ejecucción Contractual</t>
  </si>
  <si>
    <t xml:space="preserve">La actividad se ejecuta a través del contrato 099 de 2022 </t>
  </si>
  <si>
    <t>Desarrllar la asignatura de dibujo técnico (54 horas) en el curso pre ingeniero durante el primer semestre de 2022</t>
  </si>
  <si>
    <t xml:space="preserve">La actividad se ejecuta a través del contrato 100 de 2022 </t>
  </si>
  <si>
    <t>Desarrollar la asignatura de matemáticas básicas (108 horas) en el curso pre ingeniero durante el primer semestre de 2022</t>
  </si>
  <si>
    <t xml:space="preserve">La actividad se ejecuta a través del contrato 101 de 2022 </t>
  </si>
  <si>
    <t>Desarrollar la asignatura de principios de física (108 horas) en el curso pre ingeniero durante el primer semestre de 2022</t>
  </si>
  <si>
    <t xml:space="preserve">La actividad se ejecuta a través del contrato 103 de 2022 </t>
  </si>
  <si>
    <t>Desarrollar la asignatura de Orientación profesional (36 horas) en el curso pre ingeniero durante el primer semestre de 2022</t>
  </si>
  <si>
    <t xml:space="preserve">La actividad se ejecuta a través del contrato 102 de 2022 </t>
  </si>
  <si>
    <t>Desarrollando la asignatura de dibujo técnico (54 horas) en el curso pre ingeniero durante el segundo semestre de 2022.</t>
  </si>
  <si>
    <t>Desarrollar la asignatura de comunicación oral y escrita (54 horas) en el curso pre ingeniero durante el segundo semestre de 2022.</t>
  </si>
  <si>
    <t>Desarrollar la asignatura de matemáticas básicas (108 horas) en el curso pre ingeniero durante el segundo semestre de 2022</t>
  </si>
  <si>
    <t>Desarrollar la asignatura de principios de física (108 horas) en el curso pre ingeniero durante el segundo semestre de 2022</t>
  </si>
  <si>
    <t xml:space="preserve">Desarrollar la certificación automatización industrial 120 horas primer semestre
</t>
  </si>
  <si>
    <t xml:space="preserve">
El proceso para desarrollar esta actividad se efectúa a través de la Oficina de Contratación 
</t>
  </si>
  <si>
    <t>Desarrollar la certificación automatización industrial intersementral</t>
  </si>
  <si>
    <t xml:space="preserve">Desarrollar la certificación automatización industrial 120 horas segundo semestre
</t>
  </si>
  <si>
    <t>Desarrollar la certificación manufactura esbelta industria 4.0 segundo semestre</t>
  </si>
  <si>
    <t xml:space="preserve">
Desarrollar la certificación F.A.C.T.
</t>
  </si>
  <si>
    <t xml:space="preserve">Esta actividad aún no se ha ejecutado </t>
  </si>
  <si>
    <t>Desarrollar la certificación CIROS</t>
  </si>
  <si>
    <t>Desarrollar la certificación en instalaciones eléctricas primer semestre</t>
  </si>
  <si>
    <t xml:space="preserve">Esta actividad se desarrollara durante el 2° trimestre de la vigencia, sin embargo, ya se cuenta con el proceso de inscripciones, matriculas. 
</t>
  </si>
  <si>
    <t xml:space="preserve">Inscripciones de estudiantes </t>
  </si>
  <si>
    <t>Desarrollar la certificación en instalaciones eléctricas segundo semestre</t>
  </si>
  <si>
    <t>Desarrollar la certificación en lean management primer semestre</t>
  </si>
  <si>
    <t xml:space="preserve">Esta actividad se desarrolla desde 4 marzo, cuenta con 18 estudiantes </t>
  </si>
  <si>
    <t xml:space="preserve">Inscripciones de estudiantes y registros de sesiones realizadas </t>
  </si>
  <si>
    <t>Desarrollar la certificación en lean management segundo semestre</t>
  </si>
  <si>
    <t>Desarrollando el diplomado de 120 horas</t>
  </si>
  <si>
    <t>Desarrollando el diplomado de 100 horas</t>
  </si>
  <si>
    <t xml:space="preserve">Desarrollar curso libre de 20 horas
</t>
  </si>
  <si>
    <t xml:space="preserve">Desarrollar curso libre de 30 horas
</t>
  </si>
  <si>
    <t xml:space="preserve">Desarrollar curso libre de 40 horas
</t>
  </si>
  <si>
    <t xml:space="preserve">Desarrollar curso libre de 50 horas
</t>
  </si>
  <si>
    <t xml:space="preserve">Desarrollar curso libre de 60 horas
</t>
  </si>
  <si>
    <t>El curso de CNC se desarrolla mediante el Cto-166 de 2022, cuenta con 14 participantes.</t>
  </si>
  <si>
    <t>Acta de inicio y evidencias de las sesiones relizadas</t>
  </si>
  <si>
    <t>Desarrollar curso a la medida de 20 horas</t>
  </si>
  <si>
    <t>Desarrollar curso a la medida de 30 horas</t>
  </si>
  <si>
    <t>Desarrollar curso a la medida de 40 horas</t>
  </si>
  <si>
    <t>Desarrollar curso a la medida de 50 horas</t>
  </si>
  <si>
    <t>Desarrollar curso a la medida de 60 horas</t>
  </si>
  <si>
    <t xml:space="preserve">Adquisición de elementos:
Libretas, cuadernos, memorias, esferos, pendones, exhibidores, puntos de atencion, bolsas, resmas. 
</t>
  </si>
  <si>
    <t>Adquisición de equipos: Impresora 3D, computadores de mesa,  portatiles y pantallas inteligentes hibridos</t>
  </si>
  <si>
    <t>La impresora 3D, se esta adquiriendo a través de CT0 164 de 2022 (4.165.000) IP 008 DE 2022. CDP 7022</t>
  </si>
  <si>
    <t xml:space="preserve">Acta de incio y de adquisición </t>
  </si>
  <si>
    <t>ME-52- Diseñar y estructurar oferta de articulación</t>
  </si>
  <si>
    <t>Realizar acciones estrategicas para suscribir acuerdos con colegios</t>
  </si>
  <si>
    <t>Acuerdos suscritos</t>
  </si>
  <si>
    <t>ME-53- Identificar capacidades institucionales</t>
  </si>
  <si>
    <t>Llevar a cabo las actividades para la prestación del servicio educativos desde GITEPS</t>
  </si>
  <si>
    <t>Porcentaje de cumplimiento del plan anual de promoción de servicios</t>
  </si>
  <si>
    <t xml:space="preserve">Durante el 1° trimestre de la vigencia se han promovido: 
15 cursos (intencidad horaria entre 20 y 60 horas), 5 diplomados (intencidad horaria entre 80 a 120 horas), 4 certificaciones ( intencidad 120 horas)  . 
</t>
  </si>
  <si>
    <t>https://etitc.edu.co/es/</t>
  </si>
  <si>
    <t>Realizar actividades de Gestión de visibilidad institucional y oferta de servicios a nivel oficial, privado en el programa servimos de la función publica y en la liquidación del programa “reto a la u".</t>
  </si>
  <si>
    <t xml:space="preserve">Estratefias de visibilidad institucional realizadas </t>
  </si>
  <si>
    <t>Desarrollar actividades de marketing del grupo interno de trabajo extensión y proyección social.</t>
  </si>
  <si>
    <t xml:space="preserve">Actividades de marketing realziadas </t>
  </si>
  <si>
    <t xml:space="preserve">Se han realizado actividades como publicidad a través de FACEBOOK institucional y correos masivos, de igual manera se actualizo la imagen de los cursos, diplomados, certificaciones a ofertar.  </t>
  </si>
  <si>
    <t>Imágenes publicitarias en redes sociales</t>
  </si>
  <si>
    <t>CENTRO DE LENGUAS</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</si>
  <si>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</si>
  <si>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</si>
  <si>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Prestación de servicios profesionales para el apoyo de los cursos de idiomas como técnico de apoyo a la gestión del área del centro de lenguas DEL GITEPS</t>
  </si>
  <si>
    <t>Prestación de servicios profesionalescomo instructor curso de inglés nivel A1 de 100 horas para primer semestre.</t>
  </si>
  <si>
    <t>Esta actividad se ejecuta a través del contrato 128 de 2022</t>
  </si>
  <si>
    <t>Acta de incio</t>
  </si>
  <si>
    <t>Prestación de servicios profesionalescomo instructor para curso de inglés nivel A2 de 120 horas para primer semestre.</t>
  </si>
  <si>
    <t>Esta actividad se ejecuta a través del contrato 129 de 2022</t>
  </si>
  <si>
    <t>Prestación de servicios profesionalescomo instructor curso de inglés nivel B1a de 100 horas para primer semestre.</t>
  </si>
  <si>
    <t>Esta actividad se ejecuta a través del contrato 130 de 2022</t>
  </si>
  <si>
    <t>Prestación de servicios profesionalescomo instructor curso de inglés nivel B1b de 100 horas para primer semestre.</t>
  </si>
  <si>
    <t>Esta actividad se ejecuta a través del contrato 127 de 2022</t>
  </si>
  <si>
    <t>Prestación de servicios profesionalescomo instructor curso de inglés nivel B2a de 100 horas para primer semestre.</t>
  </si>
  <si>
    <t>Esta actividad se ejecuta a través del contrato 131 de 2022</t>
  </si>
  <si>
    <t>Prestación de servicios profesionalescomo instructor curso de inglés nivel B2b de 100 horas para primer semestre.</t>
  </si>
  <si>
    <t>Esta actividad se ejecuta a través del contrato 126 de 2022</t>
  </si>
  <si>
    <t>Prestación de servicios profesionalescomo instructor curso de inglés nivel A1 de 100 horas para segundo semestre.</t>
  </si>
  <si>
    <t>Prestación de servicios profesionalescomo instructor para curso de inglés nivel A2 de 120 horas para segundo semestre.</t>
  </si>
  <si>
    <t>Prestación de servicios profesionalescomo instructor curso de inglés nivel B1a de 100 horas para segundo semestre.</t>
  </si>
  <si>
    <t>Prestación de servicios profesionalescomo instructor curso de inglés nivel B1b de 100 horas para segundo semestre.</t>
  </si>
  <si>
    <t>Prestación de servicios profesionalescomo instructor curso de inglés nivel B2a de 100 horas para segundo semestre.</t>
  </si>
  <si>
    <t>Prestación de servicios profesionalescomo instructor curso de inglés nivel B2b de 100 horas para segundo semestre.</t>
  </si>
  <si>
    <t>Prestación de servicios profesionalescomo instructor curso de francés nivel A1 de 100 horas para primer semestre.</t>
  </si>
  <si>
    <t xml:space="preserve">Esta actividad aun no se ha ejecutado </t>
  </si>
  <si>
    <t>Prestación de servicios profesionalescomo instructor curso de francés nivel A2 de 120 horas para primer semestre.</t>
  </si>
  <si>
    <t>Prestación de servicios profesionalescomo instructor curso de francés nivel A1 de 100 horas para segundo semestre.</t>
  </si>
  <si>
    <t>Prestación de servicios profesionalescomo instructor curso de francés nivel A2 de 120 horas para segundo semestre.</t>
  </si>
  <si>
    <t>Prestación de servicios profesionalescomo instructor curso libre de alemán básico de 50 horas.</t>
  </si>
  <si>
    <t>Prestación de servicios profesionalescomo instructor curso libre de portugués básico de 50 horas.</t>
  </si>
  <si>
    <t>Prestación de servicios profesionalescomo instructor curso libre de portugués básico 1 de 50 horas.</t>
  </si>
  <si>
    <t>Adquisición  NTC 5550</t>
  </si>
  <si>
    <t>Elemento adquirido</t>
  </si>
  <si>
    <t>EGRESADOS</t>
  </si>
  <si>
    <t>ME-54- Estructurar programa de oferta de servicios proyección social</t>
  </si>
  <si>
    <t xml:space="preserve"> Estructurar programa de oferta de servicios proyección social</t>
  </si>
  <si>
    <t>Proyecto estructurado</t>
  </si>
  <si>
    <t xml:space="preserve">Actualmente de identifica lo componentes necesarios para estructurar el programa de oferta.
Se oferta el curso de habilidades blandas. 
</t>
  </si>
  <si>
    <t>Desarrollar las actividades propias para la inclusión de egresados (seguimiento, acompañamiento, eventos etc.)</t>
  </si>
  <si>
    <t xml:space="preserve">Se han realizado Invitaciones de manera internas y externas (7), para que la comunidad académica participe. </t>
  </si>
  <si>
    <t>Prestación de servicios profesionales de apoyo a la gestión ejecutado actividades de apoyo al área de egresados del GITEPS</t>
  </si>
  <si>
    <t>Adquisición de elementos y equipos:
Computador- Celular institucional</t>
  </si>
  <si>
    <t>Elementos adquiridos</t>
  </si>
  <si>
    <t xml:space="preserve">Se encuentra a la espera de la entrega de equipos actualizados por parte del área de Informática y Comunicaciones </t>
  </si>
  <si>
    <t>Prestación de servicios docente curso actualización retie capacitación egresados 50 horas</t>
  </si>
  <si>
    <t>Mantenimiento bolsa de empleo</t>
  </si>
  <si>
    <t>Se cuentan con los estudios previos.</t>
  </si>
  <si>
    <t>Contratación de una persona con conocimiento en sistemas, e informes estadísticos, como apoyo para el desarrollo de estadísticas del observatorio laboral y encuestas realizadas a los egresados</t>
  </si>
  <si>
    <t>Encuentro Egresados, estímulos y/o reconocimientos para egresados (souvenires, cursos por extensión, idiomas, descuentos, etc.)</t>
  </si>
  <si>
    <t>Estimulos entregados</t>
  </si>
  <si>
    <t>VICERRECTORÍA DE INVESTIGACIÓN, EXTENSIÓN Y TRANSFERENCIA</t>
  </si>
  <si>
    <t xml:space="preserve">TOTAL </t>
  </si>
  <si>
    <t>CLASIF. DE CONFIDENCIALIDAD</t>
  </si>
  <si>
    <t>CLASIF. DE INTEGRIDAD</t>
  </si>
  <si>
    <t>A</t>
  </si>
  <si>
    <t>CLASIF. DE DISPONIBILIDAD</t>
  </si>
  <si>
    <t xml:space="preserve">AVANCE GENERAL VIGENCIA 2022 - ETITC
METAS PDI 2022 
</t>
  </si>
  <si>
    <t xml:space="preserve">AVANCE GENERAL VIGENCIA 2022 - ETITC 
PLAN DE ACCIÓN 2022
</t>
  </si>
  <si>
    <t>DEPENDECIA</t>
  </si>
  <si>
    <t>AVANCE GENERAL VIGENCIA 2022 - ETITC 
PLAN DE ACCIÓN 2022 POR ÁREA</t>
  </si>
  <si>
    <t>DEPENDENCIA</t>
  </si>
  <si>
    <t xml:space="preserve">AVANCE TOTAL </t>
  </si>
  <si>
    <t xml:space="preserve">N° DE METAS A CARGO </t>
  </si>
  <si>
    <t xml:space="preserve">AVANCE GENERAL VIGENCIA 2022 - ETITC 
</t>
  </si>
  <si>
    <t>N°  ACTIVIDADES</t>
  </si>
  <si>
    <t xml:space="preserve">% DE AVANCE </t>
  </si>
  <si>
    <t>Rectoría</t>
  </si>
  <si>
    <t xml:space="preserve">AVANCE GENERAL </t>
  </si>
  <si>
    <t xml:space="preserve">PROYECTOS ESTRATÉGICOS </t>
  </si>
  <si>
    <t>EJE ESTRATÉGICO</t>
  </si>
  <si>
    <t xml:space="preserve">METAS ESTRATÉGICAS </t>
  </si>
  <si>
    <t xml:space="preserve">RECTORIA </t>
  </si>
  <si>
    <t>Vicerrectoría Administrativa y Financiera</t>
  </si>
  <si>
    <t xml:space="preserve">Lo Intitucional </t>
  </si>
  <si>
    <t>Vicerrectoría Académica</t>
  </si>
  <si>
    <t xml:space="preserve">Lo Social </t>
  </si>
  <si>
    <t>Vicerrectoría de Investigación, Extensión y Transferencia</t>
  </si>
  <si>
    <t xml:space="preserve">Lo ambiental </t>
  </si>
  <si>
    <t>Metas sin obligatorio avance para la vigencia 2022</t>
  </si>
  <si>
    <t>Sin obligatorio avance 2022</t>
  </si>
  <si>
    <t>TOTAL</t>
  </si>
  <si>
    <t>Porcentajes</t>
  </si>
  <si>
    <t>escalsa</t>
  </si>
  <si>
    <t xml:space="preserve">VICERRECTORÍA ADMINISTRATIVA Y FINANCIERA </t>
  </si>
  <si>
    <t>grados</t>
  </si>
  <si>
    <t>x</t>
  </si>
  <si>
    <t>y</t>
  </si>
  <si>
    <t>pi</t>
  </si>
  <si>
    <t>pf</t>
  </si>
  <si>
    <t>VICERRECTORIA DE INVESTIGACIÓN</t>
  </si>
  <si>
    <t>PDI 2021- 2024</t>
  </si>
  <si>
    <t>https://etitc.edu.co/archives/pdi2021-2024.pdf</t>
  </si>
  <si>
    <t>Nuevo Acuerdo Institucional, Social y Ambiental para la Consolidación de la Escuela</t>
  </si>
  <si>
    <t>E1-  LO INSTITUCIONAL: TRANSFORMACIÓN CULTURA DE LA ETITC</t>
  </si>
  <si>
    <t>1° TRIMESTRE ENERO - MARZO</t>
  </si>
  <si>
    <t>2° TRIMESTRE ABRIL - JUNIO</t>
  </si>
  <si>
    <t>3° TRIMESTRE JULIO - SEPTIEMBRE</t>
  </si>
  <si>
    <t>4° TRIMESTRE OCTUBRE- DICIEMBRE</t>
  </si>
  <si>
    <t>E1- LO INSTITUCIONAL: LA TRANSFORMACIÓN CULTURAL DE LA ETITC</t>
  </si>
  <si>
    <t>Item</t>
  </si>
  <si>
    <t>Sin Avance &gt;40%</t>
  </si>
  <si>
    <t>Con Avance =&lt;40%</t>
  </si>
  <si>
    <t>ÁREA RESPONSABLE</t>
  </si>
  <si>
    <t>PROYECTOS</t>
  </si>
  <si>
    <t>METAS</t>
  </si>
  <si>
    <t>INDICADORES</t>
  </si>
  <si>
    <t>LINEA BASE</t>
  </si>
  <si>
    <t>META  2021</t>
  </si>
  <si>
    <t>AVANCE 2021</t>
  </si>
  <si>
    <t>META 2022</t>
  </si>
  <si>
    <t>CUATRIENIO</t>
  </si>
  <si>
    <t>AVANCE</t>
  </si>
  <si>
    <t>AVANCES VS META</t>
  </si>
  <si>
    <t>SEGUIMIENTO (DESCRIPCIÓN)</t>
  </si>
  <si>
    <t>Aseguramiento de la calidad</t>
  </si>
  <si>
    <t xml:space="preserve">1. Con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(Avance del 80%)
2. 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 (avance 13%).
3. Frente a Concluir el proceso de condiciones institucionales ante el Ministerio de Educación Naciona, se consolido el proceso a nivel interno finalizando visita de marzo durante los días 8, 9 y 10 de marzo.
4. 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</si>
  <si>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Esta meta es un trabajo mancomunado de las Vicerrectoría Académica y Administrativa y Financiaera. Desde la Vicerrectoría Académica se aclara que actualmente los Programas de Educación superior se desarrollan por creditos, pero se ha realizado un plan de trabajo que permita realizar un "modelo integral de gestión academico-administrativa por Sistema de Créditos Académicos"</t>
  </si>
  <si>
    <t>Despacho</t>
  </si>
  <si>
    <t>Respecto a la adquisición de una plataforma académica segundo idioma; se cuenta con los estudios previos, de igual manera se cuenta con el estidio de mercado.
Se han realizado 3 reuniones con los posibles oferentes de la plataforma (estudiantes docentes). También se han realizado reuniones con los usuarios de la plataforma una vez se adquiera, el aque se ha expresado la necesidad y la usabilidad del aplicativo. 
Por otra parte desde el Centro de Lengias se han desarollado los siguientes curtsos durante el 1° trimestre de la vigencia: Inglés A1 (Cto- 128 de 2022), A2 (Cto. 129 de 2022), B1a (contrato 130 de 2022), B1b (contrato 127 de 2022), B2a ( contrato 131 de 2022), B2b (contrato 126 de 2022)</t>
  </si>
  <si>
    <t>Desde la Facultad de Sistemas, respeto a la gestión curricular: En Enero se instauró el Comité Curricular de Facultad. El 14 de febrero se realizo la 1° sesión del Comité (declaración del Comité), y el 31 de marzo la segunda sesión (resultados de aprendizaje del programa). Por otra parte, para el 1° trimestre de la vigencia la actualización del PEP se encuentra en un 40%. Matriz de resultados de aprendizaje actualizada
Desde la Facultad de Procesos industriales para mejora curricular del programa, se realizo una reunión con docentes para definir los resultados de aprendizaje en el área de Procesos de manofactura y producción, sontó con la participación de 20 profesores. 
Reunión de proyectos integradores con docentes (una reunión quincenal), participan en promedio 20 docentes. 
Por su parte la Facultad de Electromecánica 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t>
  </si>
  <si>
    <t>Oficina Asesora de Planeación</t>
  </si>
  <si>
    <t>Esta actividad no ha tenido avance en el 1° trimestre de la vigencia</t>
  </si>
  <si>
    <t>Oficina de Comunicaciones</t>
  </si>
  <si>
    <t>Desde la oficina de Comunicaciones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En este setido, actualmente a partir de las reuniones realizadas se han estructurado 3 parrillas de contenido, así mismo se hace unos el formato de solicitud de apoyo al área.</t>
  </si>
  <si>
    <t xml:space="preserve">Talento Humano </t>
  </si>
  <si>
    <t xml:space="preserve">ME-8- Revisión de la  Estructura Organizacional que soporte las nuevas apuestas institucionales  
</t>
  </si>
  <si>
    <t>Propuesta de nueva estructura organizacional presentadas ante las entidades competentes.</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</si>
  <si>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</si>
  <si>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Índice de clima laboral</t>
  </si>
  <si>
    <t>Vicerrectoría de Investigación Extensión y Transferencia</t>
  </si>
  <si>
    <t>Egresados</t>
  </si>
  <si>
    <t xml:space="preserve">PE-7- Consolidación y aseguramiento del Talento Humano para el mejoramiento de las capacidades en las plantas administrativas y  docentes </t>
  </si>
  <si>
    <t>Durante el 1° trimestre de la vigencia , se ha adelantado un proceso contractual a través del aplicativo SECOP II, para dar avance a las campaña prevención enfermedades laboralesy  accidentes de trabajo, así mismo para la definición del profesiogramas.</t>
  </si>
  <si>
    <t xml:space="preserve">Vicerrectoría Administrativa y Financiera </t>
  </si>
  <si>
    <t>ME-13- Presentar ante la instancia competente la solicitud y cumplimiento de requisitos para el desarrollo de los procesos meritocráticos de la planta administrativa.</t>
  </si>
  <si>
    <t>ME-14- Adelantar los procesos meritocráticos de la planta docente.</t>
  </si>
  <si>
    <t>PE-8- Estructuración de la Carrera Docente</t>
  </si>
  <si>
    <t>ME-15- Organizar e implementar el sistema de plan de carrera de los profesores.</t>
  </si>
  <si>
    <t>Porcentaje de sistema de carrera docente implementado</t>
  </si>
  <si>
    <t xml:space="preserve"> IBTI</t>
  </si>
  <si>
    <t xml:space="preserve">Informática y comunicaciones </t>
  </si>
  <si>
    <t xml:space="preserve">La cosecución de esta actividad esta dada por la interacción de diferentes áreas y procesos entre los cuales se encuentra: 
Gestión Informática y Comunicaciones: Desde el proceso se realiza el soporte a los sistemas de conexión para los televisores, wifi, sistemas de iluminación, puesta a tierra, maquinas equipos, UPS, Planta de energía eléctrica, Aires Acondicionados, reguladores de voltaje, sistema de iluminación greenmax, sistema de apantallamiento sistema de puesta a tierra
La información de estos soportes se verifica a través de la plataforma Mantum, sin embargo, se adelantan los estudios necesarios para adelantar el proceso contractual, con el fin de adquirir prestaciones de servicio en temas de mantenimiento. 
Por otra parte desde las Facultades: 
Electromecánica: A través del Semillero Fabricación digital se efectúan licencias en Solidworks, para la formación de estudiantes (70) y docentes (7, en manejo de software en diferentes 24 módulos distintos.
Talleres y laboratorios: Se desarrolla el suministro de gases industriales para los talleres de metalistería, fundición, tratamientos térmicos, modelaría y motores, mediante la forma de monto agotable. Se realiza el mantenimiento preventivo al taller de Mecánica.
En el área, a la fecha se han adquirid insumos para el taller de Diseño, por otra parte, los procesos de adquisición y mantenimiento de los demás talleres se encuentran en una etapa pre- contractual. </t>
  </si>
  <si>
    <t>Vicerrectoría Administrativa</t>
  </si>
  <si>
    <t>A través del Cto 344 de 2021, se actualiza la infraestructura del WIFI institucional. Dicho contrato presenta una adición por $ 308.245.757.12
A través Cto 350 de 2021 se realiza la actualización de la infraestructura LAN. Finaliza el 22 de mayo de la vigencia. $ 414.102.014.
Los diferentes procesos de adquisición, mantenimiento  y renovación de sofftware, se encuentran en etapas precontractuales en las que se evidencian estudios previos.</t>
  </si>
  <si>
    <t>Se cuentan con los estudios previos y estudios de mercado. Se proyecta obtener la aprobación del Comité de Infraestructura Tecnológica en su próxima sesión.</t>
  </si>
  <si>
    <t xml:space="preserve">Como resultado del Índice de Desempeño Institucional vigencia 2020, La ETITC, se consolido con un 98% de avance en la Política de Gobiergo Digital. Se esta a la espera de la lectura FURAG 2021, a mendiados del mes de Mayo.  </t>
  </si>
  <si>
    <t>PE-11- Internacionalización para ampliar fronteras de conocimiento</t>
  </si>
  <si>
    <t xml:space="preserve">Actalmente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A partir de las reuniones realizadas se han estructurado 3 parrillas de contenido, así mismo se hace unos el formato de solicitud de apoyo al área.
</t>
  </si>
  <si>
    <t>Gestión Documental</t>
  </si>
  <si>
    <t xml:space="preserve">Para el 1° trimestre de la vigencia se revizó y actualizó los programas del PGD (4 de 8 programas), una vez finalizado dicho proceso será expuesto ante las instancias necesarias para su aprobación y posterior ejecución (CIGD o CIA). 
Por otra parte se indentifican actividades como: Actualización del Sistema Información de Atención al Ciudadano SIAC, sin embargo, desarrollarán durante en 2° semestre de la vigencia  </t>
  </si>
  <si>
    <t xml:space="preserve">ORII </t>
  </si>
  <si>
    <t xml:space="preserve">PE-12- Dar continuidad al Talento Humano integral en las plantas de personal </t>
  </si>
  <si>
    <r>
      <t xml:space="preserve">La cosecución de esta actividad esta dada por la interacción de diferentes áreas y procesos entre los cuales se encuentra:
ORII:  En paso 16 de marzo, se realizo el 2° taller de Internacionalización con metodologia open space entre las 9 am y las 12 pm. Se contó con la participación de: ETITC, Universidad la Gran Colombia, Alianza Colombo Búlgar.
En paso 16 de marzo, se realizo el 2° taller de Internacionalización con metodologia open space entre las 9 am y las 12 pm. Se contó con la participación de: ETITC, Universidad la Gran Colombia, Alianza Colombo Búlgar,
Desde </t>
    </r>
    <r>
      <rPr>
        <b/>
        <sz val="12"/>
        <rFont val="Calibri Light"/>
        <family val="2"/>
      </rPr>
      <t xml:space="preserve">la Facultad de procesios Industriales: </t>
    </r>
    <r>
      <rPr>
        <sz val="12"/>
        <rFont val="Calibri Light"/>
        <family val="2"/>
      </rPr>
      <t xml:space="preserve">Se reporto que, la ETITC realizo el respectivo aporte para participar en el V Encuentro de la Red de Programas de Ingeniería Industrial
Nodo Centro, 29 de abril de 2022 ($2.000.000).
La Decana Luisa Goméz, participó en la reunión de la Asociación Colombiana de de Facultad de Ingenieria (Barranquilla- marzo 22).
</t>
    </r>
    <r>
      <rPr>
        <b/>
        <sz val="12"/>
        <rFont val="Calibri Light"/>
        <family val="2"/>
      </rPr>
      <t>Desde la Facultad de Sistemas</t>
    </r>
    <r>
      <rPr>
        <sz val="12"/>
        <rFont val="Calibri Light"/>
        <family val="2"/>
      </rPr>
      <t>: La ETITC interactuó en 3 diferentes sesiones (24 de febrero, 3 y 10 de marzo) con estudiantes y docentes de la Universidad San Marcos de Costa Rica. "Potenciando humanidad a través de la comunicación"
En el marco de la Asamble nacional de ACOFI, el Decano de la Facultad participó en la sesión realizada en Barranquilla (17 y 18 de marzo)</t>
    </r>
  </si>
  <si>
    <t xml:space="preserve">PE-13- Gestión integral de inmuebles
</t>
  </si>
  <si>
    <t>ME-24- Englobar todos predios que integran la sede central.</t>
  </si>
  <si>
    <t>Porcentaje de englobe de los predios que integran la sede central.</t>
  </si>
  <si>
    <t>Actualmente se ejecuta el contrato 009 de 2022. Este profesional tiene como objetivo apoyar la solicitud de los trámites necesarios que se deben adelantar ante las entidades quecorrespondan para obtener los permisos, licencias, y resoluciones que permitan realizar obrasciviles en las edificaciones de la institución, en la sede principal calle 13, instalaciones deCarvajal, instalaciones de El Tintal, sede calle 18.</t>
  </si>
  <si>
    <t>ME-25- Determinar el aprovechamiento del inmueble calle 18 a partir del POT aprobado.</t>
  </si>
  <si>
    <t>Porcentaje de ejecución de las intervenciones físicas.</t>
  </si>
  <si>
    <t>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t>
  </si>
  <si>
    <t xml:space="preserve">Los estudios previos, para determinar el aprovechamiento del inmueble calle 18, se encuentran elaborados, cuentan con la respectiva revisión por parte del área de Contratación (Número de CDP 9922, $128.192.750). </t>
  </si>
  <si>
    <t>ME-26- Formular el Plan de administración e intervención de las instalaciones en comodato (localidad Kennedy).</t>
  </si>
  <si>
    <t>El documento base se encuentra finalizado desde la vigencia 2021; según las necesidades se actualiza dicho planeación.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</si>
  <si>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La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Adicionalmente,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</si>
  <si>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ME-27- Formular e implementar el modelo operativo de administración de inmuebles.</t>
  </si>
  <si>
    <t>ME-28 - Gestionar la consecución de un nuevo Campus para la Escuela.</t>
  </si>
  <si>
    <t>Esta meta estraetgica no ha tenido avance</t>
  </si>
  <si>
    <t>E2- LO SOCIAL : EDUCACIÓN SOCIALMENTE RESPONSABLE Y PERTINENTE</t>
  </si>
  <si>
    <t>SEGUIMIENTO PD1 2021 - 2024, 
VIGENCIA 2021</t>
  </si>
  <si>
    <t>Dependencia</t>
  </si>
  <si>
    <t>META 2021</t>
  </si>
  <si>
    <t xml:space="preserve">Vicerrectoría Académica </t>
  </si>
  <si>
    <r>
      <rPr>
        <b/>
        <sz val="12"/>
        <color theme="1"/>
        <rFont val="Calibri Light"/>
        <family val="2"/>
        <scheme val="major"/>
      </rPr>
      <t xml:space="preserve">PE-14- </t>
    </r>
    <r>
      <rPr>
        <sz val="12"/>
        <color theme="1"/>
        <rFont val="Calibri Light"/>
        <family val="2"/>
        <scheme val="major"/>
      </rPr>
      <t>Nuevos programas de pregrado y posgrado</t>
    </r>
  </si>
  <si>
    <t xml:space="preserve">ME-29-  Lograr  al 2023 el Registro Calificado de 1 Especialización Profesional, 1 Especialización Tecnológica, al 2024, 1 carrera profesional por ciclos y 1 Maestría.
</t>
  </si>
  <si>
    <t xml:space="preserve">ME-30-  Lograr al 2024, que el 50% de los programas con registro calificado en la modalidad presencial  esten convertidos a modalidad semipresencial (blended).
</t>
  </si>
  <si>
    <t>IBTI</t>
  </si>
  <si>
    <r>
      <t>PE-15-</t>
    </r>
    <r>
      <rPr>
        <sz val="12"/>
        <rFont val="Calibri Light"/>
        <family val="2"/>
        <scheme val="major"/>
      </rPr>
      <t xml:space="preserve">El IBTI y su papel significativo en la consolidación de la Escuela </t>
    </r>
  </si>
  <si>
    <t xml:space="preserve">Actualmente la ETITC participa en el programa " Jovenes a la U", donde partipan 125 estudiantes. </t>
  </si>
  <si>
    <t xml:space="preserve">ME-32 - Fortalecer el modelo educativo del bachillerato que permita aumentar cobertura, favorecer la permanencia y continuidad en la institución </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</si>
  <si>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</si>
  <si>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ME-33- Promover la estrategia de articulación  "de tu escuela a mi escuela y a mi universidad".</t>
  </si>
  <si>
    <t>1088</t>
  </si>
  <si>
    <t xml:space="preserve">Realizando un compartivo del ingreso de los estudiantes durante las vigencia 2022 (273) y 2021 (200), lo cual nos permite ver un aumento en el número de los estudiantes. 
Por otra parte, en un ejercicio comparativo se analiza un aumento de 1042 estudiantes en el 2021 a 1134 estudiantes en el 2022 (aumento del 8%). </t>
  </si>
  <si>
    <t>Bienestar Universitario</t>
  </si>
  <si>
    <r>
      <rPr>
        <b/>
        <sz val="12"/>
        <color theme="1"/>
        <rFont val="Calibri Light"/>
        <family val="2"/>
        <scheme val="major"/>
      </rPr>
      <t xml:space="preserve">PE-16- </t>
    </r>
    <r>
      <rPr>
        <sz val="12"/>
        <color theme="1"/>
        <rFont val="Calibri Light"/>
        <family val="2"/>
        <scheme val="major"/>
      </rPr>
      <t xml:space="preserve"> Desarrollo integral y transformación social de la comunidad: bienestar comprometido con la permanencia</t>
    </r>
  </si>
  <si>
    <t>ME-34- Fortalecer el Programa de Atención Básica Ampliada.</t>
  </si>
  <si>
    <t>El desarrollo de esta Meta estratégica esta dada por la interacción de 6 áreas (Deportes, Enfermeria, Pastoral, Sicologia, Artes y Trabajo Social ), quienes han desarrollado sus acticidades con optimos resultados durante ekl 1° trimestre de la vigencia, alcanzando un desarrollo en sus actividades del 24%.</t>
  </si>
  <si>
    <t>ME-35-Formular e implementar el Sistema de Registro Único de Seguimiento de Información y Acompañamiento (RUSIA) de la comunidad educativa de la Institución.</t>
  </si>
  <si>
    <r>
      <t xml:space="preserve">Se han desarrollado las siguientes etapas del proyecto: 
</t>
    </r>
    <r>
      <rPr>
        <b/>
        <sz val="12"/>
        <color theme="1"/>
        <rFont val="Calibri Light"/>
        <family val="2"/>
        <scheme val="major"/>
      </rPr>
      <t>Caracterización Estudiantil PES</t>
    </r>
    <r>
      <rPr>
        <sz val="12"/>
        <color theme="1"/>
        <rFont val="Calibri Light"/>
        <family val="2"/>
        <scheme val="major"/>
      </rPr>
      <t xml:space="preserve">: Se han realizado 675 caracterizaciones que incluyen estudiantes nuevos y antiguos de los PES y especializaciones activos para el periodo 2022-1.
</t>
    </r>
    <r>
      <rPr>
        <b/>
        <sz val="12"/>
        <color theme="1"/>
        <rFont val="Calibri Light"/>
        <family val="2"/>
        <scheme val="major"/>
      </rPr>
      <t xml:space="preserve">Identificación alertas tempranas - riesgos asociados a la deserción: </t>
    </r>
    <r>
      <rPr>
        <sz val="12"/>
        <color theme="1"/>
        <rFont val="Calibri Light"/>
        <family val="2"/>
        <scheme val="major"/>
      </rPr>
      <t xml:space="preserve">A la fecha se han actualizado las 675 alertas asociadas tempranas asociadas a la caracterización estudiantil aplicada a los 675 estudiantes PES
3. </t>
    </r>
    <r>
      <rPr>
        <b/>
        <sz val="12"/>
        <color theme="1"/>
        <rFont val="Calibri Light"/>
        <family val="2"/>
        <scheme val="major"/>
      </rPr>
      <t xml:space="preserve">identificación alertas académicas (primer, segundo y tercer corte): </t>
    </r>
    <r>
      <rPr>
        <sz val="12"/>
        <color theme="1"/>
        <rFont val="Calibri Light"/>
        <family val="2"/>
        <scheme val="major"/>
      </rPr>
      <t>A la fecha se reportan 2413 estudiantes con alertas académicas para primer corte (7-11 marzo)</t>
    </r>
  </si>
  <si>
    <t xml:space="preserve">33%
</t>
  </si>
  <si>
    <t>Se han desarrollado las siguientes actividades: 
1. Acompañamiento integral y en procesos de aprendizaje: 35 estudiantes atendidos en los servicios de entrenamiento y/o  asesoría individual
2. Caracterización de la población estudiantil en procesos de aprendizaje: Se aplicó el instrumento diagnóstico a los estudiantes nuevos durante la inducción (24 y 27 de enero), aplicaron 361.
3. Implementación de estrategias para el fortalecimiento de los procesos de aprendizaje
4. Investigación y proyecto sobre adaptación a la vida universitaria:  Diseño y aplicación de la encuesta de percepción de los estudiantes de la ETITC: A la fecha la han respondido 274 estudiantes.</t>
  </si>
  <si>
    <t>Innovación</t>
  </si>
  <si>
    <r>
      <rPr>
        <b/>
        <sz val="12"/>
        <color theme="1"/>
        <rFont val="Calibri Light"/>
        <family val="2"/>
        <scheme val="major"/>
      </rPr>
      <t xml:space="preserve">PE-17- </t>
    </r>
    <r>
      <rPr>
        <sz val="12"/>
        <color theme="1"/>
        <rFont val="Calibri Light"/>
        <family val="2"/>
        <scheme val="major"/>
      </rPr>
      <t xml:space="preserve"> Centro de Pensamiento y Desarrollo Tecnológico</t>
    </r>
  </si>
  <si>
    <t xml:space="preserve">Estudio de prefactibilidad </t>
  </si>
  <si>
    <t xml:space="preserve">ME-39- Definir  las líneas de investigación y focos estratégicos y de acción del Centro. </t>
  </si>
  <si>
    <t>Líneas de investigación y focos estratégicos definidos</t>
  </si>
  <si>
    <t>ME-40- Establecer la red institucional y de alianzas estrategicas del centro con los respectivos soportes que la respalden</t>
  </si>
  <si>
    <t>Red institucional definida</t>
  </si>
  <si>
    <t xml:space="preserve">ME-41- Formular el plan de mejoramiento de acuerdo a los crirterios de MinCiencias con sus respectivos informes y análisis. </t>
  </si>
  <si>
    <t>Plan de mejoramiento formulado</t>
  </si>
  <si>
    <r>
      <t>ME-42- Radicar la solicitud para el reconocimiento del Centro de Pensamiento y Desarrollo Tecnológico por parte de Minciencias.</t>
    </r>
    <r>
      <rPr>
        <i/>
        <sz val="12"/>
        <color rgb="FFFF0000"/>
        <rFont val="Calibri Light"/>
        <family val="2"/>
        <scheme val="major"/>
      </rPr>
      <t xml:space="preserve">  </t>
    </r>
  </si>
  <si>
    <t>Solicitud del reconocimiento</t>
  </si>
  <si>
    <t xml:space="preserve">Investigación </t>
  </si>
  <si>
    <r>
      <t xml:space="preserve"> </t>
    </r>
    <r>
      <rPr>
        <b/>
        <sz val="12"/>
        <color theme="1"/>
        <rFont val="Calibri Light"/>
        <family val="2"/>
        <scheme val="major"/>
      </rPr>
      <t xml:space="preserve">PE-18- </t>
    </r>
    <r>
      <rPr>
        <sz val="12"/>
        <color theme="1"/>
        <rFont val="Calibri Light"/>
        <family val="2"/>
        <scheme val="major"/>
      </rPr>
      <t xml:space="preserve">Fortalecimiento permanente en Competencias en investigación, ciencia, tecnología e innovación en la ETITC   </t>
    </r>
  </si>
  <si>
    <t xml:space="preserve">Para la Renovación  y capacitación en  base de datos  Web Of Science, actualmente se cuenta con los estudios previos, fueron radicados y aprobados ante la Oficina de Contratación el 15 de marzo. 
La demás actividades se encuentran previstas para el 2° semestre de la vigencia </t>
  </si>
  <si>
    <t>ME-44- Diseñar  e implementar  un Programa de fortalecimiento de grupos de investigación y ampliación de las modalidades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</si>
  <si>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</si>
  <si>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r>
      <rPr>
        <b/>
        <sz val="12"/>
        <color theme="1"/>
        <rFont val="Calibri Light"/>
        <family val="2"/>
        <scheme val="major"/>
      </rPr>
      <t xml:space="preserve"> PE-19</t>
    </r>
    <r>
      <rPr>
        <sz val="12"/>
        <color theme="1"/>
        <rFont val="Calibri Light"/>
        <family val="2"/>
        <scheme val="major"/>
      </rPr>
      <t xml:space="preserve">- Innovación para el </t>
    </r>
    <r>
      <rPr>
        <sz val="12"/>
        <color rgb="FFFF0000"/>
        <rFont val="Calibri Light"/>
        <family val="2"/>
        <scheme val="major"/>
      </rPr>
      <t xml:space="preserve"> </t>
    </r>
    <r>
      <rPr>
        <sz val="12"/>
        <color theme="1"/>
        <rFont val="Calibri Light"/>
        <family val="2"/>
        <scheme val="major"/>
      </rPr>
      <t>Fortalecimiento Institucional y el Desarrollo Social.</t>
    </r>
  </si>
  <si>
    <t>ME-45 -  Implementar programa de transferencia de conocimiento (Fortalecer la visibilidad e impacto del conocimiento según los resultados de investigación generado por la actividad científica, tecnológica, académica, social e industrial de la ETITC).</t>
  </si>
  <si>
    <t>Programa Incubadora tecnológica</t>
  </si>
  <si>
    <t xml:space="preserve">ME-48- Diseñar y estructurar el Observatorio Tecnológico y de Innovación de la ETITC. </t>
  </si>
  <si>
    <t xml:space="preserve">Observatorio Tecnológico y de Innovación de la ETITC. </t>
  </si>
  <si>
    <r>
      <rPr>
        <b/>
        <sz val="12"/>
        <rFont val="Calibri Light"/>
        <family val="2"/>
        <scheme val="major"/>
      </rPr>
      <t>ME-49-</t>
    </r>
    <r>
      <rPr>
        <sz val="12"/>
        <rFont val="Calibri Light"/>
        <family val="2"/>
        <scheme val="major"/>
      </rPr>
      <t xml:space="preserve"> Gestionar  y crear el Proyecto Editorial de la Escuela Tecnológica Instituto Técnico Central</t>
    </r>
  </si>
  <si>
    <t>Proyecto editorial creado</t>
  </si>
  <si>
    <t>Centro de Extensión</t>
  </si>
  <si>
    <r>
      <rPr>
        <b/>
        <sz val="12"/>
        <rFont val="Calibri Light"/>
        <family val="2"/>
        <scheme val="major"/>
      </rPr>
      <t xml:space="preserve">PE-20- </t>
    </r>
    <r>
      <rPr>
        <sz val="12"/>
        <rFont val="Calibri Light"/>
        <family val="2"/>
        <scheme val="major"/>
      </rPr>
      <t xml:space="preserve">Centro de Capacitación Industrial </t>
    </r>
    <r>
      <rPr>
        <strike/>
        <sz val="12"/>
        <rFont val="Calibri Light"/>
        <family val="2"/>
        <scheme val="major"/>
      </rPr>
      <t xml:space="preserve"> </t>
    </r>
    <r>
      <rPr>
        <sz val="12"/>
        <rFont val="Calibri Light"/>
        <family val="2"/>
        <scheme val="major"/>
      </rPr>
      <t>como espacio de cualificación  para la empleabilidad a inmediato plazo.</t>
    </r>
  </si>
  <si>
    <t>20 empresas</t>
  </si>
  <si>
    <t>Con Bienestar Universitario se analizan las conclusiones del trabajo de reconocimientos del entorno, para identificar la oportunidad de ofertar cursos con las sedes de Mártires y Kennedy.</t>
  </si>
  <si>
    <t>Para el 1° trimetre de la vigencia se realizan los cursos en: 1. comunicación oral y escrita. 2, Dibujo Técnico. 3. matemáticas básica. 4. principios de física. 5. Orientación profesional. 6. 6. CNC. Y se desarrollan la certificaciones en instalaciones eléctricas y lean management primer semestre</t>
  </si>
  <si>
    <t>Número de acuerdos suscritos con colegios</t>
  </si>
  <si>
    <t xml:space="preserve">Durante el 1° trimestre de la vigencia se han promovido: 
15 cursos (intencidad horaria entre 20 y 60 horas), 5 diplomados (intencidad horaria entre 80 a 120 horas), 4 certificaciones ( intencidad 120 horas).
Se han realizado actividades como publicidad a través de FACEBOOK institucional y correos masivos, de igual manera se actualizo la imagen de los cursos, diplomados, certificaciones a ofertar.   </t>
  </si>
  <si>
    <r>
      <rPr>
        <b/>
        <sz val="12"/>
        <rFont val="Calibri Light"/>
        <family val="2"/>
        <scheme val="major"/>
      </rPr>
      <t xml:space="preserve">PE-21- </t>
    </r>
    <r>
      <rPr>
        <sz val="12"/>
        <rFont val="Calibri Light"/>
        <family val="2"/>
        <scheme val="major"/>
      </rPr>
      <t>Proyección Social más allá de las fronteras</t>
    </r>
  </si>
  <si>
    <t xml:space="preserve">25%
</t>
  </si>
  <si>
    <t>Convenios realizados con comunidades vulnerables</t>
  </si>
  <si>
    <t>AVANCE 1° TRIMESTRE</t>
  </si>
  <si>
    <t>AVANCE 2° TRIMESTRE</t>
  </si>
  <si>
    <t>AVANCE 3° TRIMESTRE</t>
  </si>
  <si>
    <t>AVANCE 4° TRIMESTRE</t>
  </si>
  <si>
    <t>Vicerrectoría de Investigación Extemsión y Transferencia</t>
  </si>
  <si>
    <t>E3-  LO AMBIENTAL: UN ACUERDO POR LA VIDA Y PARA LA VIDA EN CONTEXTO AMBIENTAL</t>
  </si>
  <si>
    <t>SEGUIMIENTO PDI 2021 - 2024, 
VIGENCIA 2021</t>
  </si>
  <si>
    <t>Avance &gt;40%</t>
  </si>
  <si>
    <t>Avance =&lt;40%</t>
  </si>
  <si>
    <t>Gestión ambiental</t>
  </si>
  <si>
    <t xml:space="preserve">PE-22 Política institucional ambiental en la ETITC alineada al Sistema de Gestión Ambiental </t>
  </si>
  <si>
    <t>ME-56- Implementar una  política ambiental bajo consideraciones de sostenibilidad.</t>
  </si>
  <si>
    <t xml:space="preserve">Las actividades desarrolladas durtante el primer trimestre de la vigencia estan a cordes a la política ambiental institucioal, ene ste sentido se han desarrollado en sus primeras etapas los 9 proyectos a cargo del proceso Gestión ambiental, alcanzando un avance del 17%. </t>
  </si>
  <si>
    <t>Bienestar universitario</t>
  </si>
  <si>
    <t>Porcentaje de diseño e implementación de la catedra ETITC alcanzado</t>
  </si>
  <si>
    <t xml:space="preserve">Gestión ambiental </t>
  </si>
  <si>
    <t xml:space="preserve">PE-24- Optimización en el consumo de energía eléctrica y uso de energías alternativas. 
</t>
  </si>
  <si>
    <t xml:space="preserve">ME-58- Lograr el Diez por ciento (10%) de ahorro energético.
</t>
  </si>
  <si>
    <t>2.5%</t>
  </si>
  <si>
    <t xml:space="preserve">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
En enero de 2022 el DNP  através de informe dio a conocer a la ETITC, las diferente matrices de consumo de energía. Se proyecta realizar un proyecto entorno a estos resultados y análisis realizados. </t>
  </si>
  <si>
    <t xml:space="preserve">Rectoría </t>
  </si>
  <si>
    <t xml:space="preserve">Gestión Documental / Gestión ambiental </t>
  </si>
  <si>
    <t xml:space="preserve">ME-59 Implementar el programa de racionalización de consumo de papel
</t>
  </si>
  <si>
    <t>ME-60- Realizar la adecuada disposición de todos los residuos producidos en el área de infraestructura, talleres y laboratorios.</t>
  </si>
  <si>
    <t>Respecto al estudios previos para contratar el proveedor de elementos para el manejo de aceite lubricante usado, El proceso se encuentra en proceso de indagar acerca de los proveedores que puedan suministrar los elementos de necesidad institucional (estibas, embudos, etc)</t>
  </si>
  <si>
    <t xml:space="preserve">PE-25- Diseño e Implementación de espacios de “Concepto verde” que mejoren la vida académica en las sedes de la ETITC.
</t>
  </si>
  <si>
    <t>ME-61- Adecuar espaciós verdes verticales y horizontales.</t>
  </si>
  <si>
    <t>Porcentaje de elaboración del programa de mantenimiento e intervención de los espacios verdes verticales y horizontales</t>
  </si>
  <si>
    <t xml:space="preserve">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
</t>
  </si>
  <si>
    <t>Vicerrectoría administrativa y Financiera</t>
  </si>
  <si>
    <t>Porcentaje de ejecución del programa de mantenimiento e intervención de los espacios verdes verticales y horizontales</t>
  </si>
  <si>
    <t>Se han realizado las siguientes actividades de jardineria con el Cto 154 de 2022: 1- Organización y poda del  invernadero y espacio de piscicultura de la sede central de la ETITC. 
Se encuentra en fase de diseño el nuevo modulo para el invernadero a través del Cto- 090 de 2022.</t>
  </si>
  <si>
    <t xml:space="preserve">PE-26- Actualización de la infraestructura física, cumpliendo normativas aplicables y generando espacios adecuados para el desarrollo de actividades académicas y de bienestar en un el marco  de la sostenibilidad
</t>
  </si>
  <si>
    <t>ME-62- Adelantar el 50% del reforzamiento estructural de la sede principal.</t>
  </si>
  <si>
    <t xml:space="preserve">A través del Cto 008 de 2022 se han realizado las siguientes actividades: Apoyo a la supervisión de obra de mantenimiento para la preservación del inmueble BIC.
2. Elaboración de socilitudes ante el MinCultura.
Seguimiento a la ejecución de los proyectos aprobados por el MinCultura: Mantenimiento y limpieza de la claraboya, intervención del local de transformación, desinfección y fumigación general, reparación de filtraciones de agua por cubierta.
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</si>
  <si>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ME-63- Construir espacios adecuados para la ubicación del gimnasio y áreas para desarrollo de actividades de bienestar estudiantil. (Administrativos y docentes)</t>
  </si>
  <si>
    <t>Contratación</t>
  </si>
  <si>
    <t>ME-64- Contar con un sistema control de acceso para la sede principal.</t>
  </si>
  <si>
    <t>ME-65- Adecuación completa de la sede de la calle 18.</t>
  </si>
  <si>
    <t>Porcentaje de adecuación alcanzado</t>
  </si>
  <si>
    <t>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t>
  </si>
  <si>
    <t>ME-66- Adaptación progresiva de la planta física para implementar la normativa de movilidad reducida.</t>
  </si>
  <si>
    <t xml:space="preserve">Porcentaje de gestión para la implementación de la normatividad de movilidad reducida  </t>
  </si>
  <si>
    <t>Porcentaje de ejecución de la intervenciones necesarias para la implementación de la normatividad de movilidad reducida.</t>
  </si>
  <si>
    <t>Para el 1° trimestre de la vigencia, se cuenta con la asistencia a una capacitación (4 de marzo)
realización del diseño para guardar la silla salva escaleras tipo oruga.
La cabina se fabricará a través del Cto 359 de 2021.</t>
  </si>
  <si>
    <t>ME-67- Optimización de la oferta de parqueaderos en la sede central.</t>
  </si>
  <si>
    <t>ME -68 - Gestionar las Dotaciones de las instalaciones y sede principal para  la permanencia y aumento de la oferta.</t>
  </si>
  <si>
    <t xml:space="preserve">Durante el 1° triemstre de la vigencia, Se envió a Almacen del formato de baja de 714 unidades de moviliario entre sillas, pupitres, mesas y archivadores que se encuentran almacenados en la sede Centra.
Por otro lado se realizo la 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</si>
  <si>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ME-69- Estructurar y gestionar el registro de Pregrado en Ingeniería Agrícola por ciclos.</t>
  </si>
  <si>
    <t xml:space="preserve">Los documentos maestros para el pregrado en ingenieria Agricola por ciclos se encuentran elaborados, paso siguiente se surtirá un proceso de tipo institucional para verificar la viabilidad de este programa en la ETITC. 
Desde Autoevaluación, se revisaron los 3 documentos maestros entregados. Se espera su presentación ante el Consejo académico y Consejo directivo para dar continuidad al prámite. </t>
  </si>
  <si>
    <t>ME-71-  Estructurar  y gestionar el registro de   Pregrado en Ingeniería de energías por ciclos</t>
  </si>
  <si>
    <t xml:space="preserve">Semana de la salud:
Programa estilos de vida y PVE ergonómico </t>
  </si>
  <si>
    <t>Seguimientos realizados
(PFC)</t>
  </si>
  <si>
    <t>Diseño y construcción del nuevo programa 
(PFC)</t>
  </si>
  <si>
    <t>Diseño y construcción de los nuevos plan de estudios a nivel de pregrado. Ingenieria Ambiental.
(Estructuración de documento maestro para la o Pregrado)</t>
  </si>
  <si>
    <t>Porcentaje del registro alcanzado
(PFC)</t>
  </si>
  <si>
    <t>Informe de avance
(PFC)</t>
  </si>
  <si>
    <t>Desarrollar estrategias de socialización y sensibilización para el fortalecimiento de la cultura de autoevaluación a partir de: capacitaciónes, cursos de formación y material pedagógico.</t>
  </si>
  <si>
    <t>Cultura de Autoevaluación en la Insrtitución a partir de material publicitario y campañas que inviten a la comunidad a adoptar las disposiciones ministeriales e internas</t>
  </si>
  <si>
    <t>PFC</t>
  </si>
  <si>
    <t xml:space="preserve">Informes realizados (PFC)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</si>
  <si>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el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</si>
  <si>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 xml:space="preserve">Suministro e intalación de sistema modular para espacios bienestar estudiantil </t>
  </si>
  <si>
    <t xml:space="preserve">Suministro e instalación de la planta solar fotovoltaica en los bloques F,G Y H de la sede centro </t>
  </si>
  <si>
    <t xml:space="preserve">implementaciòn </t>
  </si>
  <si>
    <t>Espacios adecuados 
(PFC)</t>
  </si>
  <si>
    <t>Laboratorio estructurado y en funcionamiento  (PFC)</t>
  </si>
  <si>
    <t>Formación en Actividades Ciencia, Tecnología e Innovación  (vigilancia, proyectos, redacción, emprendimiento)</t>
  </si>
  <si>
    <t>Encuentro Internacional Redcolsi</t>
  </si>
  <si>
    <t xml:space="preserve">Jornada actualización y fomento acreditación </t>
  </si>
  <si>
    <t>Jornada realziada</t>
  </si>
  <si>
    <t>Mantenimiento y comercialización de Patente Prensa de Alacrán con Tensor de Trinquete en la SIC</t>
  </si>
  <si>
    <t>Planta solar instalada (PFC)</t>
  </si>
  <si>
    <t>Sistema Modular instalado (PFC)</t>
  </si>
  <si>
    <t>Convocatoria realizada (PFC)</t>
  </si>
  <si>
    <t>Proyectos de Investigación desarrollados (PFC)</t>
  </si>
  <si>
    <t>Capacitación realizada (PFC)</t>
  </si>
  <si>
    <t xml:space="preserve">Congreso de Ingeniería, Desarrollo Humano y Sostenibilidad Global. </t>
  </si>
  <si>
    <t>Congreso eralizado  (PFC)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</si>
</sst>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XDR&quot;* #,##0_-;\-&quot;XDR&quot;* #,##0_-;_-&quot;XDR&quot;* &quot;-&quot;_-;_-@_-"/>
    <numFmt numFmtId="165" formatCode="yyyy\-mm\-dd;@"/>
    <numFmt numFmtId="166" formatCode="_-* #,##0_-;\-* #,##0_-;_-* &quot;-&quot;??_-;_-@_-"/>
    <numFmt numFmtId="167" formatCode="_-&quot;$&quot;\ * #,##0_-;\-&quot;$&quot;\ * #,##0_-;_-&quot;$&quot;\ * &quot;-&quot;??_-;_-@_-"/>
    <numFmt numFmtId="168" formatCode="[$$-240A]\ #,##0"/>
    <numFmt numFmtId="169" formatCode="0.0%"/>
    <numFmt numFmtId="170" formatCode="_-[$$-2C0A]\ * #,##0_-;\-[$$-2C0A]\ * #,##0_-;_-[$$-2C0A]\ * &quot;-&quot;??_-;_-@_-"/>
  </numFmts>
  <fonts count="8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Calibri"/>
      <family val="2"/>
      <scheme val="minor"/>
    </font>
    <font>
      <b/>
      <sz val="14"/>
      <name val="Arial"/>
      <family val="2"/>
    </font>
    <font>
      <u/>
      <sz val="11"/>
      <color theme="10"/>
      <name val="Calibri"/>
      <family val="2"/>
    </font>
    <font>
      <b/>
      <sz val="16"/>
      <color theme="1"/>
      <name val="Arial"/>
      <family val="2"/>
    </font>
    <font>
      <sz val="10"/>
      <name val="Arial"/>
      <family val="2"/>
    </font>
    <font>
      <b/>
      <sz val="14"/>
      <color theme="1"/>
      <name val="Calibri"/>
      <family val="2"/>
      <scheme val="minor"/>
    </font>
    <font>
      <b/>
      <sz val="14"/>
      <color rgb="FF000000"/>
      <name val="Calibri"/>
      <family val="2"/>
      <scheme val="minor"/>
    </font>
    <font>
      <sz val="14"/>
      <name val="Arial"/>
      <family val="2"/>
    </font>
    <font>
      <sz val="12"/>
      <name val="Arial"/>
      <family val="2"/>
    </font>
    <font>
      <sz val="14"/>
      <name val="Calibri"/>
      <family val="2"/>
      <scheme val="minor"/>
    </font>
    <font>
      <sz val="14"/>
      <color theme="1"/>
      <name val="Calibri"/>
      <family val="2"/>
      <scheme val="minor"/>
    </font>
    <font>
      <sz val="12"/>
      <color theme="1"/>
      <name val="Arial Narrow"/>
      <family val="2"/>
    </font>
    <font>
      <sz val="10"/>
      <name val="Arial"/>
      <family val="2"/>
    </font>
    <font>
      <sz val="14"/>
      <color rgb="FF000000"/>
      <name val="Calibri"/>
      <family val="2"/>
      <scheme val="minor"/>
    </font>
    <font>
      <sz val="14"/>
      <color theme="1"/>
      <name val="Arial Narrow"/>
      <family val="2"/>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sz val="16"/>
      <color theme="1"/>
      <name val="Arial Narrow"/>
      <family val="2"/>
    </font>
    <font>
      <sz val="11"/>
      <color rgb="FFFF0000"/>
      <name val="Arial Narrow"/>
      <family val="2"/>
    </font>
    <font>
      <sz val="11"/>
      <color theme="1"/>
      <name val="Arial Narrow"/>
      <family val="2"/>
    </font>
    <font>
      <b/>
      <sz val="12"/>
      <color rgb="FF00B050"/>
      <name val="Calibri Light"/>
      <family val="2"/>
    </font>
    <font>
      <b/>
      <sz val="14"/>
      <color rgb="FF00B050"/>
      <name val="Arial Black"/>
      <family val="2"/>
    </font>
    <font>
      <sz val="14"/>
      <color rgb="FF00B050"/>
      <name val="Calibri Light"/>
      <family val="2"/>
    </font>
    <font>
      <sz val="12"/>
      <color theme="0"/>
      <name val="Calibri Light"/>
      <family val="2"/>
    </font>
    <font>
      <b/>
      <sz val="11"/>
      <color theme="0"/>
      <name val="Arial Narrow"/>
      <family val="2"/>
    </font>
    <font>
      <sz val="12"/>
      <color theme="1"/>
      <name val="Calibri Light"/>
      <family val="2"/>
    </font>
    <font>
      <b/>
      <sz val="10"/>
      <color theme="0"/>
      <name val="Calibri Light"/>
      <family val="2"/>
    </font>
    <font>
      <b/>
      <sz val="10"/>
      <color theme="1"/>
      <name val="Calibri Light"/>
      <family val="2"/>
    </font>
    <font>
      <b/>
      <sz val="10"/>
      <color theme="1"/>
      <name val="Calibri"/>
      <family val="2"/>
      <scheme val="minor"/>
    </font>
    <font>
      <sz val="12"/>
      <name val="Calibri Light"/>
      <family val="2"/>
    </font>
    <font>
      <sz val="12"/>
      <color theme="1"/>
      <name val="Calibri Light"/>
      <family val="2"/>
      <scheme val="major"/>
    </font>
    <font>
      <b/>
      <sz val="12"/>
      <color theme="1"/>
      <name val="Calibri Light"/>
      <family val="2"/>
    </font>
    <font>
      <b/>
      <sz val="12"/>
      <color rgb="FFFF0000"/>
      <name val="Calibri Light"/>
      <family val="2"/>
      <scheme val="major"/>
    </font>
    <font>
      <b/>
      <sz val="12"/>
      <color rgb="FF00B050"/>
      <name val="Calibri Light"/>
      <family val="2"/>
      <scheme val="major"/>
    </font>
    <font>
      <b/>
      <sz val="11"/>
      <color theme="1"/>
      <name val="Calibri Light"/>
      <family val="2"/>
      <scheme val="major"/>
    </font>
    <font>
      <b/>
      <sz val="12"/>
      <color theme="1"/>
      <name val="Calibri Light"/>
      <family val="2"/>
      <scheme val="major"/>
    </font>
    <font>
      <b/>
      <sz val="12"/>
      <color theme="0"/>
      <name val="Calibri Light"/>
      <family val="2"/>
    </font>
    <font>
      <b/>
      <sz val="12"/>
      <color theme="0"/>
      <name val="Calibri Light"/>
      <family val="2"/>
      <scheme val="major"/>
    </font>
    <font>
      <b/>
      <sz val="10"/>
      <color theme="0"/>
      <name val="Calibri Light"/>
      <family val="2"/>
      <scheme val="major"/>
    </font>
    <font>
      <sz val="10"/>
      <color theme="1"/>
      <name val="Calibri Light"/>
      <family val="2"/>
      <scheme val="major"/>
    </font>
    <font>
      <sz val="12"/>
      <name val="Calibri Light"/>
      <family val="2"/>
      <scheme val="major"/>
    </font>
    <font>
      <b/>
      <sz val="12"/>
      <name val="Calibri Light"/>
      <family val="2"/>
      <scheme val="major"/>
    </font>
    <font>
      <i/>
      <sz val="12"/>
      <color rgb="FFFF0000"/>
      <name val="Calibri Light"/>
      <family val="2"/>
      <scheme val="major"/>
    </font>
    <font>
      <sz val="12"/>
      <color rgb="FFFF0000"/>
      <name val="Calibri Light"/>
      <family val="2"/>
      <scheme val="major"/>
    </font>
    <font>
      <strike/>
      <sz val="12"/>
      <name val="Calibri Light"/>
      <family val="2"/>
      <scheme val="major"/>
    </font>
    <font>
      <sz val="12"/>
      <color rgb="FF000000"/>
      <name val="Calibri Light"/>
      <family val="2"/>
      <scheme val="major"/>
    </font>
    <font>
      <b/>
      <sz val="11"/>
      <color rgb="FFFF0000"/>
      <name val="Arial Narrow"/>
      <family val="2"/>
    </font>
    <font>
      <b/>
      <sz val="12"/>
      <color rgb="FF00B050"/>
      <name val="Arial Narrow"/>
      <family val="2"/>
    </font>
    <font>
      <b/>
      <sz val="14"/>
      <color theme="1"/>
      <name val="Arial Narrow"/>
      <family val="2"/>
    </font>
    <font>
      <b/>
      <sz val="16"/>
      <color theme="0"/>
      <name val="Arial Narrow"/>
      <family val="2"/>
    </font>
    <font>
      <b/>
      <sz val="9"/>
      <color theme="0"/>
      <name val="Arial Narrow"/>
      <family val="2"/>
    </font>
    <font>
      <b/>
      <sz val="9"/>
      <color theme="0"/>
      <name val="Calibri"/>
      <family val="2"/>
      <scheme val="minor"/>
    </font>
    <font>
      <b/>
      <sz val="9"/>
      <color theme="1"/>
      <name val="Calibri"/>
      <family val="2"/>
      <scheme val="minor"/>
    </font>
    <font>
      <sz val="14"/>
      <color rgb="FFFF0000"/>
      <name val="Calibri"/>
      <family val="2"/>
      <scheme val="minor"/>
    </font>
    <font>
      <b/>
      <sz val="14"/>
      <color theme="0"/>
      <name val="Calibri"/>
      <family val="2"/>
      <scheme val="minor"/>
    </font>
    <font>
      <b/>
      <sz val="14"/>
      <color indexed="9"/>
      <name val="Calibri"/>
      <family val="2"/>
      <scheme val="minor"/>
    </font>
    <font>
      <b/>
      <sz val="14"/>
      <color rgb="FF00B050"/>
      <name val="Calibri"/>
      <family val="2"/>
      <scheme val="minor"/>
    </font>
    <font>
      <b/>
      <sz val="14"/>
      <color theme="7"/>
      <name val="Calibri"/>
      <family val="2"/>
      <scheme val="minor"/>
    </font>
    <font>
      <b/>
      <sz val="14"/>
      <color theme="5"/>
      <name val="Calibri"/>
      <family val="2"/>
      <scheme val="minor"/>
    </font>
    <font>
      <b/>
      <sz val="14"/>
      <color theme="4"/>
      <name val="Calibri"/>
      <family val="2"/>
      <scheme val="minor"/>
    </font>
    <font>
      <b/>
      <sz val="16"/>
      <color indexed="9"/>
      <name val="Calibri"/>
      <family val="2"/>
      <scheme val="minor"/>
    </font>
    <font>
      <b/>
      <sz val="36"/>
      <color indexed="9"/>
      <name val="Calibri"/>
      <family val="2"/>
      <scheme val="minor"/>
    </font>
    <font>
      <sz val="36"/>
      <name val="Calibri"/>
      <family val="2"/>
      <scheme val="minor"/>
    </font>
    <font>
      <b/>
      <sz val="36"/>
      <color rgb="FF00B050"/>
      <name val="Calibri"/>
      <family val="2"/>
      <scheme val="minor"/>
    </font>
    <font>
      <sz val="36"/>
      <name val="Arial"/>
      <family val="2"/>
    </font>
    <font>
      <sz val="11"/>
      <color rgb="FF00B050"/>
      <name val="Arial Narrow"/>
      <family val="2"/>
    </font>
    <font>
      <b/>
      <sz val="11"/>
      <name val="Calibri Light"/>
      <family val="2"/>
      <scheme val="major"/>
    </font>
    <font>
      <b/>
      <sz val="11"/>
      <color rgb="FF00B050"/>
      <name val="Calibri Light"/>
      <family val="2"/>
      <scheme val="major"/>
    </font>
    <font>
      <sz val="14"/>
      <color indexed="9"/>
      <name val="Calibri"/>
      <family val="2"/>
      <scheme val="minor"/>
    </font>
    <font>
      <b/>
      <sz val="14"/>
      <color rgb="FFFF0000"/>
      <name val="Calibri"/>
      <family val="2"/>
      <scheme val="minor"/>
    </font>
    <font>
      <b/>
      <sz val="11"/>
      <color theme="1"/>
      <name val="Arial"/>
      <family val="2"/>
    </font>
    <font>
      <sz val="11"/>
      <name val="Arial"/>
      <family val="2"/>
    </font>
    <font>
      <b/>
      <sz val="10"/>
      <color theme="1"/>
      <name val="Arial"/>
      <family val="2"/>
    </font>
    <font>
      <sz val="16"/>
      <color theme="1"/>
      <name val="Arial"/>
      <family val="2"/>
    </font>
    <font>
      <u/>
      <sz val="10"/>
      <color theme="10"/>
      <name val="Arial"/>
      <family val="2"/>
    </font>
    <font>
      <b/>
      <sz val="9"/>
      <color indexed="81"/>
      <name val="Tahoma"/>
      <charset val="1"/>
    </font>
    <font>
      <sz val="14"/>
      <color theme="0"/>
      <name val="Calibri"/>
      <family val="2"/>
      <scheme val="minor"/>
    </font>
    <font>
      <b/>
      <sz val="12"/>
      <name val="Calibri Light"/>
      <family val="2"/>
    </font>
    <font>
      <sz val="12"/>
      <name val="Calibri"/>
      <family val="2"/>
      <scheme val="minor"/>
    </font>
    <font>
      <sz val="14"/>
      <color rgb="FF000000"/>
      <name val="Calibri"/>
      <family val="2"/>
    </font>
  </fonts>
  <fills count="39">
    <fill>
      <patternFill patternType="none"/>
    </fill>
    <fill>
      <patternFill patternType="gray125"/>
    </fill>
    <fill>
      <patternFill patternType="solid">
        <fgColor indexed="1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2" tint="-0.499984740745262"/>
        <bgColor indexed="64"/>
      </patternFill>
    </fill>
    <fill>
      <patternFill patternType="solid">
        <fgColor rgb="FF07731C"/>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rgb="FF000000"/>
      </patternFill>
    </fill>
    <fill>
      <patternFill patternType="solid">
        <fgColor rgb="FFFFFF00"/>
        <bgColor indexed="64"/>
      </patternFill>
    </fill>
    <fill>
      <patternFill patternType="solid">
        <fgColor rgb="FFFF000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rgb="FF92D050"/>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top/>
      <bottom style="medium">
        <color theme="9"/>
      </bottom>
      <diagonal/>
    </border>
    <border>
      <left/>
      <right/>
      <top/>
      <bottom style="medium">
        <color theme="9"/>
      </bottom>
      <diagonal/>
    </border>
    <border>
      <left style="thin">
        <color indexed="64"/>
      </left>
      <right/>
      <top style="medium">
        <color theme="9"/>
      </top>
      <bottom style="thin">
        <color indexed="64"/>
      </bottom>
      <diagonal/>
    </border>
    <border>
      <left/>
      <right/>
      <top style="medium">
        <color theme="9"/>
      </top>
      <bottom style="thin">
        <color indexed="64"/>
      </bottom>
      <diagonal/>
    </border>
    <border>
      <left/>
      <right style="thin">
        <color indexed="64"/>
      </right>
      <top style="medium">
        <color theme="9"/>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theme="9" tint="0.39997558519241921"/>
      </top>
      <bottom style="medium">
        <color theme="9" tint="0.39997558519241921"/>
      </bottom>
      <diagonal/>
    </border>
    <border>
      <left/>
      <right style="medium">
        <color theme="9" tint="0.39997558519241921"/>
      </right>
      <top style="medium">
        <color theme="9" tint="0.39997558519241921"/>
      </top>
      <bottom style="medium">
        <color theme="9" tint="0.39997558519241921"/>
      </bottom>
      <diagonal/>
    </border>
    <border>
      <left style="thin">
        <color theme="1"/>
      </left>
      <right/>
      <top/>
      <bottom style="thin">
        <color theme="1"/>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medium">
        <color theme="1"/>
      </bottom>
      <diagonal/>
    </border>
    <border>
      <left style="medium">
        <color theme="9"/>
      </left>
      <right/>
      <top/>
      <bottom style="medium">
        <color rgb="FF92D050"/>
      </bottom>
      <diagonal/>
    </border>
    <border>
      <left/>
      <right/>
      <top/>
      <bottom style="medium">
        <color rgb="FF92D050"/>
      </bottom>
      <diagonal/>
    </border>
    <border>
      <left style="medium">
        <color theme="9"/>
      </left>
      <right/>
      <top style="medium">
        <color rgb="FF92D050"/>
      </top>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style="thin">
        <color theme="1"/>
      </bottom>
      <diagonal/>
    </border>
    <border>
      <left style="medium">
        <color indexed="64"/>
      </left>
      <right/>
      <top style="medium">
        <color theme="9"/>
      </top>
      <bottom style="thin">
        <color indexed="64"/>
      </bottom>
      <diagonal/>
    </border>
    <border>
      <left style="medium">
        <color theme="9"/>
      </left>
      <right/>
      <top/>
      <bottom/>
      <diagonal/>
    </border>
    <border>
      <left/>
      <right style="medium">
        <color theme="9"/>
      </right>
      <top/>
      <bottom/>
      <diagonal/>
    </border>
    <border>
      <left style="thin">
        <color theme="9"/>
      </left>
      <right style="medium">
        <color theme="9"/>
      </right>
      <top/>
      <bottom/>
      <diagonal/>
    </border>
    <border>
      <left style="thin">
        <color rgb="FF92D050"/>
      </left>
      <right style="thin">
        <color rgb="FF92D050"/>
      </right>
      <top style="thin">
        <color rgb="FF92D050"/>
      </top>
      <bottom style="thin">
        <color rgb="FF92D050"/>
      </bottom>
      <diagonal/>
    </border>
    <border>
      <left style="thin">
        <color theme="1"/>
      </left>
      <right style="thin">
        <color theme="1"/>
      </right>
      <top style="thin">
        <color theme="1"/>
      </top>
      <bottom/>
      <diagonal/>
    </border>
    <border>
      <left style="thin">
        <color rgb="FF92D050"/>
      </left>
      <right style="thin">
        <color rgb="FF92D05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thick">
        <color auto="1"/>
      </top>
      <bottom/>
      <diagonal/>
    </border>
    <border>
      <left/>
      <right style="medium">
        <color indexed="64"/>
      </right>
      <top/>
      <bottom style="thick">
        <color auto="1"/>
      </bottom>
      <diagonal/>
    </border>
    <border>
      <left/>
      <right style="thick">
        <color auto="1"/>
      </right>
      <top style="medium">
        <color indexed="64"/>
      </top>
      <bottom/>
      <diagonal/>
    </border>
    <border>
      <left/>
      <right style="thick">
        <color auto="1"/>
      </right>
      <top/>
      <bottom style="medium">
        <color indexed="64"/>
      </bottom>
      <diagonal/>
    </border>
    <border>
      <left style="medium">
        <color indexed="64"/>
      </left>
      <right style="thick">
        <color auto="1"/>
      </right>
      <top style="thick">
        <color auto="1"/>
      </top>
      <bottom/>
      <diagonal/>
    </border>
    <border>
      <left style="medium">
        <color indexed="64"/>
      </left>
      <right style="thick">
        <color auto="1"/>
      </right>
      <top/>
      <bottom style="thick">
        <color auto="1"/>
      </bottom>
      <diagonal/>
    </border>
    <border>
      <left style="thin">
        <color indexed="64"/>
      </left>
      <right/>
      <top style="medium">
        <color theme="9"/>
      </top>
      <bottom style="medium">
        <color theme="9"/>
      </bottom>
      <diagonal/>
    </border>
    <border>
      <left/>
      <right style="thin">
        <color indexed="64"/>
      </right>
      <top style="medium">
        <color theme="9"/>
      </top>
      <bottom style="medium">
        <color theme="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7">
    <xf numFmtId="0" fontId="0" fillId="0" borderId="0" applyFill="0"/>
    <xf numFmtId="9" fontId="4" fillId="0" borderId="0" applyFont="0" applyFill="0" applyBorder="0" applyAlignment="0" applyProtection="0"/>
    <xf numFmtId="42"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4" fontId="9" fillId="0" borderId="0" applyFont="0" applyFill="0" applyBorder="0" applyAlignment="0" applyProtection="0"/>
    <xf numFmtId="164" fontId="17" fillId="0" borderId="0" applyFont="0" applyFill="0" applyBorder="0" applyAlignment="0" applyProtection="0"/>
    <xf numFmtId="0" fontId="3" fillId="0" borderId="0"/>
    <xf numFmtId="41" fontId="21"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892">
    <xf numFmtId="0" fontId="0" fillId="0" borderId="0" xfId="0" applyFill="1"/>
    <xf numFmtId="0" fontId="5" fillId="7" borderId="1" xfId="0" applyFont="1" applyFill="1" applyBorder="1" applyAlignment="1">
      <alignment horizontal="left" vertical="top" wrapText="1"/>
    </xf>
    <xf numFmtId="0" fontId="14" fillId="7" borderId="1" xfId="0" applyFont="1" applyFill="1" applyBorder="1" applyAlignment="1">
      <alignment horizontal="left" vertical="top" wrapText="1"/>
    </xf>
    <xf numFmtId="0" fontId="15" fillId="17"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4" fillId="11" borderId="1" xfId="0" applyFont="1" applyFill="1" applyBorder="1" applyAlignment="1">
      <alignment horizontal="left" vertical="top" wrapText="1"/>
    </xf>
    <xf numFmtId="0" fontId="14" fillId="11" borderId="1" xfId="0" quotePrefix="1" applyFont="1" applyFill="1" applyBorder="1" applyAlignment="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4" fillId="15" borderId="1" xfId="0" applyFont="1" applyFill="1" applyBorder="1" applyAlignment="1">
      <alignment horizontal="left" vertical="top" wrapText="1"/>
    </xf>
    <xf numFmtId="0" fontId="14" fillId="27" borderId="1" xfId="0" applyFont="1" applyFill="1" applyBorder="1" applyAlignment="1">
      <alignment horizontal="left" vertical="top" wrapText="1"/>
    </xf>
    <xf numFmtId="0" fontId="14" fillId="25" borderId="1" xfId="0" applyFont="1" applyFill="1" applyBorder="1" applyAlignment="1">
      <alignment horizontal="left" vertical="top" wrapText="1"/>
    </xf>
    <xf numFmtId="0" fontId="10" fillId="7" borderId="1" xfId="0" applyFont="1" applyFill="1" applyBorder="1" applyAlignment="1">
      <alignment horizontal="left" vertical="top" wrapText="1"/>
    </xf>
    <xf numFmtId="0" fontId="15" fillId="7" borderId="1" xfId="0" applyFont="1" applyFill="1" applyBorder="1" applyAlignment="1">
      <alignment horizontal="left" vertical="top" wrapText="1"/>
    </xf>
    <xf numFmtId="0" fontId="14" fillId="29" borderId="1" xfId="0" applyFont="1" applyFill="1" applyBorder="1" applyAlignment="1">
      <alignment horizontal="left" vertical="top" wrapText="1"/>
    </xf>
    <xf numFmtId="0" fontId="25" fillId="0" borderId="0" xfId="0" applyFont="1" applyAlignment="1">
      <alignment horizontal="center" vertical="center" wrapText="1"/>
    </xf>
    <xf numFmtId="0" fontId="0" fillId="0" borderId="0" xfId="0" applyAlignment="1">
      <alignment vertical="top"/>
    </xf>
    <xf numFmtId="0" fontId="0" fillId="0" borderId="0" xfId="0"/>
    <xf numFmtId="0" fontId="0" fillId="0" borderId="0" xfId="0" applyAlignment="1">
      <alignment horizontal="center" vertical="center"/>
    </xf>
    <xf numFmtId="0" fontId="27" fillId="0" borderId="0" xfId="0" applyFont="1"/>
    <xf numFmtId="0" fontId="0" fillId="0" borderId="0" xfId="0" applyAlignment="1">
      <alignment vertical="center"/>
    </xf>
    <xf numFmtId="0" fontId="26" fillId="0" borderId="0" xfId="0" applyFont="1"/>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15" fillId="0" borderId="29" xfId="0" applyFont="1" applyBorder="1" applyAlignment="1">
      <alignment vertical="center"/>
    </xf>
    <xf numFmtId="0" fontId="15" fillId="0" borderId="30" xfId="0" applyFont="1" applyBorder="1" applyAlignment="1">
      <alignment vertical="center"/>
    </xf>
    <xf numFmtId="0" fontId="30" fillId="0" borderId="0" xfId="0" applyFont="1" applyAlignment="1">
      <alignment vertical="center" wrapText="1"/>
    </xf>
    <xf numFmtId="0" fontId="19" fillId="0" borderId="0" xfId="0" applyFont="1"/>
    <xf numFmtId="0" fontId="15" fillId="0" borderId="0" xfId="0" applyFont="1" applyAlignment="1">
      <alignment vertical="center"/>
    </xf>
    <xf numFmtId="0" fontId="31" fillId="32" borderId="0" xfId="0" applyFont="1" applyFill="1" applyAlignment="1">
      <alignment horizontal="center" vertical="center" wrapText="1"/>
    </xf>
    <xf numFmtId="0" fontId="33" fillId="0" borderId="0" xfId="0" applyFont="1"/>
    <xf numFmtId="0" fontId="34" fillId="32" borderId="1" xfId="0" applyFont="1" applyFill="1" applyBorder="1" applyAlignment="1">
      <alignment horizontal="center" vertical="center" wrapText="1"/>
    </xf>
    <xf numFmtId="0" fontId="34" fillId="32" borderId="2" xfId="0" applyFont="1" applyFill="1" applyBorder="1" applyAlignment="1">
      <alignment horizontal="center" vertical="center" wrapText="1"/>
    </xf>
    <xf numFmtId="0" fontId="34" fillId="32" borderId="21" xfId="0" applyFont="1" applyFill="1" applyBorder="1" applyAlignment="1">
      <alignment horizontal="center" vertical="center" wrapText="1"/>
    </xf>
    <xf numFmtId="0" fontId="34" fillId="32" borderId="34" xfId="0" applyFont="1" applyFill="1" applyBorder="1" applyAlignment="1">
      <alignment horizontal="center"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3" fillId="25" borderId="3" xfId="0" applyFont="1" applyFill="1" applyBorder="1" applyAlignment="1">
      <alignment horizontal="center" vertical="center" wrapText="1"/>
    </xf>
    <xf numFmtId="0" fontId="33" fillId="25" borderId="1" xfId="0" applyFont="1" applyFill="1" applyBorder="1" applyAlignment="1">
      <alignment horizontal="center" vertical="center" wrapText="1"/>
    </xf>
    <xf numFmtId="0" fontId="33" fillId="25" borderId="16" xfId="0" applyFont="1" applyFill="1" applyBorder="1" applyAlignment="1">
      <alignment horizontal="center" vertical="center" wrapText="1"/>
    </xf>
    <xf numFmtId="0" fontId="33" fillId="25" borderId="34" xfId="0" applyFont="1" applyFill="1" applyBorder="1" applyAlignment="1">
      <alignment horizontal="left" vertical="top" wrapText="1"/>
    </xf>
    <xf numFmtId="0" fontId="33" fillId="33" borderId="1" xfId="0" applyFont="1" applyFill="1" applyBorder="1" applyAlignment="1">
      <alignment horizontal="left" vertical="top" wrapText="1"/>
    </xf>
    <xf numFmtId="9" fontId="33" fillId="25" borderId="1" xfId="0" applyNumberFormat="1" applyFont="1" applyFill="1" applyBorder="1" applyAlignment="1">
      <alignment horizontal="left" vertical="top" wrapText="1"/>
    </xf>
    <xf numFmtId="0" fontId="33" fillId="25" borderId="16" xfId="0" applyFont="1" applyFill="1" applyBorder="1" applyAlignment="1">
      <alignment horizontal="left" vertical="top" wrapText="1"/>
    </xf>
    <xf numFmtId="0" fontId="33" fillId="25" borderId="15" xfId="0" applyFont="1" applyFill="1" applyBorder="1" applyAlignment="1">
      <alignment horizontal="left" vertical="top" wrapText="1"/>
    </xf>
    <xf numFmtId="0" fontId="33" fillId="25" borderId="0" xfId="0" applyFont="1" applyFill="1" applyAlignment="1">
      <alignment horizontal="left" vertical="center" wrapText="1"/>
    </xf>
    <xf numFmtId="0" fontId="0" fillId="25" borderId="0" xfId="0" applyFill="1" applyAlignment="1">
      <alignment vertical="center"/>
    </xf>
    <xf numFmtId="0" fontId="33" fillId="0" borderId="16" xfId="0" applyFont="1" applyBorder="1" applyAlignment="1">
      <alignment horizontal="center" vertical="center" wrapText="1"/>
    </xf>
    <xf numFmtId="0" fontId="33" fillId="0" borderId="34" xfId="0" applyFont="1" applyBorder="1" applyAlignment="1">
      <alignment horizontal="left" vertical="top" wrapText="1"/>
    </xf>
    <xf numFmtId="0" fontId="37" fillId="0" borderId="1" xfId="0" applyFont="1" applyBorder="1" applyAlignment="1">
      <alignment horizontal="left" vertical="top" wrapText="1"/>
    </xf>
    <xf numFmtId="9" fontId="37"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0" fontId="33" fillId="33" borderId="16" xfId="0" applyFont="1" applyFill="1" applyBorder="1" applyAlignment="1">
      <alignment horizontal="left" vertical="top" wrapText="1"/>
    </xf>
    <xf numFmtId="0" fontId="33" fillId="33" borderId="15" xfId="0" applyFont="1" applyFill="1" applyBorder="1" applyAlignment="1">
      <alignment horizontal="left" vertical="top" wrapText="1"/>
    </xf>
    <xf numFmtId="0" fontId="33" fillId="33" borderId="0" xfId="0" applyFont="1" applyFill="1" applyAlignment="1">
      <alignment horizontal="left" vertical="center" wrapText="1"/>
    </xf>
    <xf numFmtId="9" fontId="33" fillId="0" borderId="1" xfId="0" applyNumberFormat="1" applyFont="1" applyBorder="1" applyAlignment="1">
      <alignment horizontal="left" vertical="top" wrapText="1"/>
    </xf>
    <xf numFmtId="0" fontId="33" fillId="0" borderId="16" xfId="0" applyFont="1" applyBorder="1" applyAlignment="1">
      <alignment horizontal="left" vertical="top" wrapText="1"/>
    </xf>
    <xf numFmtId="0" fontId="33" fillId="0" borderId="15" xfId="0" applyFont="1" applyBorder="1" applyAlignment="1">
      <alignment horizontal="left" vertical="top" wrapText="1"/>
    </xf>
    <xf numFmtId="0" fontId="33" fillId="0" borderId="0" xfId="0" applyFont="1" applyAlignment="1">
      <alignment horizontal="left" vertical="center" wrapText="1"/>
    </xf>
    <xf numFmtId="0" fontId="33" fillId="0" borderId="0" xfId="0" applyFont="1" applyAlignment="1">
      <alignment vertical="center" wrapText="1"/>
    </xf>
    <xf numFmtId="10" fontId="33" fillId="25" borderId="1" xfId="0" applyNumberFormat="1" applyFont="1" applyFill="1" applyBorder="1" applyAlignment="1">
      <alignment horizontal="left" vertical="top" wrapText="1"/>
    </xf>
    <xf numFmtId="10" fontId="33" fillId="33" borderId="1" xfId="0" applyNumberFormat="1" applyFont="1" applyFill="1" applyBorder="1" applyAlignment="1">
      <alignment horizontal="left" vertical="top" wrapText="1"/>
    </xf>
    <xf numFmtId="0" fontId="33" fillId="33" borderId="0" xfId="0" applyFont="1" applyFill="1" applyAlignment="1">
      <alignment vertical="center" wrapText="1"/>
    </xf>
    <xf numFmtId="0" fontId="0" fillId="26" borderId="0" xfId="0" applyFill="1" applyAlignment="1">
      <alignment vertical="center"/>
    </xf>
    <xf numFmtId="0" fontId="33" fillId="25" borderId="0" xfId="0" applyFont="1" applyFill="1" applyAlignment="1">
      <alignment vertical="center" wrapText="1"/>
    </xf>
    <xf numFmtId="9" fontId="37" fillId="25" borderId="1" xfId="0" applyNumberFormat="1" applyFont="1" applyFill="1" applyBorder="1" applyAlignment="1">
      <alignment horizontal="left" vertical="top" wrapText="1"/>
    </xf>
    <xf numFmtId="0" fontId="37" fillId="33" borderId="16" xfId="0" applyFont="1" applyFill="1" applyBorder="1" applyAlignment="1">
      <alignment horizontal="left" vertical="top" wrapText="1"/>
    </xf>
    <xf numFmtId="9" fontId="37" fillId="33" borderId="1" xfId="0" applyNumberFormat="1" applyFont="1" applyFill="1" applyBorder="1" applyAlignment="1">
      <alignment horizontal="left" vertical="top" wrapText="1"/>
    </xf>
    <xf numFmtId="0" fontId="37" fillId="33" borderId="15" xfId="0" applyFont="1" applyFill="1" applyBorder="1" applyAlignment="1">
      <alignment horizontal="left" vertical="top" wrapText="1"/>
    </xf>
    <xf numFmtId="0" fontId="37" fillId="33" borderId="0" xfId="0" applyFont="1" applyFill="1" applyAlignment="1">
      <alignment vertical="center" wrapText="1"/>
    </xf>
    <xf numFmtId="0" fontId="37" fillId="25" borderId="16" xfId="0" applyFont="1" applyFill="1" applyBorder="1" applyAlignment="1">
      <alignment horizontal="left" vertical="top" wrapText="1"/>
    </xf>
    <xf numFmtId="0" fontId="37" fillId="25" borderId="15" xfId="0" applyFont="1" applyFill="1" applyBorder="1" applyAlignment="1">
      <alignment horizontal="left" vertical="top" wrapText="1"/>
    </xf>
    <xf numFmtId="0" fontId="37" fillId="25" borderId="0" xfId="0" applyFont="1" applyFill="1" applyAlignment="1">
      <alignment vertical="center" wrapText="1"/>
    </xf>
    <xf numFmtId="0" fontId="16" fillId="25" borderId="0" xfId="0" applyFont="1" applyFill="1" applyAlignment="1">
      <alignment vertical="center" wrapText="1"/>
    </xf>
    <xf numFmtId="0" fontId="33" fillId="26" borderId="1" xfId="0" applyFont="1" applyFill="1" applyBorder="1" applyAlignment="1">
      <alignment horizontal="center" vertical="center" wrapText="1"/>
    </xf>
    <xf numFmtId="9" fontId="33" fillId="33" borderId="1" xfId="0" applyNumberFormat="1" applyFont="1" applyFill="1" applyBorder="1" applyAlignment="1">
      <alignment horizontal="left" vertical="top" wrapText="1"/>
    </xf>
    <xf numFmtId="0" fontId="33" fillId="25" borderId="36" xfId="0" applyFont="1" applyFill="1" applyBorder="1" applyAlignment="1">
      <alignment horizontal="left" vertical="top" wrapText="1"/>
    </xf>
    <xf numFmtId="0" fontId="37" fillId="0" borderId="15" xfId="0" applyFont="1" applyBorder="1" applyAlignment="1">
      <alignment horizontal="left" vertical="top" wrapText="1"/>
    </xf>
    <xf numFmtId="0" fontId="0" fillId="25" borderId="0" xfId="0" applyFill="1"/>
    <xf numFmtId="169" fontId="33" fillId="25" borderId="1" xfId="0" applyNumberFormat="1" applyFont="1" applyFill="1" applyBorder="1" applyAlignment="1">
      <alignment horizontal="left" vertical="top" wrapText="1"/>
    </xf>
    <xf numFmtId="0" fontId="38" fillId="25" borderId="37" xfId="0" applyFont="1" applyFill="1" applyBorder="1" applyAlignment="1">
      <alignment horizontal="left" vertical="top" wrapText="1"/>
    </xf>
    <xf numFmtId="0" fontId="33" fillId="26" borderId="35" xfId="0" applyFont="1" applyFill="1" applyBorder="1" applyAlignment="1">
      <alignment horizontal="center" vertical="center" wrapText="1"/>
    </xf>
    <xf numFmtId="0" fontId="37" fillId="0" borderId="16" xfId="0" applyFont="1" applyBorder="1" applyAlignment="1">
      <alignment horizontal="left" vertical="top" wrapText="1"/>
    </xf>
    <xf numFmtId="0" fontId="33" fillId="25" borderId="0" xfId="0" applyFont="1" applyFill="1" applyAlignment="1">
      <alignment horizontal="left" vertical="top" wrapText="1"/>
    </xf>
    <xf numFmtId="0" fontId="33" fillId="25" borderId="38" xfId="0" applyFont="1" applyFill="1" applyBorder="1" applyAlignment="1">
      <alignment horizontal="left" vertical="top" wrapText="1"/>
    </xf>
    <xf numFmtId="0" fontId="33" fillId="33" borderId="2" xfId="0" applyFont="1" applyFill="1" applyBorder="1" applyAlignment="1">
      <alignment horizontal="left" vertical="top" wrapText="1"/>
    </xf>
    <xf numFmtId="0" fontId="37" fillId="25" borderId="2" xfId="0" applyFont="1" applyFill="1" applyBorder="1" applyAlignment="1">
      <alignment horizontal="left" vertical="top" wrapText="1"/>
    </xf>
    <xf numFmtId="9" fontId="33" fillId="25" borderId="2" xfId="0" applyNumberFormat="1" applyFont="1" applyFill="1" applyBorder="1" applyAlignment="1">
      <alignment horizontal="left" vertical="top" wrapText="1"/>
    </xf>
    <xf numFmtId="0" fontId="33" fillId="25" borderId="21" xfId="0" applyFont="1" applyFill="1" applyBorder="1" applyAlignment="1">
      <alignment horizontal="left" vertical="top" wrapText="1"/>
    </xf>
    <xf numFmtId="0" fontId="33" fillId="25" borderId="39" xfId="0" applyFont="1" applyFill="1" applyBorder="1" applyAlignment="1">
      <alignment horizontal="left" vertical="top" wrapText="1"/>
    </xf>
    <xf numFmtId="0" fontId="33"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xf numFmtId="0" fontId="40" fillId="0" borderId="0" xfId="0" applyFont="1" applyAlignment="1">
      <alignment vertical="top"/>
    </xf>
    <xf numFmtId="0" fontId="38" fillId="0" borderId="0" xfId="0" applyFont="1" applyAlignment="1">
      <alignment horizontal="left" vertical="top"/>
    </xf>
    <xf numFmtId="0" fontId="41" fillId="0" borderId="0" xfId="0" applyFont="1" applyAlignment="1">
      <alignment vertical="top"/>
    </xf>
    <xf numFmtId="0" fontId="43" fillId="0" borderId="0" xfId="0" applyFont="1" applyAlignment="1">
      <alignment vertical="top" wrapText="1"/>
    </xf>
    <xf numFmtId="0" fontId="45" fillId="25" borderId="0" xfId="0" applyFont="1" applyFill="1" applyAlignment="1">
      <alignment vertical="top" wrapText="1"/>
    </xf>
    <xf numFmtId="0" fontId="38" fillId="25" borderId="0" xfId="0" applyFont="1" applyFill="1" applyAlignment="1">
      <alignment horizontal="left" vertical="top"/>
    </xf>
    <xf numFmtId="0" fontId="46" fillId="32" borderId="44" xfId="0" applyFont="1" applyFill="1" applyBorder="1" applyAlignment="1">
      <alignment horizontal="center" vertical="center" wrapText="1"/>
    </xf>
    <xf numFmtId="0" fontId="47" fillId="25" borderId="0" xfId="0" applyFont="1" applyFill="1" applyAlignment="1">
      <alignment horizontal="center" vertical="center" wrapText="1"/>
    </xf>
    <xf numFmtId="0" fontId="47" fillId="0" borderId="0" xfId="0" applyFont="1" applyAlignment="1">
      <alignment horizontal="center" vertical="center" wrapText="1"/>
    </xf>
    <xf numFmtId="0" fontId="48" fillId="0" borderId="44" xfId="0" applyFont="1" applyBorder="1" applyAlignment="1">
      <alignment horizontal="left" vertical="top" wrapText="1"/>
    </xf>
    <xf numFmtId="0" fontId="48" fillId="25" borderId="44" xfId="0" applyFont="1" applyFill="1" applyBorder="1" applyAlignment="1">
      <alignment horizontal="left" vertical="top" wrapText="1"/>
    </xf>
    <xf numFmtId="0" fontId="38" fillId="33" borderId="44" xfId="0" applyFont="1" applyFill="1" applyBorder="1" applyAlignment="1">
      <alignment horizontal="left" vertical="top" wrapText="1"/>
    </xf>
    <xf numFmtId="9" fontId="48" fillId="0" borderId="44" xfId="0" applyNumberFormat="1" applyFont="1" applyBorder="1" applyAlignment="1">
      <alignment horizontal="left" vertical="top" wrapText="1"/>
    </xf>
    <xf numFmtId="9" fontId="38" fillId="33" borderId="44" xfId="0" applyNumberFormat="1" applyFont="1" applyFill="1" applyBorder="1" applyAlignment="1">
      <alignment horizontal="left" vertical="top" wrapText="1"/>
    </xf>
    <xf numFmtId="0" fontId="38" fillId="0" borderId="3" xfId="0" applyFont="1" applyBorder="1" applyAlignment="1">
      <alignment horizontal="left" vertical="top" wrapText="1"/>
    </xf>
    <xf numFmtId="169" fontId="38" fillId="0" borderId="3" xfId="1" applyNumberFormat="1" applyFont="1" applyBorder="1" applyAlignment="1">
      <alignment horizontal="left" vertical="top" wrapText="1"/>
    </xf>
    <xf numFmtId="9" fontId="38" fillId="0" borderId="3" xfId="0" applyNumberFormat="1" applyFont="1" applyBorder="1" applyAlignment="1">
      <alignment horizontal="left" vertical="top" wrapText="1"/>
    </xf>
    <xf numFmtId="9" fontId="38" fillId="33" borderId="3" xfId="0" applyNumberFormat="1" applyFont="1" applyFill="1" applyBorder="1" applyAlignment="1">
      <alignment horizontal="left" vertical="top" wrapText="1"/>
    </xf>
    <xf numFmtId="9" fontId="38" fillId="33" borderId="45" xfId="0" applyNumberFormat="1" applyFont="1" applyFill="1" applyBorder="1" applyAlignment="1">
      <alignment horizontal="left" vertical="top" wrapText="1"/>
    </xf>
    <xf numFmtId="9" fontId="38" fillId="25" borderId="1" xfId="0" applyNumberFormat="1" applyFont="1" applyFill="1" applyBorder="1" applyAlignment="1">
      <alignment horizontal="left" vertical="top" wrapText="1"/>
    </xf>
    <xf numFmtId="9" fontId="38" fillId="33" borderId="1" xfId="0" applyNumberFormat="1" applyFont="1" applyFill="1" applyBorder="1" applyAlignment="1">
      <alignment horizontal="left" vertical="top" wrapText="1"/>
    </xf>
    <xf numFmtId="9" fontId="38" fillId="33" borderId="46" xfId="0" applyNumberFormat="1" applyFont="1" applyFill="1" applyBorder="1" applyAlignment="1">
      <alignment horizontal="left" vertical="top" wrapText="1"/>
    </xf>
    <xf numFmtId="0" fontId="38" fillId="33" borderId="1" xfId="0" applyFont="1" applyFill="1" applyBorder="1" applyAlignment="1">
      <alignment horizontal="left" vertical="top" wrapText="1"/>
    </xf>
    <xf numFmtId="9" fontId="38" fillId="0" borderId="1" xfId="0" applyNumberFormat="1" applyFont="1" applyBorder="1" applyAlignment="1">
      <alignment horizontal="left" vertical="top" wrapText="1"/>
    </xf>
    <xf numFmtId="9" fontId="48" fillId="0" borderId="1" xfId="0" applyNumberFormat="1" applyFont="1" applyBorder="1" applyAlignment="1">
      <alignment horizontal="left" vertical="top" wrapText="1"/>
    </xf>
    <xf numFmtId="0" fontId="48" fillId="0" borderId="46" xfId="0" applyFont="1" applyBorder="1" applyAlignment="1">
      <alignment horizontal="left" vertical="top" wrapText="1"/>
    </xf>
    <xf numFmtId="9" fontId="38" fillId="25" borderId="46" xfId="0" applyNumberFormat="1" applyFont="1" applyFill="1" applyBorder="1" applyAlignment="1">
      <alignment horizontal="left" vertical="top" wrapText="1"/>
    </xf>
    <xf numFmtId="9" fontId="48" fillId="0" borderId="1" xfId="1" applyFont="1" applyFill="1" applyBorder="1" applyAlignment="1">
      <alignment horizontal="left" vertical="top" wrapText="1"/>
    </xf>
    <xf numFmtId="9" fontId="48" fillId="0" borderId="46" xfId="1" applyFont="1" applyFill="1" applyBorder="1" applyAlignment="1">
      <alignment horizontal="left" vertical="top" wrapText="1"/>
    </xf>
    <xf numFmtId="9" fontId="48" fillId="25" borderId="1" xfId="0" applyNumberFormat="1" applyFont="1" applyFill="1" applyBorder="1" applyAlignment="1">
      <alignment horizontal="left" vertical="top" wrapText="1"/>
    </xf>
    <xf numFmtId="9" fontId="53" fillId="25" borderId="1" xfId="0" applyNumberFormat="1" applyFont="1" applyFill="1" applyBorder="1" applyAlignment="1">
      <alignment horizontal="left" vertical="top" wrapText="1"/>
    </xf>
    <xf numFmtId="0" fontId="38" fillId="25" borderId="46" xfId="0" applyFont="1" applyFill="1" applyBorder="1" applyAlignment="1">
      <alignment horizontal="left" vertical="top" wrapText="1"/>
    </xf>
    <xf numFmtId="0" fontId="38" fillId="25" borderId="2" xfId="0" applyFont="1" applyFill="1" applyBorder="1" applyAlignment="1">
      <alignment horizontal="left" vertical="top" wrapText="1"/>
    </xf>
    <xf numFmtId="0" fontId="38" fillId="33" borderId="2" xfId="0" applyFont="1" applyFill="1" applyBorder="1" applyAlignment="1">
      <alignment horizontal="left" vertical="top" wrapText="1"/>
    </xf>
    <xf numFmtId="10" fontId="38" fillId="25" borderId="2" xfId="0" applyNumberFormat="1" applyFont="1" applyFill="1" applyBorder="1" applyAlignment="1">
      <alignment horizontal="left" vertical="top" wrapText="1"/>
    </xf>
    <xf numFmtId="0" fontId="38" fillId="25" borderId="47" xfId="0" applyFont="1" applyFill="1" applyBorder="1" applyAlignment="1">
      <alignment horizontal="left" vertical="top" wrapText="1"/>
    </xf>
    <xf numFmtId="0" fontId="38" fillId="0" borderId="0" xfId="0" applyFont="1" applyAlignment="1">
      <alignment horizontal="left" vertical="top" wrapText="1"/>
    </xf>
    <xf numFmtId="2" fontId="38" fillId="0" borderId="0" xfId="0" applyNumberFormat="1" applyFont="1" applyAlignment="1">
      <alignment horizontal="left" vertical="top"/>
    </xf>
    <xf numFmtId="0" fontId="54" fillId="0" borderId="23" xfId="0" applyFont="1" applyBorder="1" applyAlignment="1">
      <alignment vertical="top"/>
    </xf>
    <xf numFmtId="0" fontId="54" fillId="0" borderId="0" xfId="0" applyFont="1" applyAlignment="1">
      <alignment vertical="top"/>
    </xf>
    <xf numFmtId="0" fontId="54" fillId="0" borderId="0" xfId="0" applyFont="1" applyAlignment="1">
      <alignment horizontal="left" vertical="top"/>
    </xf>
    <xf numFmtId="0" fontId="0" fillId="0" borderId="0" xfId="0" applyAlignment="1">
      <alignment horizontal="left" vertical="top"/>
    </xf>
    <xf numFmtId="0" fontId="54" fillId="0" borderId="48" xfId="0" applyFont="1" applyBorder="1" applyAlignment="1">
      <alignment vertical="top"/>
    </xf>
    <xf numFmtId="0" fontId="55" fillId="0" borderId="0" xfId="0" applyFont="1" applyAlignment="1">
      <alignment vertical="top" wrapText="1"/>
    </xf>
    <xf numFmtId="0" fontId="55" fillId="0" borderId="0" xfId="0" applyFont="1" applyAlignment="1">
      <alignment horizontal="left" vertical="top" wrapText="1"/>
    </xf>
    <xf numFmtId="0" fontId="56" fillId="0" borderId="0" xfId="0" applyFont="1" applyAlignment="1">
      <alignment vertical="top" wrapText="1"/>
    </xf>
    <xf numFmtId="0" fontId="56" fillId="0" borderId="0" xfId="0" applyFont="1" applyAlignment="1">
      <alignment horizontal="left" vertical="top" wrapText="1"/>
    </xf>
    <xf numFmtId="0" fontId="57" fillId="32" borderId="0" xfId="0" applyFont="1" applyFill="1" applyAlignment="1">
      <alignment horizontal="left" vertical="top"/>
    </xf>
    <xf numFmtId="0" fontId="32" fillId="25" borderId="0" xfId="0" applyFont="1" applyFill="1" applyAlignment="1">
      <alignment vertical="top" wrapText="1"/>
    </xf>
    <xf numFmtId="0" fontId="57" fillId="25" borderId="0" xfId="0" applyFont="1" applyFill="1" applyAlignment="1">
      <alignment horizontal="left" vertical="top"/>
    </xf>
    <xf numFmtId="0" fontId="0" fillId="25" borderId="0" xfId="0" applyFill="1" applyAlignment="1">
      <alignment horizontal="left" vertical="top"/>
    </xf>
    <xf numFmtId="0" fontId="58" fillId="32" borderId="0" xfId="0" applyFont="1" applyFill="1" applyAlignment="1">
      <alignment horizontal="center" vertical="center"/>
    </xf>
    <xf numFmtId="0" fontId="58" fillId="32" borderId="1" xfId="0" applyFont="1" applyFill="1" applyBorder="1" applyAlignment="1">
      <alignment horizontal="center" vertical="center" wrapText="1"/>
    </xf>
    <xf numFmtId="0" fontId="58" fillId="32" borderId="16" xfId="0" applyFont="1" applyFill="1" applyBorder="1" applyAlignment="1">
      <alignment horizontal="center" vertical="center" wrapText="1"/>
    </xf>
    <xf numFmtId="0" fontId="58" fillId="32" borderId="34" xfId="0" applyFont="1" applyFill="1" applyBorder="1" applyAlignment="1">
      <alignment horizontal="center" vertical="center" wrapText="1"/>
    </xf>
    <xf numFmtId="0" fontId="59" fillId="32" borderId="1" xfId="0" applyFont="1" applyFill="1" applyBorder="1" applyAlignment="1">
      <alignment horizontal="center" vertical="center" wrapText="1"/>
    </xf>
    <xf numFmtId="0" fontId="58" fillId="32" borderId="1" xfId="0" applyFont="1" applyFill="1" applyBorder="1" applyAlignment="1">
      <alignment horizontal="center" vertical="center"/>
    </xf>
    <xf numFmtId="0" fontId="58" fillId="25" borderId="0" xfId="0" applyFont="1" applyFill="1" applyAlignment="1">
      <alignment horizontal="center" vertical="center"/>
    </xf>
    <xf numFmtId="0" fontId="58" fillId="25" borderId="0" xfId="0" applyFont="1" applyFill="1" applyAlignment="1">
      <alignment horizontal="center" vertical="center" wrapText="1"/>
    </xf>
    <xf numFmtId="0" fontId="59" fillId="25" borderId="0" xfId="0" applyFont="1" applyFill="1" applyAlignment="1">
      <alignment horizontal="center" vertical="center" wrapText="1"/>
    </xf>
    <xf numFmtId="0" fontId="60" fillId="25" borderId="0" xfId="0" applyFont="1" applyFill="1" applyAlignment="1">
      <alignment horizontal="center" vertical="center"/>
    </xf>
    <xf numFmtId="0" fontId="60" fillId="0" borderId="0" xfId="0" applyFont="1" applyAlignment="1">
      <alignment horizontal="center" vertical="center"/>
    </xf>
    <xf numFmtId="0" fontId="38" fillId="25" borderId="16" xfId="0" applyFont="1" applyFill="1" applyBorder="1" applyAlignment="1">
      <alignment horizontal="left" vertical="top" wrapText="1"/>
    </xf>
    <xf numFmtId="0" fontId="38" fillId="25" borderId="34" xfId="0" applyFont="1" applyFill="1" applyBorder="1" applyAlignment="1">
      <alignment horizontal="left" vertical="top" wrapText="1"/>
    </xf>
    <xf numFmtId="0" fontId="38" fillId="25" borderId="15" xfId="0" applyFont="1" applyFill="1" applyBorder="1" applyAlignment="1">
      <alignment horizontal="left" vertical="top" wrapText="1"/>
    </xf>
    <xf numFmtId="0" fontId="38" fillId="0" borderId="16" xfId="0" applyFont="1" applyBorder="1" applyAlignment="1">
      <alignment horizontal="left" vertical="top" wrapText="1"/>
    </xf>
    <xf numFmtId="0" fontId="38" fillId="0" borderId="34" xfId="0" applyFont="1" applyBorder="1" applyAlignment="1">
      <alignment horizontal="left" vertical="top" wrapText="1"/>
    </xf>
    <xf numFmtId="9" fontId="38" fillId="25" borderId="18" xfId="0" applyNumberFormat="1" applyFont="1" applyFill="1" applyBorder="1" applyAlignment="1">
      <alignment horizontal="left" vertical="top" wrapText="1"/>
    </xf>
    <xf numFmtId="0" fontId="38" fillId="25" borderId="51" xfId="0" applyFont="1" applyFill="1" applyBorder="1" applyAlignment="1">
      <alignment horizontal="left" vertical="top" wrapText="1"/>
    </xf>
    <xf numFmtId="9" fontId="48" fillId="0" borderId="18" xfId="0" applyNumberFormat="1" applyFont="1" applyBorder="1" applyAlignment="1">
      <alignment horizontal="left" vertical="top" wrapText="1"/>
    </xf>
    <xf numFmtId="0" fontId="48" fillId="0" borderId="51" xfId="0" applyFont="1" applyBorder="1" applyAlignment="1">
      <alignment horizontal="left" vertical="top" wrapText="1"/>
    </xf>
    <xf numFmtId="0" fontId="48" fillId="33" borderId="1" xfId="0" applyFont="1" applyFill="1" applyBorder="1" applyAlignment="1">
      <alignment horizontal="left" vertical="top" wrapText="1"/>
    </xf>
    <xf numFmtId="9" fontId="48" fillId="33" borderId="18" xfId="0" applyNumberFormat="1" applyFont="1" applyFill="1" applyBorder="1" applyAlignment="1">
      <alignment horizontal="left" vertical="top" wrapText="1"/>
    </xf>
    <xf numFmtId="0" fontId="48" fillId="33" borderId="51" xfId="0" applyFont="1" applyFill="1" applyBorder="1" applyAlignment="1">
      <alignment horizontal="left" vertical="top" wrapText="1"/>
    </xf>
    <xf numFmtId="9" fontId="48" fillId="25" borderId="18" xfId="0" applyNumberFormat="1" applyFont="1" applyFill="1" applyBorder="1" applyAlignment="1">
      <alignment horizontal="left" vertical="top" wrapText="1"/>
    </xf>
    <xf numFmtId="0" fontId="48" fillId="25" borderId="51" xfId="0" applyFont="1" applyFill="1" applyBorder="1" applyAlignment="1">
      <alignment horizontal="left" vertical="top" wrapText="1"/>
    </xf>
    <xf numFmtId="9" fontId="48" fillId="0" borderId="15" xfId="1" applyFont="1" applyFill="1" applyBorder="1" applyAlignment="1">
      <alignment horizontal="left" vertical="top" wrapText="1"/>
    </xf>
    <xf numFmtId="0" fontId="48" fillId="33" borderId="15" xfId="0" applyFont="1" applyFill="1" applyBorder="1" applyAlignment="1">
      <alignment horizontal="left" vertical="top" wrapText="1"/>
    </xf>
    <xf numFmtId="0" fontId="38" fillId="25" borderId="16" xfId="0" applyFont="1" applyFill="1" applyBorder="1" applyAlignment="1">
      <alignment horizontal="left" vertical="top"/>
    </xf>
    <xf numFmtId="9" fontId="38" fillId="25" borderId="15" xfId="0" applyNumberFormat="1" applyFont="1" applyFill="1" applyBorder="1" applyAlignment="1">
      <alignment horizontal="left" vertical="top" wrapText="1"/>
    </xf>
    <xf numFmtId="9" fontId="48" fillId="25" borderId="2" xfId="0" applyNumberFormat="1" applyFont="1" applyFill="1" applyBorder="1" applyAlignment="1">
      <alignment horizontal="left" vertical="top" wrapText="1"/>
    </xf>
    <xf numFmtId="9" fontId="38" fillId="25" borderId="2" xfId="0" applyNumberFormat="1" applyFont="1" applyFill="1" applyBorder="1" applyAlignment="1">
      <alignment horizontal="left" vertical="top" wrapText="1"/>
    </xf>
    <xf numFmtId="9" fontId="38" fillId="25" borderId="13" xfId="0" applyNumberFormat="1" applyFont="1" applyFill="1" applyBorder="1" applyAlignment="1">
      <alignment horizontal="left" vertical="top" wrapText="1"/>
    </xf>
    <xf numFmtId="0" fontId="27" fillId="0" borderId="0" xfId="0" applyFont="1"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0" fontId="22" fillId="26" borderId="1" xfId="0" applyFont="1" applyFill="1" applyBorder="1" applyAlignment="1">
      <alignment horizontal="center" vertical="top" wrapText="1"/>
    </xf>
    <xf numFmtId="0" fontId="22" fillId="26" borderId="11" xfId="0" applyFont="1" applyFill="1" applyBorder="1" applyAlignment="1">
      <alignment horizontal="center" vertical="top" wrapText="1"/>
    </xf>
    <xf numFmtId="0" fontId="0" fillId="0" borderId="1" xfId="0" applyBorder="1" applyAlignment="1">
      <alignment horizontal="left" vertical="top"/>
    </xf>
    <xf numFmtId="9" fontId="0" fillId="0" borderId="1" xfId="1" applyFont="1" applyBorder="1" applyAlignment="1">
      <alignment horizontal="left" vertical="top"/>
    </xf>
    <xf numFmtId="0" fontId="0" fillId="0" borderId="1" xfId="0" applyBorder="1" applyAlignment="1">
      <alignment horizontal="left"/>
    </xf>
    <xf numFmtId="0" fontId="36" fillId="0" borderId="34" xfId="0" applyFont="1" applyBorder="1" applyAlignment="1">
      <alignment horizontal="center" vertical="center" wrapText="1"/>
    </xf>
    <xf numFmtId="0" fontId="36" fillId="0" borderId="1" xfId="0" applyFont="1" applyBorder="1" applyAlignment="1">
      <alignment horizontal="center" vertical="center" wrapText="1"/>
    </xf>
    <xf numFmtId="0" fontId="0" fillId="0" borderId="34" xfId="0" applyBorder="1" applyAlignment="1">
      <alignment vertical="top"/>
    </xf>
    <xf numFmtId="9" fontId="0" fillId="0" borderId="15" xfId="1" applyFont="1" applyBorder="1" applyAlignment="1">
      <alignment horizontal="left" vertical="top"/>
    </xf>
    <xf numFmtId="0" fontId="0" fillId="0" borderId="12" xfId="0" applyBorder="1" applyAlignment="1">
      <alignment vertical="top"/>
    </xf>
    <xf numFmtId="0" fontId="0" fillId="0" borderId="13" xfId="0" applyBorder="1" applyAlignment="1">
      <alignment horizontal="left" vertical="top"/>
    </xf>
    <xf numFmtId="9" fontId="0" fillId="0" borderId="14" xfId="1" applyFont="1" applyBorder="1" applyAlignment="1">
      <alignment horizontal="left" vertical="top"/>
    </xf>
    <xf numFmtId="0" fontId="43" fillId="26" borderId="1" xfId="0" applyFont="1" applyFill="1" applyBorder="1" applyAlignment="1">
      <alignment horizontal="left" vertical="top" wrapText="1"/>
    </xf>
    <xf numFmtId="0" fontId="22" fillId="26" borderId="1" xfId="0" applyFont="1" applyFill="1" applyBorder="1" applyAlignment="1">
      <alignment horizontal="left"/>
    </xf>
    <xf numFmtId="9" fontId="22" fillId="26" borderId="1" xfId="1" applyFont="1" applyFill="1" applyBorder="1" applyAlignment="1">
      <alignment horizontal="left"/>
    </xf>
    <xf numFmtId="0" fontId="0" fillId="0" borderId="0" xfId="0" applyAlignment="1">
      <alignment wrapText="1"/>
    </xf>
    <xf numFmtId="0" fontId="20" fillId="0" borderId="0" xfId="0" applyFont="1"/>
    <xf numFmtId="0" fontId="38" fillId="25" borderId="38" xfId="0" applyFont="1" applyFill="1" applyBorder="1" applyAlignment="1">
      <alignment horizontal="left" vertical="top" wrapText="1"/>
    </xf>
    <xf numFmtId="9" fontId="38" fillId="25" borderId="39" xfId="0" applyNumberFormat="1" applyFont="1" applyFill="1" applyBorder="1" applyAlignment="1">
      <alignment horizontal="left" vertical="top" wrapText="1"/>
    </xf>
    <xf numFmtId="0" fontId="48" fillId="25" borderId="13" xfId="0" applyFont="1" applyFill="1" applyBorder="1" applyAlignment="1">
      <alignment horizontal="left" vertical="top" wrapText="1"/>
    </xf>
    <xf numFmtId="9" fontId="48" fillId="25" borderId="13" xfId="0" applyNumberFormat="1" applyFont="1" applyFill="1" applyBorder="1" applyAlignment="1">
      <alignment horizontal="left" vertical="top" wrapText="1"/>
    </xf>
    <xf numFmtId="0" fontId="14" fillId="9" borderId="1" xfId="0" applyFont="1" applyFill="1" applyBorder="1" applyAlignment="1">
      <alignment horizontal="left" vertical="top" wrapText="1"/>
    </xf>
    <xf numFmtId="0" fontId="14" fillId="10" borderId="1" xfId="0" applyFont="1" applyFill="1" applyBorder="1" applyAlignment="1">
      <alignment horizontal="left" vertical="top" wrapText="1"/>
    </xf>
    <xf numFmtId="9" fontId="38" fillId="25" borderId="1" xfId="0" applyNumberFormat="1" applyFont="1" applyFill="1" applyBorder="1" applyAlignment="1">
      <alignment horizontal="left" vertical="top"/>
    </xf>
    <xf numFmtId="0" fontId="48" fillId="25" borderId="46" xfId="0" applyFont="1" applyFill="1" applyBorder="1" applyAlignment="1">
      <alignment horizontal="left" vertical="top" wrapText="1"/>
    </xf>
    <xf numFmtId="0" fontId="38" fillId="15" borderId="1" xfId="0" applyFont="1" applyFill="1" applyBorder="1" applyAlignment="1">
      <alignment horizontal="left" vertical="top" wrapText="1"/>
    </xf>
    <xf numFmtId="9" fontId="38" fillId="15" borderId="1" xfId="0" applyNumberFormat="1" applyFont="1" applyFill="1" applyBorder="1" applyAlignment="1">
      <alignment horizontal="left" vertical="top" wrapText="1"/>
    </xf>
    <xf numFmtId="49" fontId="38" fillId="25" borderId="1" xfId="14" applyNumberFormat="1" applyFont="1" applyFill="1" applyBorder="1" applyAlignment="1">
      <alignment horizontal="left" vertical="top" wrapText="1"/>
    </xf>
    <xf numFmtId="0" fontId="38" fillId="25" borderId="46" xfId="0" applyFont="1" applyFill="1" applyBorder="1" applyAlignment="1">
      <alignment horizontal="left" vertical="top"/>
    </xf>
    <xf numFmtId="0" fontId="37" fillId="0" borderId="36" xfId="0" applyFont="1" applyBorder="1" applyAlignment="1">
      <alignment horizontal="left" vertical="top" wrapText="1"/>
    </xf>
    <xf numFmtId="9" fontId="48" fillId="25" borderId="44" xfId="0" applyNumberFormat="1" applyFont="1" applyFill="1" applyBorder="1" applyAlignment="1">
      <alignment horizontal="left" vertical="top" wrapText="1"/>
    </xf>
    <xf numFmtId="9" fontId="38" fillId="25" borderId="1" xfId="0" applyNumberFormat="1" applyFont="1" applyFill="1" applyBorder="1" applyAlignment="1">
      <alignment vertical="top" wrapText="1"/>
    </xf>
    <xf numFmtId="0" fontId="48" fillId="15" borderId="44" xfId="0" applyFont="1" applyFill="1" applyBorder="1" applyAlignment="1">
      <alignment horizontal="left" vertical="top" wrapText="1"/>
    </xf>
    <xf numFmtId="0" fontId="38" fillId="25" borderId="44" xfId="0" applyFont="1" applyFill="1" applyBorder="1" applyAlignment="1">
      <alignment horizontal="left" vertical="top" wrapText="1"/>
    </xf>
    <xf numFmtId="9" fontId="38" fillId="25" borderId="1" xfId="1" applyFont="1" applyFill="1" applyBorder="1" applyAlignment="1">
      <alignment horizontal="left" vertical="top" wrapText="1"/>
    </xf>
    <xf numFmtId="0" fontId="37" fillId="15" borderId="1" xfId="0" applyFont="1" applyFill="1" applyBorder="1" applyAlignment="1">
      <alignment horizontal="left" vertical="top" wrapText="1"/>
    </xf>
    <xf numFmtId="0" fontId="33" fillId="15" borderId="1" xfId="0" applyFont="1" applyFill="1" applyBorder="1" applyAlignment="1">
      <alignment horizontal="left" vertical="top" wrapText="1"/>
    </xf>
    <xf numFmtId="0" fontId="48" fillId="19" borderId="44" xfId="0" applyFont="1" applyFill="1" applyBorder="1" applyAlignment="1">
      <alignment horizontal="left" vertical="top" wrapText="1"/>
    </xf>
    <xf numFmtId="9" fontId="38" fillId="0" borderId="1" xfId="1" applyFont="1" applyBorder="1" applyAlignment="1">
      <alignment horizontal="left" vertical="top" wrapText="1"/>
    </xf>
    <xf numFmtId="0" fontId="3" fillId="0" borderId="1" xfId="0" applyFont="1" applyBorder="1" applyAlignment="1">
      <alignment horizontal="left" vertical="top" wrapText="1"/>
    </xf>
    <xf numFmtId="9" fontId="0" fillId="0" borderId="1" xfId="0" applyNumberFormat="1" applyBorder="1" applyAlignment="1">
      <alignment horizontal="left" vertical="top"/>
    </xf>
    <xf numFmtId="9" fontId="38" fillId="0" borderId="1" xfId="0" applyNumberFormat="1" applyFont="1" applyBorder="1" applyAlignment="1">
      <alignment horizontal="left" vertical="top"/>
    </xf>
    <xf numFmtId="9" fontId="3" fillId="0" borderId="1" xfId="1" applyFont="1" applyBorder="1" applyAlignment="1">
      <alignment horizontal="left" vertical="top"/>
    </xf>
    <xf numFmtId="9" fontId="48" fillId="25" borderId="59" xfId="0" applyNumberFormat="1" applyFont="1" applyFill="1" applyBorder="1" applyAlignment="1">
      <alignment horizontal="left" vertical="top" wrapText="1"/>
    </xf>
    <xf numFmtId="0" fontId="3" fillId="0" borderId="3" xfId="0" applyFont="1" applyBorder="1" applyAlignment="1">
      <alignment horizontal="left" vertical="top" wrapText="1"/>
    </xf>
    <xf numFmtId="0" fontId="38" fillId="10" borderId="58" xfId="0" applyFont="1" applyFill="1" applyBorder="1" applyAlignment="1">
      <alignment horizontal="center" vertical="top" wrapText="1"/>
    </xf>
    <xf numFmtId="0" fontId="39" fillId="10" borderId="58" xfId="0" applyFont="1" applyFill="1" applyBorder="1" applyAlignment="1">
      <alignment horizontal="left" vertical="top" wrapText="1"/>
    </xf>
    <xf numFmtId="9" fontId="39" fillId="10" borderId="58" xfId="0" applyNumberFormat="1" applyFont="1" applyFill="1" applyBorder="1" applyAlignment="1">
      <alignment horizontal="left" vertical="top" wrapText="1"/>
    </xf>
    <xf numFmtId="0" fontId="39" fillId="10" borderId="58" xfId="0" applyFont="1" applyFill="1" applyBorder="1" applyAlignment="1">
      <alignment horizontal="left" vertical="top"/>
    </xf>
    <xf numFmtId="9" fontId="39" fillId="10" borderId="57" xfId="1" applyFont="1" applyFill="1" applyBorder="1" applyAlignment="1">
      <alignment horizontal="left" vertical="top"/>
    </xf>
    <xf numFmtId="9" fontId="39" fillId="10" borderId="25" xfId="1" applyFont="1" applyFill="1" applyBorder="1" applyAlignment="1">
      <alignment horizontal="left" vertical="top"/>
    </xf>
    <xf numFmtId="9" fontId="0" fillId="0" borderId="3" xfId="0" applyNumberFormat="1" applyBorder="1" applyAlignment="1">
      <alignment horizontal="left" vertical="top"/>
    </xf>
    <xf numFmtId="0" fontId="3" fillId="0" borderId="0" xfId="0" applyFont="1"/>
    <xf numFmtId="0" fontId="3" fillId="26" borderId="1" xfId="0" applyFont="1" applyFill="1" applyBorder="1"/>
    <xf numFmtId="0" fontId="0" fillId="0" borderId="60" xfId="0" applyBorder="1"/>
    <xf numFmtId="0" fontId="3" fillId="0" borderId="1" xfId="0" applyFont="1" applyBorder="1"/>
    <xf numFmtId="0" fontId="3" fillId="0" borderId="1" xfId="0" applyFont="1" applyBorder="1" applyAlignment="1">
      <alignment horizontal="left"/>
    </xf>
    <xf numFmtId="0" fontId="20" fillId="0" borderId="1" xfId="0" applyFont="1" applyBorder="1" applyAlignment="1">
      <alignment horizontal="left"/>
    </xf>
    <xf numFmtId="0" fontId="36" fillId="0" borderId="15" xfId="0" applyFont="1" applyBorder="1" applyAlignment="1">
      <alignment horizontal="center" vertical="center" wrapText="1"/>
    </xf>
    <xf numFmtId="0" fontId="0" fillId="0" borderId="15" xfId="0" applyBorder="1" applyAlignment="1">
      <alignment horizontal="left" vertical="top"/>
    </xf>
    <xf numFmtId="0" fontId="0" fillId="0" borderId="14" xfId="0" applyBorder="1" applyAlignment="1">
      <alignment horizontal="left" vertical="top"/>
    </xf>
    <xf numFmtId="0" fontId="3" fillId="26" borderId="0" xfId="0" applyFont="1" applyFill="1"/>
    <xf numFmtId="0" fontId="5" fillId="18" borderId="1" xfId="0" applyFont="1" applyFill="1" applyBorder="1" applyAlignment="1">
      <alignment horizontal="left" vertical="top" wrapText="1"/>
    </xf>
    <xf numFmtId="0" fontId="15" fillId="27" borderId="1" xfId="0" applyFont="1" applyFill="1" applyBorder="1" applyAlignment="1">
      <alignment horizontal="left" vertical="top" wrapText="1"/>
    </xf>
    <xf numFmtId="0" fontId="15" fillId="4" borderId="1" xfId="0" applyFont="1" applyFill="1" applyBorder="1" applyAlignment="1">
      <alignment horizontal="left" vertical="top" wrapText="1"/>
    </xf>
    <xf numFmtId="0" fontId="14" fillId="4" borderId="1" xfId="3" applyFont="1" applyFill="1" applyBorder="1" applyAlignment="1">
      <alignment horizontal="left" vertical="top" wrapText="1"/>
    </xf>
    <xf numFmtId="0" fontId="14" fillId="28" borderId="1" xfId="0" applyFont="1" applyFill="1" applyBorder="1" applyAlignment="1">
      <alignment horizontal="left" vertical="top" wrapText="1"/>
    </xf>
    <xf numFmtId="0" fontId="14" fillId="35" borderId="1" xfId="0" applyFont="1" applyFill="1" applyBorder="1" applyAlignment="1">
      <alignment horizontal="left" vertical="top" wrapText="1"/>
    </xf>
    <xf numFmtId="0" fontId="13" fillId="25" borderId="0" xfId="0" applyFont="1" applyFill="1" applyAlignment="1">
      <alignment horizontal="left" vertical="top" wrapText="1"/>
    </xf>
    <xf numFmtId="0" fontId="5" fillId="28" borderId="1" xfId="0" applyFont="1" applyFill="1" applyBorder="1" applyAlignment="1">
      <alignment horizontal="left" vertical="top" wrapText="1"/>
    </xf>
    <xf numFmtId="0" fontId="5" fillId="15" borderId="1" xfId="0" applyFont="1" applyFill="1" applyBorder="1" applyAlignment="1">
      <alignment horizontal="left" vertical="top" wrapText="1"/>
    </xf>
    <xf numFmtId="0" fontId="14" fillId="21" borderId="1" xfId="0" applyFont="1" applyFill="1" applyBorder="1" applyAlignment="1">
      <alignment horizontal="left" vertical="top" wrapText="1"/>
    </xf>
    <xf numFmtId="0" fontId="15" fillId="27" borderId="4" xfId="0" applyFont="1" applyFill="1" applyBorder="1" applyAlignment="1">
      <alignment horizontal="left" vertical="top" wrapText="1"/>
    </xf>
    <xf numFmtId="0" fontId="18" fillId="15" borderId="1" xfId="0" applyFont="1" applyFill="1" applyBorder="1" applyAlignment="1" applyProtection="1">
      <alignment horizontal="left" vertical="top" wrapText="1"/>
      <protection locked="0"/>
    </xf>
    <xf numFmtId="0" fontId="18" fillId="23" borderId="1" xfId="0" applyFont="1" applyFill="1" applyBorder="1" applyAlignment="1" applyProtection="1">
      <alignment horizontal="left" vertical="top" wrapText="1"/>
      <protection locked="0"/>
    </xf>
    <xf numFmtId="165" fontId="14" fillId="25" borderId="1" xfId="0" applyNumberFormat="1" applyFont="1" applyFill="1" applyBorder="1" applyAlignment="1">
      <alignment horizontal="left" vertical="top" wrapText="1"/>
    </xf>
    <xf numFmtId="0" fontId="5" fillId="23" borderId="1" xfId="0" applyFont="1" applyFill="1" applyBorder="1" applyAlignment="1">
      <alignment horizontal="left" vertical="top" wrapText="1"/>
    </xf>
    <xf numFmtId="0" fontId="5" fillId="21"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0" fillId="0" borderId="0" xfId="0" applyFill="1" applyAlignment="1">
      <alignment horizontal="left" vertical="top" wrapText="1"/>
    </xf>
    <xf numFmtId="9" fontId="0" fillId="0" borderId="0" xfId="1" applyFont="1" applyFill="1" applyAlignment="1">
      <alignment horizontal="left" vertical="top" wrapText="1"/>
    </xf>
    <xf numFmtId="0" fontId="6" fillId="0" borderId="0" xfId="0" applyFont="1" applyFill="1" applyAlignment="1">
      <alignment horizontal="left" vertical="top" wrapText="1"/>
    </xf>
    <xf numFmtId="2" fontId="0" fillId="0" borderId="0" xfId="0" applyNumberFormat="1" applyFill="1" applyAlignment="1">
      <alignment horizontal="left" vertical="top" wrapText="1"/>
    </xf>
    <xf numFmtId="0" fontId="0" fillId="0" borderId="0" xfId="0" applyAlignment="1">
      <alignment vertical="top" wrapText="1"/>
    </xf>
    <xf numFmtId="0" fontId="15" fillId="6" borderId="1" xfId="0" applyFont="1" applyFill="1" applyBorder="1" applyAlignment="1">
      <alignment horizontal="left" vertical="top" wrapText="1"/>
    </xf>
    <xf numFmtId="0" fontId="18" fillId="25" borderId="1" xfId="0" applyFont="1" applyFill="1" applyBorder="1" applyAlignment="1">
      <alignment horizontal="left" vertical="top" wrapText="1"/>
    </xf>
    <xf numFmtId="0" fontId="61" fillId="15" borderId="1" xfId="0" applyFont="1" applyFill="1" applyBorder="1" applyAlignment="1">
      <alignment horizontal="left" vertical="top" wrapText="1"/>
    </xf>
    <xf numFmtId="0" fontId="61" fillId="15" borderId="13" xfId="0" applyFont="1" applyFill="1" applyBorder="1" applyAlignment="1">
      <alignment horizontal="left" vertical="top" wrapText="1"/>
    </xf>
    <xf numFmtId="0" fontId="61" fillId="4" borderId="1" xfId="0" applyFont="1" applyFill="1" applyBorder="1" applyAlignment="1">
      <alignment horizontal="left" vertical="top" wrapText="1"/>
    </xf>
    <xf numFmtId="0" fontId="18" fillId="12" borderId="1" xfId="0" applyFont="1" applyFill="1" applyBorder="1" applyAlignment="1">
      <alignment horizontal="left" vertical="top" wrapText="1"/>
    </xf>
    <xf numFmtId="0" fontId="15" fillId="12" borderId="1" xfId="0" applyFont="1" applyFill="1" applyBorder="1" applyAlignment="1">
      <alignment horizontal="left" vertical="top" wrapText="1"/>
    </xf>
    <xf numFmtId="167" fontId="18" fillId="25" borderId="1" xfId="0" applyNumberFormat="1" applyFont="1" applyFill="1" applyBorder="1" applyAlignment="1">
      <alignment horizontal="left" vertical="top" wrapText="1"/>
    </xf>
    <xf numFmtId="0" fontId="18" fillId="25" borderId="1" xfId="0" applyFont="1" applyFill="1" applyBorder="1" applyAlignment="1" applyProtection="1">
      <alignment horizontal="left" vertical="top" wrapText="1"/>
      <protection locked="0"/>
    </xf>
    <xf numFmtId="0" fontId="5" fillId="0" borderId="1" xfId="4" applyFont="1" applyBorder="1" applyAlignment="1">
      <alignment horizontal="left" vertical="top" wrapText="1"/>
    </xf>
    <xf numFmtId="0" fontId="5" fillId="0" borderId="2" xfId="4" applyFont="1" applyBorder="1" applyAlignment="1">
      <alignment horizontal="left" vertical="top" wrapText="1"/>
    </xf>
    <xf numFmtId="0" fontId="5" fillId="0" borderId="4" xfId="4" applyFont="1" applyBorder="1" applyAlignment="1">
      <alignment horizontal="left" vertical="top" wrapText="1"/>
    </xf>
    <xf numFmtId="0" fontId="5" fillId="0" borderId="3" xfId="4" applyFont="1" applyBorder="1" applyAlignment="1">
      <alignment horizontal="left" vertical="top" wrapText="1"/>
    </xf>
    <xf numFmtId="165" fontId="14" fillId="0" borderId="1" xfId="0" applyNumberFormat="1" applyFont="1" applyFill="1" applyBorder="1" applyAlignment="1">
      <alignment horizontal="left" vertical="top" wrapText="1"/>
    </xf>
    <xf numFmtId="10" fontId="14" fillId="0" borderId="1" xfId="1" applyNumberFormat="1" applyFont="1" applyFill="1" applyBorder="1" applyAlignment="1">
      <alignment horizontal="left" vertical="top" wrapText="1"/>
    </xf>
    <xf numFmtId="9" fontId="5" fillId="0" borderId="1" xfId="1" applyFont="1" applyFill="1" applyBorder="1" applyAlignment="1">
      <alignment horizontal="left" vertical="top" wrapText="1"/>
    </xf>
    <xf numFmtId="9" fontId="14" fillId="0" borderId="1" xfId="1" applyFont="1" applyFill="1" applyBorder="1" applyAlignment="1">
      <alignment horizontal="left" vertical="top" wrapText="1"/>
    </xf>
    <xf numFmtId="2"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0" xfId="0" applyFont="1" applyFill="1" applyAlignment="1">
      <alignment horizontal="left" vertical="top" wrapText="1"/>
    </xf>
    <xf numFmtId="10" fontId="14" fillId="0" borderId="0" xfId="1" applyNumberFormat="1" applyFont="1" applyFill="1" applyAlignment="1">
      <alignment horizontal="left" vertical="top" wrapText="1"/>
    </xf>
    <xf numFmtId="0" fontId="14" fillId="25" borderId="0" xfId="0" applyFont="1" applyFill="1" applyAlignment="1">
      <alignment horizontal="left" vertical="top" wrapText="1"/>
    </xf>
    <xf numFmtId="9" fontId="15" fillId="0" borderId="1" xfId="1" applyFont="1" applyFill="1" applyBorder="1" applyAlignment="1">
      <alignment horizontal="left" vertical="top" wrapText="1"/>
    </xf>
    <xf numFmtId="169" fontId="5" fillId="0" borderId="1" xfId="1" applyNumberFormat="1" applyFont="1" applyFill="1" applyBorder="1" applyAlignment="1">
      <alignment horizontal="left" vertical="top" wrapText="1"/>
    </xf>
    <xf numFmtId="169" fontId="14" fillId="0" borderId="1" xfId="1" applyNumberFormat="1" applyFont="1" applyFill="1" applyBorder="1" applyAlignment="1">
      <alignment horizontal="left" vertical="top" wrapText="1"/>
    </xf>
    <xf numFmtId="43" fontId="5" fillId="0" borderId="9" xfId="0" applyNumberFormat="1" applyFont="1" applyFill="1" applyBorder="1" applyAlignment="1">
      <alignment horizontal="left" vertical="top" wrapText="1"/>
    </xf>
    <xf numFmtId="166" fontId="5" fillId="0" borderId="10" xfId="0" applyNumberFormat="1" applyFont="1" applyFill="1" applyBorder="1" applyAlignment="1">
      <alignment horizontal="left" vertical="top" wrapText="1"/>
    </xf>
    <xf numFmtId="9" fontId="10" fillId="0" borderId="1" xfId="1" applyFont="1" applyFill="1" applyBorder="1" applyAlignment="1">
      <alignment horizontal="left" vertical="top" wrapText="1"/>
    </xf>
    <xf numFmtId="9" fontId="5" fillId="34" borderId="1" xfId="1" applyFont="1" applyFill="1" applyBorder="1" applyAlignment="1">
      <alignment horizontal="left" vertical="top" wrapText="1"/>
    </xf>
    <xf numFmtId="167" fontId="14" fillId="0" borderId="0" xfId="0" applyNumberFormat="1" applyFont="1" applyFill="1" applyAlignment="1">
      <alignment horizontal="left" vertical="top" wrapText="1"/>
    </xf>
    <xf numFmtId="14" fontId="18" fillId="0" borderId="1" xfId="6" applyNumberFormat="1" applyFont="1" applyBorder="1" applyAlignment="1" applyProtection="1">
      <alignment horizontal="left" vertical="top" wrapText="1"/>
      <protection locked="0"/>
    </xf>
    <xf numFmtId="0" fontId="14" fillId="0" borderId="3" xfId="0" applyFont="1" applyFill="1" applyBorder="1" applyAlignment="1">
      <alignment horizontal="left" vertical="top" wrapText="1"/>
    </xf>
    <xf numFmtId="2" fontId="14" fillId="0" borderId="3" xfId="0" applyNumberFormat="1" applyFont="1" applyFill="1" applyBorder="1" applyAlignment="1">
      <alignment horizontal="left" vertical="top" wrapText="1"/>
    </xf>
    <xf numFmtId="0" fontId="5" fillId="0" borderId="0" xfId="0" applyFont="1" applyFill="1" applyAlignment="1">
      <alignment horizontal="left" vertical="top" wrapText="1"/>
    </xf>
    <xf numFmtId="0" fontId="5" fillId="25" borderId="0" xfId="0" applyFont="1" applyFill="1" applyAlignment="1">
      <alignment horizontal="left" vertical="top" wrapText="1"/>
    </xf>
    <xf numFmtId="2" fontId="14" fillId="0" borderId="0" xfId="0" applyNumberFormat="1" applyFont="1" applyFill="1" applyAlignment="1">
      <alignment horizontal="left" vertical="top" wrapText="1"/>
    </xf>
    <xf numFmtId="0" fontId="15" fillId="18" borderId="1" xfId="0" applyFont="1" applyFill="1" applyBorder="1" applyAlignment="1">
      <alignment horizontal="left" vertical="top" wrapText="1"/>
    </xf>
    <xf numFmtId="0" fontId="14" fillId="4" borderId="1" xfId="0" applyFont="1" applyFill="1" applyBorder="1" applyAlignment="1">
      <alignment horizontal="left" vertical="top" wrapText="1"/>
    </xf>
    <xf numFmtId="0" fontId="14" fillId="23" borderId="1" xfId="0" applyFont="1" applyFill="1" applyBorder="1" applyAlignment="1">
      <alignment horizontal="left" vertical="top" wrapText="1"/>
    </xf>
    <xf numFmtId="0" fontId="5" fillId="3" borderId="1" xfId="0" applyFont="1" applyFill="1" applyBorder="1" applyAlignment="1">
      <alignment horizontal="left" vertical="top" wrapText="1"/>
    </xf>
    <xf numFmtId="10" fontId="0" fillId="0" borderId="0" xfId="1" applyNumberFormat="1" applyFont="1" applyFill="1" applyAlignment="1">
      <alignment horizontal="left" vertical="top" wrapText="1"/>
    </xf>
    <xf numFmtId="9" fontId="14" fillId="0" borderId="1" xfId="1" applyNumberFormat="1" applyFont="1" applyFill="1" applyBorder="1" applyAlignment="1">
      <alignment horizontal="left" vertical="top" wrapText="1"/>
    </xf>
    <xf numFmtId="0" fontId="33" fillId="25" borderId="7" xfId="0" applyFont="1" applyFill="1" applyBorder="1" applyAlignment="1">
      <alignment vertical="top" wrapText="1"/>
    </xf>
    <xf numFmtId="0" fontId="33" fillId="25" borderId="1" xfId="0" applyFont="1" applyFill="1" applyBorder="1" applyAlignment="1">
      <alignment vertical="top" wrapText="1"/>
    </xf>
    <xf numFmtId="9" fontId="48" fillId="25" borderId="1" xfId="1" applyFont="1" applyFill="1" applyBorder="1" applyAlignment="1">
      <alignment horizontal="left" vertical="top" wrapText="1"/>
    </xf>
    <xf numFmtId="9" fontId="48" fillId="33" borderId="46" xfId="0" applyNumberFormat="1" applyFont="1" applyFill="1" applyBorder="1" applyAlignment="1">
      <alignment horizontal="left" vertical="top" wrapText="1"/>
    </xf>
    <xf numFmtId="0" fontId="34" fillId="32" borderId="16" xfId="0" applyFont="1" applyFill="1" applyBorder="1" applyAlignment="1">
      <alignment horizontal="center" vertical="center" wrapText="1"/>
    </xf>
    <xf numFmtId="0" fontId="48" fillId="0" borderId="1" xfId="0" applyFont="1" applyBorder="1" applyAlignment="1">
      <alignment vertical="top" wrapText="1"/>
    </xf>
    <xf numFmtId="0" fontId="15" fillId="0" borderId="0" xfId="0" applyFont="1" applyBorder="1" applyAlignment="1">
      <alignment vertical="center"/>
    </xf>
    <xf numFmtId="165" fontId="71" fillId="0"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5" fillId="11" borderId="1" xfId="0" applyFont="1" applyFill="1" applyBorder="1" applyAlignment="1">
      <alignment horizontal="left" vertical="top" wrapText="1"/>
    </xf>
    <xf numFmtId="0" fontId="5" fillId="14" borderId="1" xfId="0" applyFont="1" applyFill="1" applyBorder="1" applyAlignment="1">
      <alignment horizontal="left" vertical="top" wrapText="1"/>
    </xf>
    <xf numFmtId="0" fontId="11" fillId="23" borderId="1" xfId="0" applyFont="1" applyFill="1" applyBorder="1" applyAlignment="1" applyProtection="1">
      <alignment horizontal="left" vertical="top" wrapText="1"/>
      <protection locked="0"/>
    </xf>
    <xf numFmtId="0" fontId="6" fillId="0" borderId="1" xfId="0" applyFont="1" applyFill="1" applyBorder="1" applyAlignment="1">
      <alignment horizontal="left" vertical="top" wrapText="1"/>
    </xf>
    <xf numFmtId="167" fontId="15" fillId="25" borderId="1" xfId="11" applyNumberFormat="1" applyFont="1" applyFill="1" applyBorder="1" applyAlignment="1">
      <alignment horizontal="left" vertical="top" wrapText="1"/>
    </xf>
    <xf numFmtId="168" fontId="15" fillId="25" borderId="1" xfId="11" applyNumberFormat="1" applyFont="1" applyFill="1" applyBorder="1" applyAlignment="1">
      <alignment horizontal="left" vertical="top" wrapText="1"/>
    </xf>
    <xf numFmtId="167" fontId="18" fillId="25" borderId="15" xfId="11" applyNumberFormat="1" applyFont="1" applyFill="1" applyBorder="1" applyAlignment="1">
      <alignment horizontal="left" vertical="top" wrapText="1"/>
    </xf>
    <xf numFmtId="167" fontId="18" fillId="25" borderId="16" xfId="11" applyNumberFormat="1" applyFont="1" applyFill="1" applyBorder="1" applyAlignment="1">
      <alignment horizontal="left" vertical="top" wrapText="1"/>
    </xf>
    <xf numFmtId="167" fontId="18" fillId="25" borderId="1" xfId="11" applyNumberFormat="1" applyFont="1" applyFill="1" applyBorder="1" applyAlignment="1">
      <alignment horizontal="left" vertical="top" wrapText="1"/>
    </xf>
    <xf numFmtId="44" fontId="18" fillId="25" borderId="1" xfId="11" applyFont="1" applyFill="1" applyBorder="1" applyAlignment="1">
      <alignment horizontal="left" vertical="top" wrapText="1"/>
    </xf>
    <xf numFmtId="167" fontId="15" fillId="25" borderId="1" xfId="12" applyNumberFormat="1" applyFont="1" applyFill="1" applyBorder="1" applyAlignment="1">
      <alignment horizontal="left" vertical="top" wrapText="1"/>
    </xf>
    <xf numFmtId="14" fontId="71" fillId="0" borderId="1" xfId="0" applyNumberFormat="1" applyFont="1" applyFill="1" applyBorder="1" applyAlignment="1">
      <alignment horizontal="left" vertical="top" wrapText="1"/>
    </xf>
    <xf numFmtId="6" fontId="14" fillId="36" borderId="1" xfId="0" applyNumberFormat="1" applyFont="1" applyFill="1" applyBorder="1" applyAlignment="1">
      <alignment horizontal="left" vertical="top" wrapText="1"/>
    </xf>
    <xf numFmtId="6" fontId="14" fillId="36" borderId="18" xfId="0" applyNumberFormat="1" applyFont="1" applyFill="1" applyBorder="1" applyAlignment="1">
      <alignment horizontal="left" vertical="top" wrapText="1"/>
    </xf>
    <xf numFmtId="6" fontId="14" fillId="25" borderId="1" xfId="0" applyNumberFormat="1" applyFont="1" applyFill="1" applyBorder="1" applyAlignment="1">
      <alignment horizontal="left" vertical="top" wrapText="1"/>
    </xf>
    <xf numFmtId="170" fontId="15" fillId="25" borderId="4" xfId="10" applyNumberFormat="1" applyFont="1" applyFill="1" applyBorder="1" applyAlignment="1">
      <alignment horizontal="left" vertical="top" wrapText="1"/>
    </xf>
    <xf numFmtId="170" fontId="14" fillId="25" borderId="1" xfId="0" applyNumberFormat="1" applyFont="1" applyFill="1" applyBorder="1" applyAlignment="1">
      <alignment horizontal="left" vertical="top" wrapText="1"/>
    </xf>
    <xf numFmtId="170" fontId="15" fillId="25" borderId="1" xfId="10" applyNumberFormat="1" applyFont="1" applyFill="1" applyBorder="1" applyAlignment="1">
      <alignment horizontal="left" vertical="top" wrapText="1"/>
    </xf>
    <xf numFmtId="170" fontId="14" fillId="25" borderId="1" xfId="11" applyNumberFormat="1" applyFont="1" applyFill="1" applyBorder="1" applyAlignment="1">
      <alignment horizontal="left" vertical="top" wrapText="1"/>
    </xf>
    <xf numFmtId="167" fontId="14" fillId="25" borderId="1" xfId="11" applyNumberFormat="1" applyFont="1" applyFill="1" applyBorder="1" applyAlignment="1">
      <alignment horizontal="left" vertical="top" wrapText="1"/>
    </xf>
    <xf numFmtId="14" fontId="71" fillId="0" borderId="8" xfId="0" applyNumberFormat="1" applyFont="1" applyFill="1" applyBorder="1" applyAlignment="1">
      <alignment horizontal="left" vertical="top" wrapText="1"/>
    </xf>
    <xf numFmtId="0" fontId="70" fillId="0" borderId="0" xfId="0" applyFont="1" applyFill="1" applyAlignment="1">
      <alignment horizontal="left" vertical="top" wrapText="1"/>
    </xf>
    <xf numFmtId="0" fontId="72" fillId="0" borderId="0" xfId="0" applyFont="1" applyFill="1" applyAlignment="1">
      <alignment horizontal="left" vertical="top" wrapText="1"/>
    </xf>
    <xf numFmtId="10" fontId="63" fillId="2" borderId="1" xfId="1" applyNumberFormat="1" applyFont="1" applyFill="1" applyBorder="1" applyAlignment="1">
      <alignment horizontal="left" vertical="top" wrapText="1"/>
    </xf>
    <xf numFmtId="2" fontId="63" fillId="2" borderId="1" xfId="0" applyNumberFormat="1" applyFont="1" applyFill="1" applyBorder="1" applyAlignment="1">
      <alignment horizontal="left" vertical="top" wrapText="1"/>
    </xf>
    <xf numFmtId="0" fontId="63" fillId="2" borderId="4" xfId="0" applyFont="1" applyFill="1" applyBorder="1" applyAlignment="1">
      <alignment horizontal="left" vertical="top" wrapText="1"/>
    </xf>
    <xf numFmtId="0" fontId="63" fillId="2" borderId="4" xfId="0" applyFont="1" applyFill="1" applyBorder="1" applyAlignment="1">
      <alignment horizontal="left" vertical="top"/>
    </xf>
    <xf numFmtId="0" fontId="76" fillId="2" borderId="2" xfId="0" applyFont="1" applyFill="1" applyBorder="1" applyAlignment="1">
      <alignment horizontal="left" vertical="top" wrapText="1"/>
    </xf>
    <xf numFmtId="2" fontId="79" fillId="0" borderId="0" xfId="0" applyNumberFormat="1" applyFont="1" applyFill="1" applyAlignment="1">
      <alignment horizontal="left" vertical="top" wrapText="1"/>
    </xf>
    <xf numFmtId="0" fontId="79" fillId="0" borderId="0" xfId="0" applyFont="1" applyFill="1" applyAlignment="1">
      <alignment horizontal="left" vertical="top" wrapText="1"/>
    </xf>
    <xf numFmtId="2" fontId="3" fillId="0" borderId="0" xfId="0" applyNumberFormat="1" applyFont="1" applyFill="1" applyAlignment="1">
      <alignment horizontal="left" vertical="top" wrapText="1"/>
    </xf>
    <xf numFmtId="0" fontId="76" fillId="2" borderId="1" xfId="0" applyFont="1" applyFill="1" applyBorder="1" applyAlignment="1">
      <alignment horizontal="left" vertical="top" wrapText="1"/>
    </xf>
    <xf numFmtId="167" fontId="14" fillId="0" borderId="1" xfId="1" applyNumberFormat="1" applyFont="1" applyFill="1" applyBorder="1" applyAlignment="1">
      <alignment horizontal="left" vertical="top" wrapText="1"/>
    </xf>
    <xf numFmtId="9" fontId="14" fillId="0" borderId="3" xfId="1" applyFont="1" applyFill="1" applyBorder="1" applyAlignment="1">
      <alignment horizontal="left" vertical="top" wrapText="1"/>
    </xf>
    <xf numFmtId="0" fontId="14" fillId="0" borderId="1" xfId="1" applyNumberFormat="1" applyFont="1" applyFill="1" applyBorder="1" applyAlignment="1">
      <alignment horizontal="left" vertical="top" wrapText="1"/>
    </xf>
    <xf numFmtId="0" fontId="14" fillId="0" borderId="3" xfId="1" applyNumberFormat="1" applyFont="1" applyFill="1" applyBorder="1" applyAlignment="1">
      <alignment horizontal="left" vertical="top" wrapText="1"/>
    </xf>
    <xf numFmtId="0" fontId="82" fillId="0" borderId="1" xfId="15" applyNumberFormat="1" applyFill="1" applyBorder="1" applyAlignment="1">
      <alignment horizontal="left" vertical="top" wrapText="1"/>
    </xf>
    <xf numFmtId="9" fontId="14" fillId="37" borderId="1" xfId="1" applyFont="1" applyFill="1" applyBorder="1" applyAlignment="1">
      <alignment horizontal="left" vertical="top" wrapText="1"/>
    </xf>
    <xf numFmtId="9" fontId="14" fillId="13" borderId="1" xfId="1" applyNumberFormat="1" applyFont="1" applyFill="1" applyBorder="1" applyAlignment="1">
      <alignment horizontal="left" vertical="top" wrapText="1"/>
    </xf>
    <xf numFmtId="9" fontId="14" fillId="25" borderId="1" xfId="1" applyNumberFormat="1" applyFont="1" applyFill="1" applyBorder="1" applyAlignment="1">
      <alignment horizontal="left" vertical="top" wrapText="1"/>
    </xf>
    <xf numFmtId="167" fontId="14" fillId="3" borderId="1" xfId="11" applyNumberFormat="1" applyFont="1" applyFill="1" applyBorder="1" applyAlignment="1">
      <alignment horizontal="left" vertical="top" wrapText="1"/>
    </xf>
    <xf numFmtId="167" fontId="15" fillId="3" borderId="1" xfId="11" applyNumberFormat="1" applyFont="1" applyFill="1" applyBorder="1" applyAlignment="1">
      <alignment horizontal="left" vertical="top" wrapText="1"/>
    </xf>
    <xf numFmtId="168" fontId="15" fillId="3" borderId="1" xfId="11" applyNumberFormat="1" applyFont="1" applyFill="1" applyBorder="1" applyAlignment="1">
      <alignment horizontal="left" vertical="top" wrapText="1"/>
    </xf>
    <xf numFmtId="167" fontId="15" fillId="27" borderId="1" xfId="11" applyNumberFormat="1" applyFont="1" applyFill="1" applyBorder="1" applyAlignment="1">
      <alignment horizontal="left" vertical="top" wrapText="1"/>
    </xf>
    <xf numFmtId="167" fontId="18" fillId="3" borderId="1" xfId="11" applyNumberFormat="1" applyFont="1" applyFill="1" applyBorder="1" applyAlignment="1">
      <alignment horizontal="left" vertical="top" wrapText="1"/>
    </xf>
    <xf numFmtId="167" fontId="15" fillId="3" borderId="1" xfId="12" applyNumberFormat="1" applyFont="1" applyFill="1" applyBorder="1" applyAlignment="1">
      <alignment horizontal="left" vertical="top" wrapText="1"/>
    </xf>
    <xf numFmtId="168" fontId="15" fillId="27" borderId="1" xfId="11" applyNumberFormat="1" applyFont="1" applyFill="1" applyBorder="1" applyAlignment="1">
      <alignment horizontal="left" vertical="top" wrapText="1"/>
    </xf>
    <xf numFmtId="44" fontId="14" fillId="0" borderId="1" xfId="11" applyFont="1" applyFill="1" applyBorder="1" applyAlignment="1">
      <alignment horizontal="left" vertical="top" wrapText="1"/>
    </xf>
    <xf numFmtId="167" fontId="14" fillId="0" borderId="1" xfId="11" applyNumberFormat="1" applyFont="1" applyFill="1" applyBorder="1" applyAlignment="1">
      <alignment horizontal="left" vertical="top" wrapText="1"/>
    </xf>
    <xf numFmtId="44" fontId="14" fillId="25" borderId="1" xfId="11" applyFont="1" applyFill="1" applyBorder="1" applyAlignment="1">
      <alignment horizontal="left" vertical="top" wrapText="1"/>
    </xf>
    <xf numFmtId="167" fontId="14" fillId="25" borderId="1" xfId="0" applyNumberFormat="1" applyFont="1" applyFill="1" applyBorder="1" applyAlignment="1">
      <alignment horizontal="left" vertical="top" wrapText="1"/>
    </xf>
    <xf numFmtId="167" fontId="14" fillId="27" borderId="1" xfId="11" applyNumberFormat="1" applyFont="1" applyFill="1" applyBorder="1" applyAlignment="1">
      <alignment horizontal="left" vertical="top" wrapText="1"/>
    </xf>
    <xf numFmtId="9" fontId="14" fillId="25" borderId="1" xfId="1" applyFont="1" applyFill="1" applyBorder="1" applyAlignment="1">
      <alignment horizontal="left" vertical="top" wrapText="1"/>
    </xf>
    <xf numFmtId="0" fontId="5" fillId="23" borderId="2" xfId="0" applyFont="1" applyFill="1" applyBorder="1" applyAlignment="1">
      <alignment horizontal="center" vertical="top" wrapText="1"/>
    </xf>
    <xf numFmtId="0" fontId="14" fillId="0" borderId="3" xfId="0" applyFont="1" applyFill="1" applyBorder="1" applyAlignment="1">
      <alignment horizontal="center" vertical="top" wrapText="1"/>
    </xf>
    <xf numFmtId="6" fontId="14" fillId="25" borderId="2" xfId="0" applyNumberFormat="1" applyFont="1" applyFill="1" applyBorder="1" applyAlignment="1">
      <alignment horizontal="left" vertical="top" wrapText="1"/>
    </xf>
    <xf numFmtId="6" fontId="14" fillId="25" borderId="0" xfId="0" applyNumberFormat="1" applyFont="1" applyFill="1" applyAlignment="1">
      <alignment horizontal="left" vertical="top" wrapText="1"/>
    </xf>
    <xf numFmtId="167" fontId="18" fillId="9" borderId="1" xfId="11" applyNumberFormat="1" applyFont="1" applyFill="1" applyBorder="1" applyAlignment="1">
      <alignment horizontal="left" vertical="top" wrapText="1"/>
    </xf>
    <xf numFmtId="0" fontId="14" fillId="4" borderId="3" xfId="0" applyFont="1" applyFill="1" applyBorder="1" applyAlignment="1">
      <alignment vertical="top" wrapText="1"/>
    </xf>
    <xf numFmtId="0" fontId="14" fillId="4" borderId="1" xfId="0" applyFont="1" applyFill="1" applyBorder="1" applyAlignment="1">
      <alignment vertical="top" wrapText="1"/>
    </xf>
    <xf numFmtId="0" fontId="34" fillId="32" borderId="3" xfId="0" applyFont="1" applyFill="1" applyBorder="1" applyAlignment="1">
      <alignment horizontal="center" vertical="center" wrapText="1"/>
    </xf>
    <xf numFmtId="0" fontId="34" fillId="32" borderId="0" xfId="0" applyFont="1" applyFill="1" applyBorder="1" applyAlignment="1">
      <alignment horizontal="center" vertical="center" wrapText="1"/>
    </xf>
    <xf numFmtId="9" fontId="14" fillId="9" borderId="1" xfId="1" applyFont="1" applyFill="1" applyBorder="1" applyAlignment="1">
      <alignment horizontal="left" vertical="top" wrapText="1"/>
    </xf>
    <xf numFmtId="0" fontId="82" fillId="0" borderId="0" xfId="15"/>
    <xf numFmtId="9" fontId="14" fillId="28" borderId="1" xfId="1" applyFont="1" applyFill="1" applyBorder="1" applyAlignment="1">
      <alignment horizontal="left" vertical="top" wrapText="1"/>
    </xf>
    <xf numFmtId="170" fontId="15" fillId="37" borderId="1" xfId="10" applyNumberFormat="1" applyFont="1" applyFill="1" applyBorder="1" applyAlignment="1">
      <alignment horizontal="left" vertical="top" wrapText="1"/>
    </xf>
    <xf numFmtId="0" fontId="11" fillId="23" borderId="2" xfId="0" applyFont="1" applyFill="1" applyBorder="1" applyAlignment="1" applyProtection="1">
      <alignment vertical="top" wrapText="1"/>
      <protection locked="0"/>
    </xf>
    <xf numFmtId="0" fontId="18" fillId="23" borderId="1" xfId="0" applyFont="1" applyFill="1" applyBorder="1" applyAlignment="1" applyProtection="1">
      <alignment vertical="top" wrapText="1"/>
      <protection locked="0"/>
    </xf>
    <xf numFmtId="0" fontId="84" fillId="25" borderId="1" xfId="0" applyFont="1" applyFill="1" applyBorder="1" applyAlignment="1">
      <alignment horizontal="left" vertical="top" wrapText="1"/>
    </xf>
    <xf numFmtId="9" fontId="13" fillId="0" borderId="1" xfId="1" applyFont="1" applyFill="1" applyBorder="1" applyAlignment="1">
      <alignment horizontal="left" vertical="top" wrapText="1"/>
    </xf>
    <xf numFmtId="0" fontId="13" fillId="0" borderId="1" xfId="1" applyNumberFormat="1" applyFont="1" applyFill="1" applyBorder="1" applyAlignment="1">
      <alignment horizontal="left" vertical="top" wrapText="1"/>
    </xf>
    <xf numFmtId="9" fontId="86" fillId="0" borderId="1" xfId="1" applyFont="1" applyFill="1" applyBorder="1" applyAlignment="1">
      <alignment horizontal="left" vertical="top" wrapText="1"/>
    </xf>
    <xf numFmtId="0" fontId="82" fillId="0" borderId="2" xfId="16" applyNumberFormat="1" applyFill="1" applyBorder="1" applyAlignment="1">
      <alignment horizontal="left" vertical="top" wrapText="1"/>
    </xf>
    <xf numFmtId="9" fontId="14" fillId="25" borderId="2" xfId="1" applyNumberFormat="1" applyFont="1" applyFill="1" applyBorder="1" applyAlignment="1">
      <alignment horizontal="left" vertical="top" wrapText="1"/>
    </xf>
    <xf numFmtId="9" fontId="86" fillId="0" borderId="2" xfId="1" applyFont="1" applyFill="1" applyBorder="1" applyAlignment="1">
      <alignment horizontal="left" vertical="top" wrapText="1"/>
    </xf>
    <xf numFmtId="9" fontId="14" fillId="25" borderId="3" xfId="1" applyNumberFormat="1" applyFont="1" applyFill="1" applyBorder="1" applyAlignment="1">
      <alignment horizontal="left" vertical="top" wrapText="1"/>
    </xf>
    <xf numFmtId="9" fontId="14" fillId="0" borderId="21" xfId="1" applyFont="1" applyFill="1" applyBorder="1" applyAlignment="1">
      <alignment horizontal="left" vertical="top" wrapText="1"/>
    </xf>
    <xf numFmtId="0" fontId="3" fillId="0" borderId="1" xfId="0" applyFont="1" applyFill="1" applyBorder="1" applyAlignment="1">
      <alignment horizontal="left" vertical="top" wrapText="1"/>
    </xf>
    <xf numFmtId="0" fontId="82" fillId="0" borderId="3" xfId="16" applyNumberFormat="1" applyFill="1" applyBorder="1" applyAlignment="1">
      <alignment horizontal="left" vertical="top" wrapText="1"/>
    </xf>
    <xf numFmtId="0" fontId="87" fillId="0" borderId="0" xfId="0" applyFont="1" applyFill="1" applyAlignment="1">
      <alignment horizontal="left" wrapText="1"/>
    </xf>
    <xf numFmtId="0" fontId="82" fillId="0" borderId="1" xfId="16" applyNumberFormat="1" applyFill="1" applyBorder="1" applyAlignment="1">
      <alignment horizontal="left" vertical="top" wrapText="1"/>
    </xf>
    <xf numFmtId="2" fontId="82" fillId="0" borderId="1" xfId="16" applyNumberFormat="1" applyFill="1" applyBorder="1" applyAlignment="1">
      <alignment horizontal="left" vertical="top" wrapText="1"/>
    </xf>
    <xf numFmtId="0" fontId="5" fillId="0" borderId="1" xfId="1" applyNumberFormat="1" applyFont="1" applyFill="1" applyBorder="1" applyAlignment="1">
      <alignment horizontal="left" vertical="top" wrapText="1"/>
    </xf>
    <xf numFmtId="0" fontId="82" fillId="0" borderId="0" xfId="16" applyFill="1" applyAlignment="1">
      <alignment horizontal="left" wrapText="1"/>
    </xf>
    <xf numFmtId="0" fontId="82" fillId="0" borderId="82" xfId="16" applyFill="1" applyBorder="1" applyAlignment="1">
      <alignment horizontal="left" vertical="center" wrapText="1"/>
    </xf>
    <xf numFmtId="0" fontId="82" fillId="0" borderId="83" xfId="16" applyFill="1" applyBorder="1" applyAlignment="1">
      <alignment horizontal="left" vertical="center" wrapText="1"/>
    </xf>
    <xf numFmtId="0" fontId="18" fillId="25" borderId="2" xfId="0" applyFont="1" applyFill="1" applyBorder="1" applyAlignment="1" applyProtection="1">
      <alignment horizontal="left" vertical="top" wrapText="1"/>
      <protection locked="0"/>
    </xf>
    <xf numFmtId="10" fontId="5" fillId="0" borderId="9" xfId="0" applyNumberFormat="1" applyFont="1" applyFill="1" applyBorder="1" applyAlignment="1">
      <alignment horizontal="left" vertical="top" wrapText="1"/>
    </xf>
    <xf numFmtId="9" fontId="5" fillId="0" borderId="10" xfId="1" applyFont="1" applyFill="1" applyBorder="1" applyAlignment="1">
      <alignment horizontal="left" vertical="top" wrapText="1"/>
    </xf>
    <xf numFmtId="10" fontId="5" fillId="0" borderId="9" xfId="1" applyNumberFormat="1" applyFont="1" applyFill="1" applyBorder="1" applyAlignment="1">
      <alignment horizontal="left" vertical="top" wrapText="1"/>
    </xf>
    <xf numFmtId="9" fontId="37" fillId="3" borderId="1" xfId="0" applyNumberFormat="1" applyFont="1" applyFill="1" applyBorder="1" applyAlignment="1">
      <alignment horizontal="left" vertical="top" wrapText="1"/>
    </xf>
    <xf numFmtId="9" fontId="37" fillId="17" borderId="1" xfId="0" applyNumberFormat="1" applyFont="1" applyFill="1" applyBorder="1" applyAlignment="1">
      <alignment horizontal="left" vertical="top" wrapText="1"/>
    </xf>
    <xf numFmtId="0" fontId="0" fillId="0" borderId="0" xfId="0" applyFill="1" applyBorder="1"/>
    <xf numFmtId="0" fontId="0" fillId="0" borderId="0" xfId="0" applyNumberFormat="1"/>
    <xf numFmtId="9" fontId="0" fillId="0" borderId="0" xfId="1" applyFont="1"/>
    <xf numFmtId="169" fontId="22" fillId="26" borderId="1" xfId="1" applyNumberFormat="1" applyFont="1" applyFill="1" applyBorder="1" applyAlignment="1">
      <alignment horizontal="left"/>
    </xf>
    <xf numFmtId="9" fontId="33" fillId="38" borderId="1" xfId="0" applyNumberFormat="1" applyFont="1" applyFill="1" applyBorder="1" applyAlignment="1">
      <alignment horizontal="left" vertical="top" wrapText="1"/>
    </xf>
    <xf numFmtId="9" fontId="33" fillId="38" borderId="2" xfId="0" applyNumberFormat="1" applyFont="1" applyFill="1" applyBorder="1" applyAlignment="1">
      <alignment horizontal="left" vertical="top" wrapText="1"/>
    </xf>
    <xf numFmtId="9" fontId="48" fillId="38" borderId="44" xfId="0" applyNumberFormat="1" applyFont="1" applyFill="1" applyBorder="1" applyAlignment="1">
      <alignment horizontal="left" vertical="top" wrapText="1"/>
    </xf>
    <xf numFmtId="9" fontId="38" fillId="38" borderId="1" xfId="0" applyNumberFormat="1" applyFont="1" applyFill="1" applyBorder="1" applyAlignment="1">
      <alignment horizontal="left" vertical="top" wrapText="1"/>
    </xf>
    <xf numFmtId="9" fontId="48" fillId="38" borderId="2" xfId="0" applyNumberFormat="1" applyFont="1" applyFill="1" applyBorder="1" applyAlignment="1">
      <alignment horizontal="left" vertical="top" wrapText="1"/>
    </xf>
    <xf numFmtId="9" fontId="38" fillId="25" borderId="3" xfId="0" applyNumberFormat="1" applyFont="1" applyFill="1" applyBorder="1" applyAlignment="1">
      <alignment horizontal="left" vertical="top" wrapText="1"/>
    </xf>
    <xf numFmtId="9" fontId="33" fillId="16"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1" xfId="0" applyNumberFormat="1" applyBorder="1"/>
    <xf numFmtId="9" fontId="0" fillId="0" borderId="1" xfId="1" applyFont="1" applyBorder="1"/>
    <xf numFmtId="9" fontId="0" fillId="0" borderId="1" xfId="0" applyNumberFormat="1" applyBorder="1" applyAlignment="1">
      <alignment horizontal="left" vertical="top" wrapText="1"/>
    </xf>
    <xf numFmtId="0" fontId="0" fillId="0" borderId="1" xfId="11" applyNumberFormat="1" applyFont="1" applyBorder="1"/>
    <xf numFmtId="0" fontId="0" fillId="0" borderId="1" xfId="0" applyNumberFormat="1" applyBorder="1" applyAlignment="1">
      <alignment wrapText="1"/>
    </xf>
    <xf numFmtId="9" fontId="0" fillId="0" borderId="1" xfId="1" applyFont="1" applyBorder="1" applyAlignment="1">
      <alignment wrapText="1"/>
    </xf>
    <xf numFmtId="9" fontId="0" fillId="0" borderId="1" xfId="0" applyNumberFormat="1" applyBorder="1"/>
    <xf numFmtId="0" fontId="3" fillId="26" borderId="1" xfId="0" applyFont="1" applyFill="1" applyBorder="1" applyAlignment="1">
      <alignment horizontal="left" vertical="top" wrapText="1"/>
    </xf>
    <xf numFmtId="0" fontId="0" fillId="26" borderId="1" xfId="0" applyNumberFormat="1" applyFill="1" applyBorder="1"/>
    <xf numFmtId="169" fontId="0" fillId="26" borderId="1" xfId="1" applyNumberFormat="1" applyFont="1" applyFill="1" applyBorder="1"/>
    <xf numFmtId="0" fontId="14" fillId="21" borderId="3" xfId="0" applyFont="1" applyFill="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15" borderId="2" xfId="0" applyFont="1" applyFill="1" applyBorder="1" applyAlignment="1">
      <alignment horizontal="left" vertical="top" wrapText="1"/>
    </xf>
    <xf numFmtId="0" fontId="14" fillId="15" borderId="2"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0" fontId="5" fillId="15" borderId="4" xfId="0" applyFont="1" applyFill="1" applyBorder="1" applyAlignment="1">
      <alignment horizontal="left" vertical="top" wrapText="1"/>
    </xf>
    <xf numFmtId="0" fontId="5" fillId="23" borderId="4" xfId="0" applyFont="1" applyFill="1" applyBorder="1" applyAlignment="1">
      <alignment horizontal="left" vertical="top" wrapText="1"/>
    </xf>
    <xf numFmtId="0" fontId="14" fillId="4"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0" borderId="19"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8"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3"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4" borderId="1"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4" xfId="0" applyFont="1" applyFill="1" applyBorder="1" applyAlignment="1">
      <alignment horizontal="left" vertical="top" wrapText="1"/>
    </xf>
    <xf numFmtId="0" fontId="14" fillId="35" borderId="3" xfId="0" applyFont="1" applyFill="1" applyBorder="1" applyAlignment="1">
      <alignment horizontal="left" vertical="top" wrapText="1"/>
    </xf>
    <xf numFmtId="0" fontId="14" fillId="13" borderId="1"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0" borderId="2" xfId="0" applyFont="1" applyFill="1" applyBorder="1" applyAlignment="1">
      <alignment horizontal="left" vertical="top" wrapText="1"/>
    </xf>
    <xf numFmtId="0" fontId="63" fillId="2" borderId="1" xfId="0" applyFont="1" applyFill="1" applyBorder="1" applyAlignment="1">
      <alignment horizontal="left" vertical="top" wrapText="1"/>
    </xf>
    <xf numFmtId="0" fontId="69" fillId="2" borderId="1"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3" xfId="0" applyFont="1" applyFill="1" applyBorder="1" applyAlignment="1">
      <alignment horizontal="left" vertical="top" wrapText="1"/>
    </xf>
    <xf numFmtId="0" fontId="14" fillId="13" borderId="3"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1" fillId="23" borderId="2" xfId="0" applyFont="1" applyFill="1" applyBorder="1" applyAlignment="1" applyProtection="1">
      <alignment horizontal="left" vertical="top" wrapText="1"/>
      <protection locked="0"/>
    </xf>
    <xf numFmtId="0" fontId="18" fillId="23" borderId="4"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4" fillId="18" borderId="1" xfId="0" applyFont="1" applyFill="1" applyBorder="1" applyAlignment="1">
      <alignment horizontal="left" vertical="top" wrapText="1"/>
    </xf>
    <xf numFmtId="0" fontId="5" fillId="35" borderId="1"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3" xfId="0" applyFont="1" applyFill="1" applyBorder="1" applyAlignment="1">
      <alignment horizontal="left" vertical="top" wrapText="1"/>
    </xf>
    <xf numFmtId="0" fontId="33" fillId="25" borderId="1"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7" fillId="25" borderId="1" xfId="0" applyFont="1" applyFill="1" applyBorder="1" applyAlignment="1">
      <alignment horizontal="left" vertical="top" wrapText="1"/>
    </xf>
    <xf numFmtId="0" fontId="33" fillId="25" borderId="2" xfId="0" applyFont="1" applyFill="1" applyBorder="1" applyAlignment="1">
      <alignment horizontal="left" vertical="top" wrapText="1"/>
    </xf>
    <xf numFmtId="0" fontId="32" fillId="32" borderId="3"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0" borderId="1" xfId="0" applyFont="1" applyBorder="1" applyAlignment="1">
      <alignment horizontal="left"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5" fillId="25" borderId="0" xfId="0" applyFont="1" applyFill="1" applyAlignment="1">
      <alignment horizontal="left" vertical="top"/>
    </xf>
    <xf numFmtId="0" fontId="38" fillId="0" borderId="44" xfId="0" applyFont="1" applyBorder="1" applyAlignment="1">
      <alignment horizontal="left" vertical="top" wrapText="1"/>
    </xf>
    <xf numFmtId="0" fontId="48" fillId="0" borderId="1" xfId="0" applyFont="1" applyBorder="1" applyAlignment="1">
      <alignment horizontal="left" vertical="top" wrapText="1"/>
    </xf>
    <xf numFmtId="0" fontId="38" fillId="10" borderId="0" xfId="0" applyFont="1" applyFill="1" applyAlignment="1">
      <alignment horizontal="center" vertical="top"/>
    </xf>
    <xf numFmtId="0" fontId="38" fillId="25" borderId="1" xfId="0" applyFont="1" applyFill="1" applyBorder="1" applyAlignment="1">
      <alignment horizontal="left" vertical="top"/>
    </xf>
    <xf numFmtId="0" fontId="14" fillId="3" borderId="1" xfId="0" applyFont="1" applyFill="1" applyBorder="1" applyAlignment="1">
      <alignment horizontal="left" vertical="top" wrapText="1"/>
    </xf>
    <xf numFmtId="0" fontId="14" fillId="21" borderId="3" xfId="0"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0" borderId="4" xfId="0" applyFont="1" applyFill="1" applyBorder="1" applyAlignment="1">
      <alignment horizontal="left" vertical="top" wrapText="1"/>
    </xf>
    <xf numFmtId="0" fontId="15" fillId="6" borderId="4"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1"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5" fillId="16" borderId="2" xfId="0" applyFont="1" applyFill="1" applyBorder="1" applyAlignment="1">
      <alignment horizontal="left" vertical="top" wrapText="1"/>
    </xf>
    <xf numFmtId="0" fontId="5" fillId="16" borderId="4" xfId="0" applyFont="1" applyFill="1" applyBorder="1" applyAlignment="1">
      <alignment horizontal="left" vertical="top" wrapText="1"/>
    </xf>
    <xf numFmtId="0" fontId="5" fillId="16" borderId="3" xfId="0" applyFont="1" applyFill="1" applyBorder="1" applyAlignment="1">
      <alignment horizontal="left" vertical="top" wrapText="1"/>
    </xf>
    <xf numFmtId="0" fontId="5" fillId="15" borderId="2" xfId="0" applyFont="1" applyFill="1" applyBorder="1" applyAlignment="1">
      <alignment horizontal="left" vertical="top" wrapText="1"/>
    </xf>
    <xf numFmtId="0" fontId="5" fillId="15" borderId="4" xfId="0" applyFont="1" applyFill="1" applyBorder="1" applyAlignment="1">
      <alignment horizontal="left" vertical="top" wrapText="1"/>
    </xf>
    <xf numFmtId="0" fontId="5" fillId="15" borderId="3" xfId="0" applyFont="1" applyFill="1" applyBorder="1" applyAlignment="1">
      <alignment horizontal="left" vertical="top" wrapText="1"/>
    </xf>
    <xf numFmtId="0" fontId="14" fillId="14" borderId="2" xfId="0" applyFont="1" applyFill="1" applyBorder="1" applyAlignment="1">
      <alignment horizontal="center" vertical="top" wrapText="1"/>
    </xf>
    <xf numFmtId="0" fontId="14" fillId="14" borderId="3" xfId="0" applyFont="1" applyFill="1" applyBorder="1" applyAlignment="1">
      <alignment horizontal="center" vertical="top" wrapText="1"/>
    </xf>
    <xf numFmtId="0" fontId="5" fillId="14" borderId="2" xfId="0" applyFont="1" applyFill="1" applyBorder="1" applyAlignment="1">
      <alignment horizontal="center" vertical="top" wrapText="1"/>
    </xf>
    <xf numFmtId="0" fontId="5" fillId="14" borderId="3" xfId="0" applyFont="1" applyFill="1" applyBorder="1" applyAlignment="1">
      <alignment horizontal="center" vertical="top" wrapText="1"/>
    </xf>
    <xf numFmtId="0" fontId="14" fillId="4" borderId="2" xfId="0" applyFont="1" applyFill="1" applyBorder="1" applyAlignment="1">
      <alignment horizontal="left" vertical="top" wrapText="1"/>
    </xf>
    <xf numFmtId="0" fontId="14" fillId="4" borderId="4" xfId="0" applyFont="1" applyFill="1" applyBorder="1" applyAlignment="1">
      <alignment horizontal="left" vertical="top" wrapText="1"/>
    </xf>
    <xf numFmtId="0" fontId="14" fillId="4" borderId="3" xfId="0" applyFont="1" applyFill="1" applyBorder="1" applyAlignment="1">
      <alignment horizontal="left" vertical="top" wrapText="1"/>
    </xf>
    <xf numFmtId="0" fontId="14" fillId="15"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15" borderId="3" xfId="0" applyFont="1" applyFill="1" applyBorder="1" applyAlignment="1">
      <alignment horizontal="left" vertical="top" wrapText="1"/>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14" fillId="29" borderId="2" xfId="0" applyFont="1" applyFill="1" applyBorder="1" applyAlignment="1">
      <alignment horizontal="left" vertical="top" wrapText="1"/>
    </xf>
    <xf numFmtId="0" fontId="14" fillId="29" borderId="4" xfId="0" applyFont="1" applyFill="1" applyBorder="1" applyAlignment="1">
      <alignment horizontal="left" vertical="top" wrapText="1"/>
    </xf>
    <xf numFmtId="0" fontId="14" fillId="29" borderId="3"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27" borderId="2" xfId="0" applyFont="1" applyFill="1" applyBorder="1" applyAlignment="1">
      <alignment horizontal="left" vertical="top" wrapText="1"/>
    </xf>
    <xf numFmtId="0" fontId="5" fillId="27" borderId="4" xfId="0" applyFont="1" applyFill="1" applyBorder="1" applyAlignment="1">
      <alignment horizontal="left" vertical="top" wrapText="1"/>
    </xf>
    <xf numFmtId="0" fontId="5" fillId="27" borderId="3" xfId="0" applyFont="1" applyFill="1" applyBorder="1" applyAlignment="1">
      <alignment horizontal="left" vertical="top" wrapText="1"/>
    </xf>
    <xf numFmtId="170" fontId="15" fillId="25" borderId="2" xfId="10" applyNumberFormat="1" applyFont="1" applyFill="1" applyBorder="1" applyAlignment="1">
      <alignment horizontal="center" vertical="top" wrapText="1"/>
    </xf>
    <xf numFmtId="170" fontId="15" fillId="25" borderId="4" xfId="10" applyNumberFormat="1" applyFont="1" applyFill="1" applyBorder="1" applyAlignment="1">
      <alignment horizontal="center" vertical="top" wrapText="1"/>
    </xf>
    <xf numFmtId="170" fontId="15" fillId="25" borderId="3" xfId="10" applyNumberFormat="1" applyFont="1" applyFill="1" applyBorder="1" applyAlignment="1">
      <alignment horizontal="center"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14" fillId="3" borderId="1"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18" borderId="3"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5" fillId="21" borderId="2" xfId="0" applyFont="1" applyFill="1" applyBorder="1" applyAlignment="1">
      <alignment horizontal="center" vertical="top" wrapText="1"/>
    </xf>
    <xf numFmtId="0" fontId="5" fillId="21" borderId="3" xfId="0" applyFont="1" applyFill="1" applyBorder="1" applyAlignment="1">
      <alignment horizontal="center" vertical="top" wrapText="1"/>
    </xf>
    <xf numFmtId="0" fontId="5" fillId="21" borderId="2" xfId="0" applyFont="1" applyFill="1" applyBorder="1" applyAlignment="1">
      <alignment horizontal="left" vertical="top" wrapText="1"/>
    </xf>
    <xf numFmtId="0" fontId="5" fillId="21" borderId="4" xfId="0" applyFont="1" applyFill="1" applyBorder="1" applyAlignment="1">
      <alignment horizontal="left" vertical="top" wrapText="1"/>
    </xf>
    <xf numFmtId="0" fontId="14" fillId="18" borderId="4" xfId="0" applyFont="1" applyFill="1" applyBorder="1" applyAlignment="1">
      <alignment horizontal="left" vertical="top" wrapText="1"/>
    </xf>
    <xf numFmtId="0" fontId="14" fillId="18" borderId="3"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3" xfId="0" applyFont="1" applyFill="1" applyBorder="1" applyAlignment="1">
      <alignment horizontal="left" vertical="top" wrapText="1"/>
    </xf>
    <xf numFmtId="0" fontId="5" fillId="35" borderId="1"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4" borderId="4"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4" xfId="0" applyFont="1" applyFill="1" applyBorder="1" applyAlignment="1">
      <alignment horizontal="left" vertical="top" wrapText="1"/>
    </xf>
    <xf numFmtId="0" fontId="5" fillId="35" borderId="3"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14" fillId="3" borderId="2"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3" xfId="0" applyFont="1" applyFill="1" applyBorder="1" applyAlignment="1">
      <alignment horizontal="center" vertical="top" wrapText="1"/>
    </xf>
    <xf numFmtId="0" fontId="14" fillId="23" borderId="2" xfId="0" applyFont="1" applyFill="1" applyBorder="1" applyAlignment="1">
      <alignment horizontal="left" vertical="top" wrapText="1"/>
    </xf>
    <xf numFmtId="0" fontId="14" fillId="23" borderId="4" xfId="0" applyFont="1" applyFill="1" applyBorder="1" applyAlignment="1">
      <alignment horizontal="left" vertical="top" wrapText="1"/>
    </xf>
    <xf numFmtId="0" fontId="14" fillId="23" borderId="3" xfId="0" applyFont="1" applyFill="1" applyBorder="1" applyAlignment="1">
      <alignment horizontal="left" vertical="top" wrapText="1"/>
    </xf>
    <xf numFmtId="0" fontId="5" fillId="12" borderId="2" xfId="0" applyFont="1" applyFill="1" applyBorder="1" applyAlignment="1">
      <alignment horizontal="left" vertical="top" wrapText="1"/>
    </xf>
    <xf numFmtId="0" fontId="5" fillId="12" borderId="4" xfId="0" applyFont="1" applyFill="1" applyBorder="1" applyAlignment="1">
      <alignment horizontal="left" vertical="top" wrapText="1"/>
    </xf>
    <xf numFmtId="0" fontId="5" fillId="12" borderId="3" xfId="0" applyFont="1" applyFill="1" applyBorder="1" applyAlignment="1">
      <alignment horizontal="left" vertical="top" wrapText="1"/>
    </xf>
    <xf numFmtId="0" fontId="5" fillId="23" borderId="2" xfId="0" applyFont="1" applyFill="1" applyBorder="1" applyAlignment="1">
      <alignment horizontal="left" vertical="top" wrapText="1"/>
    </xf>
    <xf numFmtId="0" fontId="5" fillId="23" borderId="4" xfId="0" applyFont="1" applyFill="1" applyBorder="1" applyAlignment="1">
      <alignment horizontal="left" vertical="top" wrapText="1"/>
    </xf>
    <xf numFmtId="0" fontId="5" fillId="23" borderId="3" xfId="0" applyFont="1" applyFill="1" applyBorder="1" applyAlignment="1">
      <alignment horizontal="left" vertical="top" wrapText="1"/>
    </xf>
    <xf numFmtId="0" fontId="5" fillId="6" borderId="4"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4" xfId="0" applyFont="1" applyFill="1" applyBorder="1" applyAlignment="1">
      <alignment horizontal="left" vertical="top" wrapText="1"/>
    </xf>
    <xf numFmtId="0" fontId="5" fillId="13" borderId="3" xfId="0" applyFont="1" applyFill="1" applyBorder="1" applyAlignment="1">
      <alignment horizontal="left" vertical="top" wrapText="1"/>
    </xf>
    <xf numFmtId="0" fontId="5" fillId="18" borderId="4" xfId="0" applyFont="1" applyFill="1" applyBorder="1" applyAlignment="1">
      <alignment horizontal="left" vertical="top" wrapText="1"/>
    </xf>
    <xf numFmtId="0" fontId="5" fillId="29" borderId="2" xfId="0" applyFont="1" applyFill="1" applyBorder="1" applyAlignment="1">
      <alignment horizontal="left" vertical="top" wrapText="1"/>
    </xf>
    <xf numFmtId="0" fontId="5" fillId="29" borderId="4" xfId="0" applyFont="1" applyFill="1" applyBorder="1" applyAlignment="1">
      <alignment horizontal="left" vertical="top" wrapText="1"/>
    </xf>
    <xf numFmtId="0" fontId="5" fillId="19" borderId="2" xfId="0" applyFont="1" applyFill="1" applyBorder="1" applyAlignment="1">
      <alignment horizontal="left" vertical="top" wrapText="1"/>
    </xf>
    <xf numFmtId="0" fontId="5" fillId="19" borderId="4" xfId="0" applyFont="1" applyFill="1" applyBorder="1" applyAlignment="1">
      <alignment horizontal="left" vertical="top" wrapText="1"/>
    </xf>
    <xf numFmtId="0" fontId="5" fillId="30" borderId="4"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21" borderId="3"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0" fontId="14" fillId="13" borderId="2" xfId="0" applyFont="1" applyFill="1" applyBorder="1" applyAlignment="1">
      <alignment horizontal="left" vertical="top" wrapText="1"/>
    </xf>
    <xf numFmtId="0" fontId="14" fillId="13" borderId="4" xfId="0" applyFont="1" applyFill="1" applyBorder="1" applyAlignment="1">
      <alignment horizontal="left" vertical="top" wrapText="1"/>
    </xf>
    <xf numFmtId="0" fontId="14" fillId="13" borderId="3" xfId="0" applyFont="1" applyFill="1" applyBorder="1" applyAlignment="1">
      <alignment horizontal="left" vertical="top" wrapText="1"/>
    </xf>
    <xf numFmtId="0" fontId="15" fillId="4" borderId="2" xfId="0" applyFont="1" applyFill="1" applyBorder="1" applyAlignment="1">
      <alignment horizontal="left" vertical="top" wrapText="1"/>
    </xf>
    <xf numFmtId="0" fontId="15" fillId="4" borderId="4" xfId="0" applyFont="1" applyFill="1" applyBorder="1" applyAlignment="1">
      <alignment horizontal="left" vertical="top" wrapText="1"/>
    </xf>
    <xf numFmtId="0" fontId="5" fillId="5" borderId="4" xfId="0" applyFont="1" applyFill="1" applyBorder="1" applyAlignment="1">
      <alignment horizontal="left" vertical="top" wrapText="1"/>
    </xf>
    <xf numFmtId="0" fontId="15" fillId="3" borderId="1" xfId="0" applyFont="1" applyFill="1" applyBorder="1" applyAlignment="1">
      <alignment horizontal="left" vertical="top" wrapText="1"/>
    </xf>
    <xf numFmtId="0" fontId="11" fillId="23" borderId="2" xfId="0" applyFont="1" applyFill="1" applyBorder="1" applyAlignment="1" applyProtection="1">
      <alignment horizontal="left" vertical="top" wrapText="1"/>
      <protection locked="0"/>
    </xf>
    <xf numFmtId="0" fontId="11" fillId="23" borderId="3" xfId="0" applyFont="1" applyFill="1" applyBorder="1" applyAlignment="1" applyProtection="1">
      <alignment horizontal="left" vertical="top" wrapText="1"/>
      <protection locked="0"/>
    </xf>
    <xf numFmtId="0" fontId="18" fillId="23" borderId="2"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4" fillId="21" borderId="2" xfId="0" applyFont="1" applyFill="1" applyBorder="1" applyAlignment="1">
      <alignment horizontal="left" vertical="top" wrapText="1"/>
    </xf>
    <xf numFmtId="0" fontId="14" fillId="21" borderId="4" xfId="0" applyFont="1" applyFill="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4"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1" fillId="15" borderId="2" xfId="0" applyFont="1" applyFill="1" applyBorder="1" applyAlignment="1" applyProtection="1">
      <alignment horizontal="left" vertical="top" wrapText="1"/>
      <protection locked="0"/>
    </xf>
    <xf numFmtId="0" fontId="11" fillId="15" borderId="4" xfId="0" applyFont="1" applyFill="1" applyBorder="1" applyAlignment="1" applyProtection="1">
      <alignment horizontal="left" vertical="top" wrapText="1"/>
      <protection locked="0"/>
    </xf>
    <xf numFmtId="0" fontId="11" fillId="15" borderId="3" xfId="0" applyFont="1" applyFill="1" applyBorder="1" applyAlignment="1" applyProtection="1">
      <alignment horizontal="left" vertical="top" wrapText="1"/>
      <protection locked="0"/>
    </xf>
    <xf numFmtId="0" fontId="81" fillId="0" borderId="78" xfId="0" applyFont="1" applyBorder="1" applyAlignment="1">
      <alignment horizontal="left" vertical="top" wrapText="1"/>
    </xf>
    <xf numFmtId="0" fontId="81" fillId="0" borderId="79" xfId="0" applyFont="1" applyBorder="1" applyAlignment="1">
      <alignment horizontal="left" vertical="top" wrapText="1"/>
    </xf>
    <xf numFmtId="0" fontId="63" fillId="2" borderId="1" xfId="0" applyFont="1" applyFill="1" applyBorder="1" applyAlignment="1">
      <alignment horizontal="left" vertical="top" wrapText="1"/>
    </xf>
    <xf numFmtId="0" fontId="8" fillId="0" borderId="64" xfId="0" applyFont="1" applyBorder="1" applyAlignment="1">
      <alignment horizontal="left" vertical="top" wrapText="1"/>
    </xf>
    <xf numFmtId="0" fontId="8" fillId="0" borderId="65" xfId="0" applyFont="1" applyBorder="1" applyAlignment="1">
      <alignment horizontal="left" vertical="top" wrapText="1"/>
    </xf>
    <xf numFmtId="0" fontId="8" fillId="0" borderId="76" xfId="0" applyFont="1" applyBorder="1" applyAlignment="1">
      <alignment horizontal="left" vertical="top" wrapText="1"/>
    </xf>
    <xf numFmtId="0" fontId="8" fillId="0" borderId="10" xfId="0" applyFont="1" applyBorder="1" applyAlignment="1">
      <alignment horizontal="left" vertical="top" wrapText="1"/>
    </xf>
    <xf numFmtId="0" fontId="8" fillId="0" borderId="67" xfId="0" applyFont="1" applyBorder="1" applyAlignment="1">
      <alignment horizontal="left" vertical="top" wrapText="1"/>
    </xf>
    <xf numFmtId="0" fontId="8" fillId="0" borderId="77" xfId="0" applyFont="1" applyBorder="1" applyAlignment="1">
      <alignment horizontal="left" vertical="top" wrapText="1"/>
    </xf>
    <xf numFmtId="0" fontId="5" fillId="20" borderId="2" xfId="0" applyFont="1" applyFill="1" applyBorder="1" applyAlignment="1">
      <alignment horizontal="left" vertical="top" wrapText="1"/>
    </xf>
    <xf numFmtId="0" fontId="5" fillId="20" borderId="4" xfId="0" applyFont="1" applyFill="1" applyBorder="1" applyAlignment="1">
      <alignment horizontal="left" vertical="top" wrapText="1"/>
    </xf>
    <xf numFmtId="0" fontId="5" fillId="20" borderId="3" xfId="0" applyFont="1" applyFill="1" applyBorder="1" applyAlignment="1">
      <alignment horizontal="left" vertical="top" wrapText="1"/>
    </xf>
    <xf numFmtId="0" fontId="66" fillId="0" borderId="1"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left" vertical="top" wrapText="1"/>
    </xf>
    <xf numFmtId="0" fontId="14" fillId="21" borderId="3" xfId="0" applyFont="1" applyFill="1" applyBorder="1" applyAlignment="1">
      <alignment horizontal="left" vertical="top" wrapText="1"/>
    </xf>
    <xf numFmtId="0" fontId="8" fillId="0" borderId="68" xfId="0" applyFont="1" applyBorder="1" applyAlignment="1">
      <alignment horizontal="left" vertical="top" wrapText="1"/>
    </xf>
    <xf numFmtId="0" fontId="8" fillId="0" borderId="74" xfId="0" applyFont="1" applyBorder="1" applyAlignment="1">
      <alignment horizontal="left" vertical="top" wrapText="1"/>
    </xf>
    <xf numFmtId="0" fontId="8" fillId="0" borderId="71" xfId="0" applyFont="1" applyBorder="1" applyAlignment="1">
      <alignment horizontal="left" vertical="top" wrapText="1"/>
    </xf>
    <xf numFmtId="0" fontId="8" fillId="0" borderId="75" xfId="0" applyFont="1" applyBorder="1" applyAlignment="1">
      <alignment horizontal="left" vertical="top" wrapText="1"/>
    </xf>
    <xf numFmtId="0" fontId="67" fillId="0" borderId="7" xfId="0" applyFont="1" applyFill="1" applyBorder="1" applyAlignment="1">
      <alignment horizontal="left" vertical="top" wrapText="1"/>
    </xf>
    <xf numFmtId="0" fontId="67" fillId="0" borderId="6" xfId="0" applyFont="1" applyFill="1" applyBorder="1" applyAlignment="1">
      <alignment horizontal="left" vertical="top" wrapText="1"/>
    </xf>
    <xf numFmtId="0" fontId="67" fillId="0" borderId="5" xfId="0" applyFont="1" applyFill="1" applyBorder="1" applyAlignment="1">
      <alignment horizontal="left" vertical="top" wrapText="1"/>
    </xf>
    <xf numFmtId="0" fontId="8" fillId="0" borderId="69" xfId="0" applyFont="1" applyBorder="1" applyAlignment="1">
      <alignment horizontal="left" vertical="top" wrapText="1"/>
    </xf>
    <xf numFmtId="0" fontId="8" fillId="0" borderId="70" xfId="0" applyFont="1" applyBorder="1" applyAlignment="1">
      <alignment horizontal="left" vertical="top" wrapText="1"/>
    </xf>
    <xf numFmtId="0" fontId="8" fillId="0" borderId="72" xfId="0" applyFont="1" applyBorder="1" applyAlignment="1">
      <alignment horizontal="left" vertical="top" wrapText="1"/>
    </xf>
    <xf numFmtId="0" fontId="8" fillId="0" borderId="73" xfId="0" applyFont="1" applyBorder="1" applyAlignment="1">
      <alignment horizontal="left" vertical="top" wrapText="1"/>
    </xf>
    <xf numFmtId="0" fontId="65" fillId="0" borderId="16" xfId="0" applyFont="1" applyFill="1" applyBorder="1" applyAlignment="1">
      <alignment horizontal="left" vertical="top" wrapText="1"/>
    </xf>
    <xf numFmtId="0" fontId="65" fillId="0" borderId="17" xfId="0" applyFont="1" applyFill="1" applyBorder="1" applyAlignment="1">
      <alignment horizontal="left" vertical="top" wrapText="1"/>
    </xf>
    <xf numFmtId="0" fontId="65" fillId="0" borderId="18" xfId="0" applyFont="1" applyFill="1" applyBorder="1" applyAlignment="1">
      <alignment horizontal="left" vertical="top" wrapText="1"/>
    </xf>
    <xf numFmtId="0" fontId="14" fillId="28" borderId="2" xfId="0" applyFont="1" applyFill="1" applyBorder="1" applyAlignment="1">
      <alignment horizontal="left" vertical="top" wrapText="1"/>
    </xf>
    <xf numFmtId="0" fontId="14" fillId="28" borderId="3" xfId="0" applyFont="1" applyFill="1" applyBorder="1" applyAlignment="1">
      <alignment horizontal="left" vertical="top" wrapText="1"/>
    </xf>
    <xf numFmtId="0" fontId="8" fillId="0" borderId="66" xfId="0" applyFont="1" applyBorder="1" applyAlignment="1">
      <alignment horizontal="left" vertical="top" wrapText="1"/>
    </xf>
    <xf numFmtId="0" fontId="8" fillId="0" borderId="8" xfId="0" applyFont="1" applyBorder="1" applyAlignment="1">
      <alignment horizontal="left" vertical="top" wrapText="1"/>
    </xf>
    <xf numFmtId="0" fontId="62" fillId="22" borderId="1" xfId="0" applyFont="1" applyFill="1" applyBorder="1" applyAlignment="1">
      <alignment horizontal="left" vertical="top" wrapText="1"/>
    </xf>
    <xf numFmtId="0" fontId="68" fillId="2" borderId="1" xfId="0" applyFont="1" applyFill="1" applyBorder="1" applyAlignment="1">
      <alignment horizontal="left" vertical="top" wrapText="1"/>
    </xf>
    <xf numFmtId="0" fontId="69" fillId="2" borderId="1"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3" xfId="0" applyFont="1" applyFill="1" applyBorder="1" applyAlignment="1">
      <alignment horizontal="left" vertical="top" wrapText="1"/>
    </xf>
    <xf numFmtId="0" fontId="63" fillId="2" borderId="2" xfId="0" applyFont="1" applyFill="1" applyBorder="1" applyAlignment="1">
      <alignment horizontal="left" vertical="top"/>
    </xf>
    <xf numFmtId="0" fontId="63" fillId="2" borderId="3" xfId="0" applyFont="1" applyFill="1" applyBorder="1" applyAlignment="1">
      <alignment horizontal="left" vertical="top"/>
    </xf>
    <xf numFmtId="0" fontId="5" fillId="11" borderId="2" xfId="0" applyFont="1" applyFill="1" applyBorder="1" applyAlignment="1">
      <alignment horizontal="left" vertical="top" wrapText="1"/>
    </xf>
    <xf numFmtId="0" fontId="5" fillId="11" borderId="4" xfId="0" applyFont="1" applyFill="1" applyBorder="1" applyAlignment="1">
      <alignment horizontal="left" vertical="top" wrapText="1"/>
    </xf>
    <xf numFmtId="0" fontId="5" fillId="11" borderId="3" xfId="0" applyFont="1" applyFill="1" applyBorder="1" applyAlignment="1">
      <alignment horizontal="left" vertical="top" wrapText="1"/>
    </xf>
    <xf numFmtId="0" fontId="14" fillId="18" borderId="2"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4" xfId="0" applyFont="1" applyFill="1" applyBorder="1" applyAlignment="1">
      <alignment horizontal="left" vertical="top" wrapText="1"/>
    </xf>
    <xf numFmtId="0" fontId="5" fillId="14" borderId="3" xfId="0" applyFont="1" applyFill="1" applyBorder="1" applyAlignment="1">
      <alignment horizontal="left" vertical="top" wrapText="1"/>
    </xf>
    <xf numFmtId="0" fontId="5" fillId="19" borderId="3" xfId="0" applyFont="1" applyFill="1" applyBorder="1" applyAlignment="1">
      <alignment horizontal="left" vertical="top" wrapText="1"/>
    </xf>
    <xf numFmtId="0" fontId="15" fillId="6" borderId="2" xfId="0" applyFont="1" applyFill="1" applyBorder="1" applyAlignment="1">
      <alignment horizontal="left" vertical="top" wrapText="1"/>
    </xf>
    <xf numFmtId="0" fontId="15" fillId="6" borderId="4" xfId="0" applyFont="1" applyFill="1" applyBorder="1" applyAlignment="1">
      <alignment horizontal="left" vertical="top" wrapText="1"/>
    </xf>
    <xf numFmtId="0" fontId="15" fillId="6" borderId="3" xfId="0" applyFont="1" applyFill="1" applyBorder="1" applyAlignment="1">
      <alignment horizontal="left" vertical="top" wrapText="1"/>
    </xf>
    <xf numFmtId="0" fontId="5" fillId="13" borderId="1" xfId="0" applyFont="1" applyFill="1" applyBorder="1" applyAlignment="1">
      <alignment horizontal="left" vertical="top" wrapText="1"/>
    </xf>
    <xf numFmtId="0" fontId="10" fillId="6" borderId="2"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6" borderId="3" xfId="0" applyFont="1" applyFill="1" applyBorder="1" applyAlignment="1">
      <alignment horizontal="center" vertical="top" wrapText="1"/>
    </xf>
    <xf numFmtId="0" fontId="14" fillId="6" borderId="2" xfId="3" applyFont="1" applyFill="1" applyBorder="1" applyAlignment="1">
      <alignment horizontal="center" vertical="top" wrapText="1"/>
    </xf>
    <xf numFmtId="0" fontId="14" fillId="6" borderId="4" xfId="3" applyFont="1" applyFill="1" applyBorder="1" applyAlignment="1">
      <alignment horizontal="center" vertical="top" wrapText="1"/>
    </xf>
    <xf numFmtId="0" fontId="14" fillId="6" borderId="3" xfId="3" applyFont="1" applyFill="1" applyBorder="1" applyAlignment="1">
      <alignment horizontal="center" vertical="top" wrapText="1"/>
    </xf>
    <xf numFmtId="0" fontId="5" fillId="8" borderId="2" xfId="0" applyFont="1" applyFill="1" applyBorder="1" applyAlignment="1">
      <alignment horizontal="left" vertical="top" wrapText="1"/>
    </xf>
    <xf numFmtId="0" fontId="5" fillId="8" borderId="4" xfId="0" applyFont="1" applyFill="1" applyBorder="1" applyAlignment="1">
      <alignment horizontal="left" vertical="top" wrapText="1"/>
    </xf>
    <xf numFmtId="0" fontId="5" fillId="8" borderId="3"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4" xfId="0" applyFont="1" applyFill="1" applyBorder="1" applyAlignment="1">
      <alignment horizontal="left" vertical="top" wrapText="1"/>
    </xf>
    <xf numFmtId="0" fontId="14" fillId="7" borderId="3" xfId="0" applyFont="1" applyFill="1" applyBorder="1" applyAlignment="1">
      <alignment horizontal="left" vertical="top" wrapText="1"/>
    </xf>
    <xf numFmtId="0" fontId="15" fillId="17" borderId="2" xfId="0" applyFont="1" applyFill="1" applyBorder="1" applyAlignment="1">
      <alignment horizontal="left" vertical="top" wrapText="1"/>
    </xf>
    <xf numFmtId="0" fontId="15" fillId="17" borderId="4" xfId="0" applyFont="1" applyFill="1" applyBorder="1" applyAlignment="1">
      <alignment horizontal="left" vertical="top" wrapText="1"/>
    </xf>
    <xf numFmtId="0" fontId="15" fillId="17" borderId="3" xfId="0" applyFont="1" applyFill="1" applyBorder="1" applyAlignment="1">
      <alignment horizontal="left" vertical="top" wrapText="1"/>
    </xf>
    <xf numFmtId="0" fontId="15" fillId="27" borderId="2" xfId="0" applyFont="1" applyFill="1" applyBorder="1" applyAlignment="1">
      <alignment horizontal="left" vertical="top" wrapText="1"/>
    </xf>
    <xf numFmtId="0" fontId="15" fillId="27" borderId="3"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4" xfId="0" applyFont="1" applyFill="1" applyBorder="1" applyAlignment="1">
      <alignment horizontal="left" vertical="top" wrapText="1"/>
    </xf>
    <xf numFmtId="0" fontId="14" fillId="6" borderId="3" xfId="0" applyFont="1" applyFill="1" applyBorder="1" applyAlignment="1">
      <alignment horizontal="left" vertical="top" wrapText="1"/>
    </xf>
    <xf numFmtId="0" fontId="5" fillId="7" borderId="2" xfId="0" applyFont="1" applyFill="1" applyBorder="1" applyAlignment="1">
      <alignment horizontal="left" vertical="top" wrapText="1"/>
    </xf>
    <xf numFmtId="0" fontId="5" fillId="7" borderId="4" xfId="0" applyFont="1" applyFill="1" applyBorder="1" applyAlignment="1">
      <alignment horizontal="left" vertical="top" wrapText="1"/>
    </xf>
    <xf numFmtId="0" fontId="5" fillId="7" borderId="3"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0" borderId="2" xfId="0" applyFont="1" applyFill="1" applyBorder="1" applyAlignment="1">
      <alignment horizontal="left" vertical="top" wrapText="1"/>
    </xf>
    <xf numFmtId="0" fontId="14" fillId="10" borderId="3" xfId="0" applyFont="1" applyFill="1" applyBorder="1" applyAlignment="1">
      <alignment horizontal="left" vertical="top" wrapText="1"/>
    </xf>
    <xf numFmtId="0" fontId="10" fillId="6" borderId="2" xfId="0" applyFont="1" applyFill="1" applyBorder="1" applyAlignment="1">
      <alignment horizontal="left" vertical="top" wrapText="1"/>
    </xf>
    <xf numFmtId="0" fontId="10" fillId="6" borderId="4" xfId="0" applyFont="1" applyFill="1" applyBorder="1" applyAlignment="1">
      <alignment horizontal="left" vertical="top" wrapText="1"/>
    </xf>
    <xf numFmtId="0" fontId="10" fillId="6" borderId="3" xfId="0" applyFont="1" applyFill="1" applyBorder="1" applyAlignment="1">
      <alignment horizontal="left" vertical="top" wrapText="1"/>
    </xf>
    <xf numFmtId="0" fontId="15" fillId="7" borderId="2" xfId="0" applyFont="1" applyFill="1" applyBorder="1" applyAlignment="1">
      <alignment horizontal="center" vertical="top" wrapText="1"/>
    </xf>
    <xf numFmtId="0" fontId="15" fillId="7" borderId="4" xfId="0" applyFont="1" applyFill="1" applyBorder="1" applyAlignment="1">
      <alignment horizontal="center" vertical="top" wrapText="1"/>
    </xf>
    <xf numFmtId="0" fontId="15" fillId="7" borderId="3" xfId="0" applyFont="1" applyFill="1" applyBorder="1" applyAlignment="1">
      <alignment horizontal="center" vertical="top" wrapText="1"/>
    </xf>
    <xf numFmtId="0" fontId="15" fillId="3" borderId="4"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3" xfId="0" applyFont="1" applyFill="1" applyBorder="1" applyAlignment="1">
      <alignment horizontal="left" vertical="top" wrapText="1"/>
    </xf>
    <xf numFmtId="0" fontId="14" fillId="13" borderId="1"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1" borderId="4" xfId="0" applyFont="1" applyFill="1" applyBorder="1" applyAlignment="1">
      <alignment horizontal="left" vertical="top" wrapText="1"/>
    </xf>
    <xf numFmtId="0" fontId="14" fillId="11" borderId="3" xfId="0" applyFont="1" applyFill="1" applyBorder="1" applyAlignment="1">
      <alignment horizontal="left" vertical="top" wrapText="1"/>
    </xf>
    <xf numFmtId="0" fontId="10" fillId="15" borderId="2"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15" borderId="3" xfId="0" applyFont="1" applyFill="1" applyBorder="1" applyAlignment="1">
      <alignment horizontal="left" vertical="top" wrapText="1"/>
    </xf>
    <xf numFmtId="0" fontId="14" fillId="6" borderId="2" xfId="3" applyFont="1" applyFill="1" applyBorder="1" applyAlignment="1">
      <alignment horizontal="left" vertical="top" wrapText="1"/>
    </xf>
    <xf numFmtId="0" fontId="14" fillId="6" borderId="4" xfId="3" applyFont="1" applyFill="1" applyBorder="1" applyAlignment="1">
      <alignment horizontal="left" vertical="top" wrapText="1"/>
    </xf>
    <xf numFmtId="0" fontId="14" fillId="6" borderId="3" xfId="3" applyFont="1" applyFill="1" applyBorder="1" applyAlignment="1">
      <alignment horizontal="left" vertical="top" wrapText="1"/>
    </xf>
    <xf numFmtId="0" fontId="5" fillId="3" borderId="3" xfId="0" applyFont="1" applyFill="1" applyBorder="1" applyAlignment="1">
      <alignment horizontal="left" vertical="top" wrapText="1"/>
    </xf>
    <xf numFmtId="0" fontId="14" fillId="35" borderId="4" xfId="0" applyFont="1" applyFill="1" applyBorder="1" applyAlignment="1">
      <alignment horizontal="left" vertical="top" wrapText="1"/>
    </xf>
    <xf numFmtId="0" fontId="5" fillId="6" borderId="1" xfId="0" applyFont="1" applyFill="1" applyBorder="1" applyAlignment="1">
      <alignment horizontal="left" vertical="top" wrapText="1"/>
    </xf>
    <xf numFmtId="0" fontId="10" fillId="4" borderId="3" xfId="0" applyFont="1" applyFill="1" applyBorder="1" applyAlignment="1">
      <alignment horizontal="left" vertical="top" wrapText="1"/>
    </xf>
    <xf numFmtId="0" fontId="5" fillId="29" borderId="3" xfId="0" applyFont="1" applyFill="1" applyBorder="1" applyAlignment="1">
      <alignment horizontal="left" vertical="top" wrapText="1"/>
    </xf>
    <xf numFmtId="0" fontId="5" fillId="31" borderId="2" xfId="0" applyFont="1" applyFill="1" applyBorder="1" applyAlignment="1">
      <alignment horizontal="left" vertical="top" wrapText="1"/>
    </xf>
    <xf numFmtId="0" fontId="5" fillId="31" borderId="4" xfId="0" applyFont="1" applyFill="1" applyBorder="1" applyAlignment="1">
      <alignment horizontal="left" vertical="top" wrapText="1"/>
    </xf>
    <xf numFmtId="0" fontId="5" fillId="31" borderId="3" xfId="0" applyFont="1" applyFill="1" applyBorder="1" applyAlignment="1">
      <alignment horizontal="left" vertical="top" wrapText="1"/>
    </xf>
    <xf numFmtId="0" fontId="5" fillId="4" borderId="1" xfId="0" applyFont="1" applyFill="1" applyBorder="1" applyAlignment="1">
      <alignment horizontal="left" vertical="top" wrapText="1"/>
    </xf>
    <xf numFmtId="0" fontId="5" fillId="26" borderId="2" xfId="0" applyFont="1" applyFill="1" applyBorder="1" applyAlignment="1">
      <alignment horizontal="left" vertical="top" wrapText="1"/>
    </xf>
    <xf numFmtId="0" fontId="5" fillId="26" borderId="4" xfId="0" applyFont="1" applyFill="1" applyBorder="1" applyAlignment="1">
      <alignment horizontal="left" vertical="top" wrapText="1"/>
    </xf>
    <xf numFmtId="0" fontId="5" fillId="26" borderId="3" xfId="0" applyFont="1" applyFill="1" applyBorder="1" applyAlignment="1">
      <alignment horizontal="left" vertical="top" wrapText="1"/>
    </xf>
    <xf numFmtId="0" fontId="14" fillId="18" borderId="2" xfId="0" applyFont="1" applyFill="1" applyBorder="1" applyAlignment="1">
      <alignment horizontal="left" vertical="top"/>
    </xf>
    <xf numFmtId="0" fontId="14" fillId="18" borderId="4" xfId="0" applyFont="1" applyFill="1" applyBorder="1" applyAlignment="1">
      <alignment horizontal="left" vertical="top"/>
    </xf>
    <xf numFmtId="0" fontId="14" fillId="18" borderId="3" xfId="0" applyFont="1" applyFill="1" applyBorder="1" applyAlignment="1">
      <alignment horizontal="left" vertical="top"/>
    </xf>
    <xf numFmtId="0" fontId="10" fillId="7" borderId="2" xfId="0" applyFont="1" applyFill="1" applyBorder="1" applyAlignment="1">
      <alignment horizontal="left" vertical="top" wrapText="1"/>
    </xf>
    <xf numFmtId="0" fontId="10" fillId="7" borderId="4" xfId="0" applyFont="1" applyFill="1" applyBorder="1" applyAlignment="1">
      <alignment horizontal="left" vertical="top" wrapText="1"/>
    </xf>
    <xf numFmtId="0" fontId="10" fillId="7" borderId="3"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7" borderId="4" xfId="0" applyFont="1" applyFill="1" applyBorder="1" applyAlignment="1">
      <alignment horizontal="left" vertical="top" wrapText="1"/>
    </xf>
    <xf numFmtId="0" fontId="15" fillId="7" borderId="3"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3" xfId="0" applyFont="1" applyFill="1" applyBorder="1" applyAlignment="1">
      <alignment horizontal="left" vertical="top" wrapText="1"/>
    </xf>
    <xf numFmtId="0" fontId="14" fillId="4" borderId="2" xfId="3" applyFont="1" applyFill="1" applyBorder="1" applyAlignment="1">
      <alignment horizontal="left" vertical="top" wrapText="1"/>
    </xf>
    <xf numFmtId="0" fontId="14" fillId="4" borderId="4" xfId="3" applyFont="1" applyFill="1" applyBorder="1" applyAlignment="1">
      <alignment horizontal="left" vertical="top" wrapText="1"/>
    </xf>
    <xf numFmtId="0" fontId="14" fillId="4" borderId="3" xfId="3" applyFont="1" applyFill="1" applyBorder="1" applyAlignment="1">
      <alignment horizontal="left" vertical="top" wrapText="1"/>
    </xf>
    <xf numFmtId="0" fontId="15" fillId="3" borderId="20" xfId="0" applyFont="1" applyFill="1" applyBorder="1" applyAlignment="1">
      <alignment horizontal="left" vertical="top" wrapText="1"/>
    </xf>
    <xf numFmtId="0" fontId="11" fillId="23" borderId="4" xfId="0" applyFont="1" applyFill="1" applyBorder="1" applyAlignment="1" applyProtection="1">
      <alignment horizontal="left" vertical="top" wrapText="1"/>
      <protection locked="0"/>
    </xf>
    <xf numFmtId="0" fontId="64" fillId="0" borderId="16" xfId="0" applyFont="1" applyFill="1" applyBorder="1" applyAlignment="1">
      <alignment horizontal="left" vertical="top" wrapText="1"/>
    </xf>
    <xf numFmtId="0" fontId="64" fillId="0" borderId="17" xfId="0" applyFont="1" applyFill="1" applyBorder="1" applyAlignment="1">
      <alignment horizontal="left" vertical="top" wrapText="1"/>
    </xf>
    <xf numFmtId="0" fontId="64" fillId="0" borderId="18" xfId="0" applyFont="1" applyFill="1" applyBorder="1" applyAlignment="1">
      <alignment horizontal="left" vertical="top" wrapText="1"/>
    </xf>
    <xf numFmtId="0" fontId="14" fillId="0" borderId="21"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4" xfId="0" applyFont="1" applyFill="1" applyBorder="1" applyAlignment="1">
      <alignment horizontal="left" vertical="top" wrapText="1"/>
    </xf>
    <xf numFmtId="0" fontId="14" fillId="12" borderId="3" xfId="0" applyFont="1" applyFill="1" applyBorder="1" applyAlignment="1">
      <alignment horizontal="left"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0" borderId="19" xfId="0" applyFont="1" applyFill="1" applyBorder="1" applyAlignment="1">
      <alignment horizontal="left" vertical="top" wrapText="1"/>
    </xf>
    <xf numFmtId="0" fontId="5" fillId="24" borderId="1" xfId="0" applyFont="1" applyFill="1" applyBorder="1" applyAlignment="1">
      <alignment horizontal="left" vertical="top" wrapText="1"/>
    </xf>
    <xf numFmtId="0" fontId="63" fillId="2" borderId="2" xfId="0" applyFont="1" applyFill="1" applyBorder="1" applyAlignment="1">
      <alignment horizontal="center" vertical="top" wrapText="1"/>
    </xf>
    <xf numFmtId="0" fontId="63" fillId="2" borderId="3" xfId="0" applyFont="1" applyFill="1" applyBorder="1" applyAlignment="1">
      <alignment horizontal="center" vertical="top" wrapText="1"/>
    </xf>
    <xf numFmtId="0" fontId="14" fillId="21" borderId="2" xfId="0" applyFont="1" applyFill="1" applyBorder="1" applyAlignment="1">
      <alignment horizontal="center" vertical="top" wrapText="1"/>
    </xf>
    <xf numFmtId="0" fontId="14" fillId="21" borderId="3" xfId="0" applyFont="1" applyFill="1" applyBorder="1" applyAlignment="1">
      <alignment horizontal="center" vertical="top" wrapText="1"/>
    </xf>
    <xf numFmtId="0" fontId="5" fillId="7" borderId="2" xfId="0" applyFont="1" applyFill="1" applyBorder="1" applyAlignment="1">
      <alignment horizontal="center" vertical="top" wrapText="1"/>
    </xf>
    <xf numFmtId="0" fontId="5" fillId="7" borderId="4" xfId="0" applyFont="1" applyFill="1" applyBorder="1" applyAlignment="1">
      <alignment horizontal="center" vertical="top" wrapText="1"/>
    </xf>
    <xf numFmtId="0" fontId="5" fillId="7" borderId="3" xfId="0" applyFont="1" applyFill="1" applyBorder="1" applyAlignment="1">
      <alignment horizontal="center" vertical="top" wrapText="1"/>
    </xf>
    <xf numFmtId="0" fontId="14" fillId="7" borderId="2" xfId="0" applyFont="1" applyFill="1" applyBorder="1" applyAlignment="1">
      <alignment horizontal="center" vertical="top" wrapText="1"/>
    </xf>
    <xf numFmtId="0" fontId="14" fillId="7" borderId="4" xfId="0" applyFont="1" applyFill="1" applyBorder="1" applyAlignment="1">
      <alignment horizontal="center" vertical="top" wrapText="1"/>
    </xf>
    <xf numFmtId="0" fontId="14" fillId="7" borderId="3" xfId="0" applyFont="1" applyFill="1" applyBorder="1" applyAlignment="1">
      <alignment horizontal="center" vertical="top" wrapText="1"/>
    </xf>
    <xf numFmtId="0" fontId="10" fillId="4" borderId="1" xfId="0" applyFont="1" applyFill="1" applyBorder="1" applyAlignment="1">
      <alignment horizontal="left" vertical="top" wrapText="1"/>
    </xf>
    <xf numFmtId="0" fontId="14" fillId="21" borderId="4" xfId="0" applyFont="1" applyFill="1" applyBorder="1" applyAlignment="1">
      <alignment horizontal="center" vertical="top" wrapText="1"/>
    </xf>
    <xf numFmtId="0" fontId="5" fillId="21" borderId="4" xfId="0" applyFont="1" applyFill="1" applyBorder="1" applyAlignment="1">
      <alignment horizontal="center" vertical="top" wrapText="1"/>
    </xf>
    <xf numFmtId="0" fontId="5" fillId="24" borderId="2" xfId="0" applyFont="1" applyFill="1" applyBorder="1" applyAlignment="1">
      <alignment horizontal="center" vertical="top" wrapText="1"/>
    </xf>
    <xf numFmtId="0" fontId="5" fillId="24" borderId="4" xfId="0" applyFont="1" applyFill="1" applyBorder="1" applyAlignment="1">
      <alignment horizontal="center" vertical="top" wrapText="1"/>
    </xf>
    <xf numFmtId="0" fontId="12" fillId="0" borderId="21" xfId="0" applyFont="1" applyFill="1" applyBorder="1" applyAlignment="1">
      <alignment horizontal="left" vertical="top" wrapText="1"/>
    </xf>
    <xf numFmtId="0" fontId="12" fillId="0" borderId="19" xfId="0" applyFont="1" applyFill="1" applyBorder="1" applyAlignment="1">
      <alignment horizontal="left" vertical="top" wrapText="1"/>
    </xf>
    <xf numFmtId="0" fontId="12" fillId="0" borderId="7" xfId="0" applyFont="1" applyFill="1" applyBorder="1" applyAlignment="1">
      <alignment horizontal="left" vertical="top" wrapText="1"/>
    </xf>
    <xf numFmtId="9" fontId="14" fillId="0" borderId="16" xfId="1" applyFont="1" applyFill="1" applyBorder="1" applyAlignment="1">
      <alignment horizontal="center" vertical="top" wrapText="1"/>
    </xf>
    <xf numFmtId="9" fontId="14" fillId="0" borderId="17" xfId="1" applyFont="1" applyFill="1" applyBorder="1" applyAlignment="1">
      <alignment horizontal="center" vertical="top" wrapText="1"/>
    </xf>
    <xf numFmtId="0" fontId="14" fillId="18" borderId="1" xfId="0" applyFont="1" applyFill="1" applyBorder="1" applyAlignment="1">
      <alignment horizontal="left" vertical="top" wrapText="1"/>
    </xf>
    <xf numFmtId="0" fontId="0" fillId="0" borderId="1" xfId="0" applyBorder="1" applyAlignment="1">
      <alignment horizontal="center" vertical="top" wrapText="1"/>
    </xf>
    <xf numFmtId="0" fontId="22" fillId="11" borderId="1" xfId="0" applyFont="1" applyFill="1" applyBorder="1" applyAlignment="1">
      <alignment horizontal="center" vertical="center" wrapText="1"/>
    </xf>
    <xf numFmtId="0" fontId="22" fillId="11" borderId="52" xfId="0" applyFont="1" applyFill="1" applyBorder="1" applyAlignment="1">
      <alignment horizontal="center" vertical="center" wrapText="1"/>
    </xf>
    <xf numFmtId="0" fontId="22" fillId="11" borderId="0" xfId="0" applyFont="1" applyFill="1" applyAlignment="1">
      <alignment horizontal="center" vertical="center" wrapText="1"/>
    </xf>
    <xf numFmtId="0" fontId="22" fillId="11" borderId="61" xfId="0" applyFont="1" applyFill="1" applyBorder="1" applyAlignment="1">
      <alignment horizontal="center" vertical="center" wrapText="1"/>
    </xf>
    <xf numFmtId="0" fontId="22" fillId="11" borderId="62" xfId="0" applyFont="1" applyFill="1" applyBorder="1" applyAlignment="1">
      <alignment horizontal="center" vertical="center" wrapText="1"/>
    </xf>
    <xf numFmtId="0" fontId="22" fillId="11" borderId="63" xfId="0" applyFont="1" applyFill="1" applyBorder="1" applyAlignment="1">
      <alignment horizontal="center" vertical="center" wrapText="1"/>
    </xf>
    <xf numFmtId="0" fontId="0" fillId="0" borderId="1" xfId="0" applyBorder="1" applyAlignment="1">
      <alignment horizontal="center" vertical="center"/>
    </xf>
    <xf numFmtId="0" fontId="28" fillId="0" borderId="27" xfId="0" applyFont="1" applyBorder="1" applyAlignment="1">
      <alignment horizontal="center" vertical="center" wrapText="1"/>
    </xf>
    <xf numFmtId="0" fontId="29" fillId="0" borderId="27" xfId="0" applyFont="1" applyBorder="1" applyAlignment="1">
      <alignment horizontal="left" vertical="center" wrapText="1"/>
    </xf>
    <xf numFmtId="0" fontId="10" fillId="0" borderId="30" xfId="0" applyFont="1" applyBorder="1" applyAlignment="1">
      <alignment horizontal="left" vertical="center"/>
    </xf>
    <xf numFmtId="0" fontId="32" fillId="32" borderId="3" xfId="0" applyFont="1" applyFill="1" applyBorder="1" applyAlignment="1">
      <alignment horizontal="center" vertical="top" wrapText="1"/>
    </xf>
    <xf numFmtId="0" fontId="73" fillId="25" borderId="31" xfId="0" applyFont="1" applyFill="1" applyBorder="1" applyAlignment="1">
      <alignment horizontal="left" vertical="top" wrapText="1"/>
    </xf>
    <xf numFmtId="0" fontId="32" fillId="25" borderId="32" xfId="0" applyFont="1" applyFill="1" applyBorder="1" applyAlignment="1">
      <alignment horizontal="left" vertical="top"/>
    </xf>
    <xf numFmtId="0" fontId="32" fillId="25" borderId="33" xfId="0" applyFont="1" applyFill="1" applyBorder="1" applyAlignment="1">
      <alignment horizontal="left" vertical="top"/>
    </xf>
    <xf numFmtId="0" fontId="10" fillId="0" borderId="24" xfId="0" applyFont="1" applyBorder="1" applyAlignment="1">
      <alignment horizontal="center" vertical="center"/>
    </xf>
    <xf numFmtId="0" fontId="37" fillId="25" borderId="1" xfId="0" applyFont="1" applyFill="1" applyBorder="1" applyAlignment="1">
      <alignment horizontal="left" vertical="top" wrapText="1"/>
    </xf>
    <xf numFmtId="0" fontId="33" fillId="0" borderId="2" xfId="0" applyFont="1" applyBorder="1" applyAlignment="1">
      <alignment horizontal="center" vertical="center" wrapText="1"/>
    </xf>
    <xf numFmtId="0" fontId="33" fillId="26" borderId="4"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33" fillId="25" borderId="1" xfId="0" applyFont="1" applyFill="1" applyBorder="1" applyAlignment="1">
      <alignment horizontal="left" vertical="top"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3" xfId="0" applyFont="1" applyBorder="1" applyAlignment="1">
      <alignment horizontal="center" vertical="center" wrapText="1"/>
    </xf>
    <xf numFmtId="0" fontId="78" fillId="0" borderId="78" xfId="0" applyFont="1" applyBorder="1" applyAlignment="1">
      <alignment horizontal="left" vertical="top" wrapText="1"/>
    </xf>
    <xf numFmtId="0" fontId="78" fillId="0" borderId="79" xfId="0" applyFont="1" applyBorder="1" applyAlignment="1">
      <alignment horizontal="left" vertical="top" wrapText="1"/>
    </xf>
    <xf numFmtId="0" fontId="74" fillId="25" borderId="17" xfId="0" applyFont="1" applyFill="1" applyBorder="1" applyAlignment="1">
      <alignment horizontal="left" vertical="top" wrapText="1"/>
    </xf>
    <xf numFmtId="0" fontId="75" fillId="25" borderId="17" xfId="0" applyFont="1" applyFill="1" applyBorder="1" applyAlignment="1">
      <alignment horizontal="left" vertical="top" wrapText="1"/>
    </xf>
    <xf numFmtId="0" fontId="75" fillId="25" borderId="18" xfId="0" applyFont="1" applyFill="1" applyBorder="1" applyAlignment="1">
      <alignment horizontal="left" vertical="top" wrapText="1"/>
    </xf>
    <xf numFmtId="0" fontId="78" fillId="0" borderId="64" xfId="0" applyFont="1" applyBorder="1" applyAlignment="1">
      <alignment horizontal="left" vertical="top" wrapText="1"/>
    </xf>
    <xf numFmtId="0" fontId="78" fillId="0" borderId="65" xfId="0" applyFont="1" applyBorder="1" applyAlignment="1">
      <alignment horizontal="left" vertical="top" wrapText="1"/>
    </xf>
    <xf numFmtId="0" fontId="78" fillId="0" borderId="76" xfId="0" applyFont="1" applyBorder="1" applyAlignment="1">
      <alignment horizontal="left" vertical="top" wrapText="1"/>
    </xf>
    <xf numFmtId="0" fontId="78" fillId="0" borderId="10" xfId="0" applyFont="1" applyBorder="1" applyAlignment="1">
      <alignment horizontal="left" vertical="top" wrapText="1"/>
    </xf>
    <xf numFmtId="0" fontId="78" fillId="0" borderId="67" xfId="0" applyFont="1" applyBorder="1" applyAlignment="1">
      <alignment horizontal="left" vertical="top" wrapText="1"/>
    </xf>
    <xf numFmtId="0" fontId="78" fillId="0" borderId="77" xfId="0" applyFont="1" applyBorder="1" applyAlignment="1">
      <alignment horizontal="left" vertical="top" wrapText="1"/>
    </xf>
    <xf numFmtId="0" fontId="78" fillId="0" borderId="68" xfId="0" applyFont="1" applyBorder="1" applyAlignment="1">
      <alignment horizontal="left" vertical="top" wrapText="1"/>
    </xf>
    <xf numFmtId="0" fontId="78" fillId="0" borderId="69" xfId="0" applyFont="1" applyBorder="1" applyAlignment="1">
      <alignment horizontal="left" vertical="top" wrapText="1"/>
    </xf>
    <xf numFmtId="0" fontId="78" fillId="0" borderId="70" xfId="0" applyFont="1" applyBorder="1" applyAlignment="1">
      <alignment horizontal="left" vertical="top" wrapText="1"/>
    </xf>
    <xf numFmtId="0" fontId="78" fillId="0" borderId="71" xfId="0" applyFont="1" applyBorder="1" applyAlignment="1">
      <alignment horizontal="left" vertical="top" wrapText="1"/>
    </xf>
    <xf numFmtId="0" fontId="78" fillId="0" borderId="72" xfId="0" applyFont="1" applyBorder="1" applyAlignment="1">
      <alignment horizontal="left" vertical="top" wrapText="1"/>
    </xf>
    <xf numFmtId="0" fontId="78" fillId="0" borderId="73" xfId="0" applyFont="1" applyBorder="1" applyAlignment="1">
      <alignment horizontal="left" vertical="top" wrapText="1"/>
    </xf>
    <xf numFmtId="0" fontId="78" fillId="0" borderId="74" xfId="0" applyFont="1" applyBorder="1" applyAlignment="1">
      <alignment horizontal="left" vertical="top" wrapText="1"/>
    </xf>
    <xf numFmtId="0" fontId="78" fillId="0" borderId="75" xfId="0" applyFont="1" applyBorder="1" applyAlignment="1">
      <alignment horizontal="left" vertical="top" wrapText="1"/>
    </xf>
    <xf numFmtId="0" fontId="78" fillId="0" borderId="66" xfId="0" applyFont="1" applyBorder="1" applyAlignment="1">
      <alignment horizontal="left" vertical="top" wrapText="1"/>
    </xf>
    <xf numFmtId="0" fontId="78" fillId="0" borderId="8" xfId="0" applyFont="1" applyBorder="1" applyAlignment="1">
      <alignment horizontal="left" vertical="top" wrapText="1"/>
    </xf>
    <xf numFmtId="0" fontId="39" fillId="10" borderId="26"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20" xfId="0" applyFont="1" applyBorder="1" applyAlignment="1">
      <alignment horizontal="center" vertical="center" wrapText="1"/>
    </xf>
    <xf numFmtId="0" fontId="33" fillId="25" borderId="2" xfId="0" applyFont="1" applyFill="1" applyBorder="1" applyAlignment="1">
      <alignment horizontal="left" vertical="top" wrapText="1"/>
    </xf>
    <xf numFmtId="0" fontId="38" fillId="0" borderId="1" xfId="0" applyFont="1" applyBorder="1" applyAlignment="1">
      <alignment horizontal="left" vertical="top" wrapText="1"/>
    </xf>
    <xf numFmtId="0" fontId="40" fillId="0" borderId="40" xfId="0" applyFont="1" applyBorder="1" applyAlignment="1">
      <alignment horizontal="center" vertical="top"/>
    </xf>
    <xf numFmtId="0" fontId="40" fillId="0" borderId="41" xfId="0" applyFont="1" applyBorder="1" applyAlignment="1">
      <alignment horizontal="center" vertical="top"/>
    </xf>
    <xf numFmtId="0" fontId="73" fillId="25" borderId="80" xfId="0" applyFont="1" applyFill="1" applyBorder="1" applyAlignment="1">
      <alignment horizontal="left" vertical="top" wrapText="1"/>
    </xf>
    <xf numFmtId="0" fontId="73" fillId="25" borderId="27" xfId="0" applyFont="1" applyFill="1" applyBorder="1" applyAlignment="1">
      <alignment horizontal="left" vertical="top" wrapText="1"/>
    </xf>
    <xf numFmtId="0" fontId="73" fillId="25" borderId="81"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5" fillId="25" borderId="0" xfId="0" applyFont="1" applyFill="1" applyAlignment="1">
      <alignment horizontal="left" vertical="top"/>
    </xf>
    <xf numFmtId="0" fontId="45" fillId="25" borderId="0" xfId="0" applyFont="1" applyFill="1" applyAlignment="1">
      <alignment horizontal="left" vertical="top" wrapText="1"/>
    </xf>
    <xf numFmtId="0" fontId="38" fillId="0" borderId="44" xfId="0" applyFont="1" applyBorder="1" applyAlignment="1">
      <alignment horizontal="left" vertical="top" wrapText="1"/>
    </xf>
    <xf numFmtId="0" fontId="49" fillId="0" borderId="3" xfId="0" applyFont="1" applyBorder="1" applyAlignment="1">
      <alignment horizontal="left" vertical="top" wrapText="1"/>
    </xf>
    <xf numFmtId="0" fontId="48" fillId="0" borderId="1" xfId="0" applyFont="1" applyBorder="1" applyAlignment="1">
      <alignment horizontal="left" vertical="top" wrapText="1"/>
    </xf>
    <xf numFmtId="0" fontId="44" fillId="32" borderId="42" xfId="0" applyFont="1" applyFill="1" applyBorder="1" applyAlignment="1">
      <alignment horizontal="center" vertical="center"/>
    </xf>
    <xf numFmtId="0" fontId="44" fillId="32" borderId="43" xfId="0" applyFont="1" applyFill="1" applyBorder="1" applyAlignment="1">
      <alignment horizontal="center" vertical="center"/>
    </xf>
    <xf numFmtId="0" fontId="44" fillId="32" borderId="53" xfId="0" applyFont="1" applyFill="1" applyBorder="1" applyAlignment="1">
      <alignment horizontal="center" vertical="center"/>
    </xf>
    <xf numFmtId="0" fontId="38" fillId="10" borderId="26"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10" borderId="28" xfId="0" applyFont="1" applyFill="1" applyBorder="1" applyAlignment="1">
      <alignment horizontal="center"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4" fillId="32" borderId="54" xfId="0" applyFont="1" applyFill="1" applyBorder="1" applyAlignment="1">
      <alignment horizontal="center"/>
    </xf>
    <xf numFmtId="0" fontId="44" fillId="32" borderId="32" xfId="0" applyFont="1" applyFill="1" applyBorder="1" applyAlignment="1">
      <alignment horizontal="center"/>
    </xf>
    <xf numFmtId="0" fontId="54" fillId="0" borderId="24" xfId="0" applyFont="1" applyBorder="1" applyAlignment="1">
      <alignment horizontal="center" vertical="top"/>
    </xf>
    <xf numFmtId="0" fontId="54" fillId="0" borderId="49" xfId="0" applyFont="1" applyBorder="1" applyAlignment="1">
      <alignment horizontal="center" vertical="top"/>
    </xf>
    <xf numFmtId="0" fontId="55" fillId="0" borderId="50" xfId="0" applyFont="1" applyBorder="1" applyAlignment="1">
      <alignment horizontal="left" vertical="top" wrapText="1"/>
    </xf>
    <xf numFmtId="0" fontId="55" fillId="0" borderId="22" xfId="0" applyFont="1" applyBorder="1" applyAlignment="1">
      <alignment horizontal="left" vertical="top" wrapText="1"/>
    </xf>
    <xf numFmtId="0" fontId="43" fillId="0" borderId="26" xfId="0" applyFont="1" applyBorder="1" applyAlignment="1">
      <alignment horizontal="left" vertical="top" wrapText="1"/>
    </xf>
    <xf numFmtId="0" fontId="43" fillId="0" borderId="27" xfId="0" applyFont="1" applyBorder="1" applyAlignment="1">
      <alignment horizontal="left" vertical="top" wrapText="1"/>
    </xf>
    <xf numFmtId="0" fontId="32" fillId="25" borderId="0" xfId="0" applyFont="1" applyFill="1" applyAlignment="1">
      <alignment horizontal="left" vertical="top"/>
    </xf>
    <xf numFmtId="0" fontId="32" fillId="25" borderId="0" xfId="0" applyFont="1" applyFill="1" applyAlignment="1">
      <alignment horizontal="left" vertical="top" wrapText="1"/>
    </xf>
    <xf numFmtId="0" fontId="38" fillId="10" borderId="55" xfId="0" applyFont="1" applyFill="1" applyBorder="1" applyAlignment="1">
      <alignment horizontal="center" vertical="top"/>
    </xf>
    <xf numFmtId="0" fontId="38" fillId="10" borderId="0" xfId="0" applyFont="1" applyFill="1" applyAlignment="1">
      <alignment horizontal="center" vertical="top"/>
    </xf>
    <xf numFmtId="0" fontId="38" fillId="10" borderId="56" xfId="0" applyFont="1" applyFill="1" applyBorder="1" applyAlignment="1">
      <alignment horizontal="center" vertical="top"/>
    </xf>
    <xf numFmtId="0" fontId="48" fillId="25" borderId="4" xfId="0" applyFont="1" applyFill="1" applyBorder="1" applyAlignment="1">
      <alignment horizontal="left" vertical="top" wrapText="1"/>
    </xf>
    <xf numFmtId="0" fontId="48" fillId="25" borderId="20" xfId="0" applyFont="1" applyFill="1" applyBorder="1" applyAlignment="1">
      <alignment horizontal="left" vertical="top" wrapText="1"/>
    </xf>
    <xf numFmtId="0" fontId="38" fillId="25" borderId="1" xfId="0" applyFont="1" applyFill="1" applyBorder="1" applyAlignment="1">
      <alignment horizontal="left" vertical="top"/>
    </xf>
    <xf numFmtId="0" fontId="80" fillId="0" borderId="64" xfId="0" applyFont="1" applyBorder="1" applyAlignment="1">
      <alignment horizontal="left" vertical="top" wrapText="1"/>
    </xf>
    <xf numFmtId="0" fontId="80" fillId="0" borderId="65" xfId="0" applyFont="1" applyBorder="1" applyAlignment="1">
      <alignment horizontal="left" vertical="top" wrapText="1"/>
    </xf>
    <xf numFmtId="0" fontId="80" fillId="0" borderId="76" xfId="0" applyFont="1" applyBorder="1" applyAlignment="1">
      <alignment horizontal="left" vertical="top" wrapText="1"/>
    </xf>
    <xf numFmtId="0" fontId="80" fillId="0" borderId="10" xfId="0" applyFont="1" applyBorder="1" applyAlignment="1">
      <alignment horizontal="left" vertical="top" wrapText="1"/>
    </xf>
    <xf numFmtId="0" fontId="80" fillId="0" borderId="67" xfId="0" applyFont="1" applyBorder="1" applyAlignment="1">
      <alignment horizontal="left" vertical="top" wrapText="1"/>
    </xf>
    <xf numFmtId="0" fontId="80" fillId="0" borderId="77" xfId="0" applyFont="1" applyBorder="1" applyAlignment="1">
      <alignment horizontal="left" vertical="top" wrapText="1"/>
    </xf>
    <xf numFmtId="0" fontId="80" fillId="0" borderId="68" xfId="0" applyFont="1" applyBorder="1" applyAlignment="1">
      <alignment horizontal="left" vertical="top" wrapText="1"/>
    </xf>
    <xf numFmtId="0" fontId="80" fillId="0" borderId="69" xfId="0" applyFont="1" applyBorder="1" applyAlignment="1">
      <alignment horizontal="left" vertical="top" wrapText="1"/>
    </xf>
    <xf numFmtId="0" fontId="80" fillId="0" borderId="70" xfId="0" applyFont="1" applyBorder="1" applyAlignment="1">
      <alignment horizontal="left" vertical="top" wrapText="1"/>
    </xf>
    <xf numFmtId="0" fontId="80" fillId="0" borderId="71" xfId="0" applyFont="1" applyBorder="1" applyAlignment="1">
      <alignment horizontal="left" vertical="top" wrapText="1"/>
    </xf>
    <xf numFmtId="0" fontId="80" fillId="0" borderId="72" xfId="0" applyFont="1" applyBorder="1" applyAlignment="1">
      <alignment horizontal="left" vertical="top" wrapText="1"/>
    </xf>
    <xf numFmtId="0" fontId="80" fillId="0" borderId="73" xfId="0" applyFont="1" applyBorder="1" applyAlignment="1">
      <alignment horizontal="left" vertical="top" wrapText="1"/>
    </xf>
    <xf numFmtId="0" fontId="80" fillId="0" borderId="74" xfId="0" applyFont="1" applyBorder="1" applyAlignment="1">
      <alignment horizontal="left" vertical="top" wrapText="1"/>
    </xf>
    <xf numFmtId="0" fontId="80" fillId="0" borderId="75" xfId="0" applyFont="1" applyBorder="1" applyAlignment="1">
      <alignment horizontal="left" vertical="top" wrapText="1"/>
    </xf>
    <xf numFmtId="0" fontId="80" fillId="0" borderId="66" xfId="0" applyFont="1" applyBorder="1" applyAlignment="1">
      <alignment horizontal="left" vertical="top" wrapText="1"/>
    </xf>
    <xf numFmtId="0" fontId="80" fillId="0" borderId="8" xfId="0" applyFont="1" applyBorder="1" applyAlignment="1">
      <alignment horizontal="left" vertical="top" wrapText="1"/>
    </xf>
    <xf numFmtId="0" fontId="80" fillId="0" borderId="78" xfId="0" applyFont="1" applyBorder="1" applyAlignment="1">
      <alignment horizontal="left" vertical="top" wrapText="1"/>
    </xf>
    <xf numFmtId="0" fontId="80" fillId="0" borderId="79" xfId="0" applyFont="1" applyBorder="1" applyAlignment="1">
      <alignment horizontal="left" vertical="top" wrapText="1"/>
    </xf>
    <xf numFmtId="0" fontId="78" fillId="0" borderId="0" xfId="0" applyFont="1" applyBorder="1" applyAlignment="1">
      <alignment horizontal="left" vertical="top" wrapText="1"/>
    </xf>
    <xf numFmtId="0" fontId="18" fillId="15" borderId="2" xfId="0" applyFont="1" applyFill="1" applyBorder="1" applyAlignment="1" applyProtection="1">
      <alignment horizontal="center" vertical="top" wrapText="1"/>
      <protection locked="0"/>
    </xf>
    <xf numFmtId="0" fontId="18" fillId="15" borderId="4" xfId="0" applyFont="1" applyFill="1" applyBorder="1" applyAlignment="1" applyProtection="1">
      <alignment horizontal="center" vertical="top" wrapText="1"/>
      <protection locked="0"/>
    </xf>
    <xf numFmtId="0" fontId="18" fillId="15" borderId="3" xfId="0" applyFont="1" applyFill="1" applyBorder="1" applyAlignment="1" applyProtection="1">
      <alignment horizontal="center" vertical="top" wrapText="1"/>
      <protection locked="0"/>
    </xf>
  </cellXfs>
  <cellStyles count="17">
    <cellStyle name="Hipervínculo" xfId="15" builtinId="8"/>
    <cellStyle name="Hipervínculo 2" xfId="8"/>
    <cellStyle name="Hyperlink" xfId="16"/>
    <cellStyle name="Millares [0]" xfId="14" builtinId="6"/>
    <cellStyle name="Millares 2" xfId="10"/>
    <cellStyle name="Millares 3" xfId="9"/>
    <cellStyle name="Moneda" xfId="11" builtinId="4"/>
    <cellStyle name="Moneda [0]" xfId="12" builtinId="7"/>
    <cellStyle name="Moneda [0] 2 2" xfId="2"/>
    <cellStyle name="Normal" xfId="0" builtinId="0"/>
    <cellStyle name="Normal 2" xfId="6"/>
    <cellStyle name="Normal 2 2" xfId="13"/>
    <cellStyle name="Normal 3" xfId="3"/>
    <cellStyle name="Normal 4" xfId="4"/>
    <cellStyle name="Porcentaje" xfId="1" builtinId="5"/>
    <cellStyle name="Porcentaje 2" xfId="5"/>
    <cellStyle name="Porcentual 2" xfId="7"/>
  </cellStyles>
  <dxfs count="0"/>
  <tableStyles count="0" defaultTableStyle="TableStyleMedium2" defaultPivotStyle="PivotStyleLight16"/>
  <colors>
    <mruColors>
      <color rgb="FF00FF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70-455C-A930-CBBF97D851D8}"/>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70-455C-A930-CBBF97D851D8}"/>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70-455C-A930-CBBF97D851D8}"/>
                </c:ext>
              </c:extLst>
            </c:dLbl>
            <c:dLbl>
              <c:idx val="3"/>
              <c:layout>
                <c:manualLayout>
                  <c:x val="1.2281213038936744E-2"/>
                  <c:y val="-0.135420542285705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70-455C-A930-CBBF97D851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0.16899305555555555</c:v>
                </c:pt>
                <c:pt idx="1">
                  <c:v>0.17660407345884094</c:v>
                </c:pt>
                <c:pt idx="2">
                  <c:v>0.21563035461586189</c:v>
                </c:pt>
                <c:pt idx="3">
                  <c:v>0.13432900432900435</c:v>
                </c:pt>
              </c:numCache>
            </c:numRef>
          </c:val>
          <c:extLst>
            <c:ext xmlns:c16="http://schemas.microsoft.com/office/drawing/2014/chart" uri="{C3380CC4-5D6E-409C-BE32-E72D297353CC}">
              <c16:uniqueId val="{00000004-B270-455C-A930-CBBF97D851D8}"/>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5599569685411598E-2"/>
          <c:y val="0.17123373844968298"/>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F9D-4728-AF41-3C06F4306CF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F9D-4728-AF41-3C06F4306CF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F9D-4728-AF41-3C06F4306CF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F9D-4728-AF41-3C06F4306CF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F9D-4728-AF41-3C06F4306CFC}"/>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FF9D-4728-AF41-3C06F4306CFC}"/>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21989889383668948"/>
          <c:y val="5.89897495066808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1.8982175274437418E-2"/>
          <c:y val="0.19894363863498388"/>
          <c:w val="0.59012119544440667"/>
          <c:h val="0.75616497995057819"/>
        </c:manualLayout>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D3E-4C1A-857B-71FCE0E7736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D3E-4C1A-857B-71FCE0E7736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D3E-4C1A-857B-71FCE0E77360}"/>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BD3E-4C1A-857B-71FCE0E7736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99-43B6-AA50-7FB71F9C5D9F}"/>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99-43B6-AA50-7FB71F9C5D9F}"/>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99-43B6-AA50-7FB71F9C5D9F}"/>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99-43B6-AA50-7FB71F9C5D9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0.24926315789473691</c:v>
                </c:pt>
                <c:pt idx="1">
                  <c:v>0.15709921259842519</c:v>
                </c:pt>
                <c:pt idx="2">
                  <c:v>0.2225641025641025</c:v>
                </c:pt>
                <c:pt idx="3">
                  <c:v>0.14833333333333334</c:v>
                </c:pt>
              </c:numCache>
            </c:numRef>
          </c:val>
          <c:extLst>
            <c:ext xmlns:c16="http://schemas.microsoft.com/office/drawing/2014/chart" uri="{C3380CC4-5D6E-409C-BE32-E72D297353CC}">
              <c16:uniqueId val="{00000004-6E99-43B6-AA50-7FB71F9C5D9F}"/>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323F-484C-8561-0BA741C7FB3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23F-484C-8561-0BA741C7FB3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323F-484C-8561-0BA741C7FB34}"/>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323F-484C-8561-0BA741C7FB34}"/>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323F-484C-8561-0BA741C7FB34}"/>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323F-484C-8561-0BA741C7FB34}"/>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323F-484C-8561-0BA741C7FB34}"/>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323F-484C-8561-0BA741C7FB34}"/>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323F-484C-8561-0BA741C7FB34}"/>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323F-484C-8561-0BA741C7FB34}"/>
              </c:ext>
            </c:extLst>
          </c:dPt>
          <c:dPt>
            <c:idx val="10"/>
            <c:bubble3D val="0"/>
            <c:spPr>
              <a:noFill/>
              <a:ln w="19050">
                <a:noFill/>
              </a:ln>
              <a:effectLst/>
            </c:spPr>
            <c:extLst>
              <c:ext xmlns:c16="http://schemas.microsoft.com/office/drawing/2014/chart" uri="{C3380CC4-5D6E-409C-BE32-E72D297353CC}">
                <c16:uniqueId val="{00000015-323F-484C-8561-0BA741C7FB34}"/>
              </c:ext>
            </c:extLst>
          </c:dPt>
          <c:dLbls>
            <c:dLbl>
              <c:idx val="0"/>
              <c:layout>
                <c:manualLayout>
                  <c:x val="-7.2222222222222215E-2"/>
                  <c:y val="-2.3148148148148147E-2"/>
                </c:manualLayout>
              </c:layout>
              <c:tx>
                <c:rich>
                  <a:bodyPr/>
                  <a:lstStyle/>
                  <a:p>
                    <a:fld id="{75592535-9AEE-474F-B671-94185691BEC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323F-484C-8561-0BA741C7FB34}"/>
                </c:ext>
              </c:extLst>
            </c:dLbl>
            <c:dLbl>
              <c:idx val="1"/>
              <c:layout>
                <c:manualLayout>
                  <c:x val="-6.3888888888888884E-2"/>
                  <c:y val="-6.9444444444444448E-2"/>
                </c:manualLayout>
              </c:layout>
              <c:tx>
                <c:rich>
                  <a:bodyPr/>
                  <a:lstStyle/>
                  <a:p>
                    <a:fld id="{C3F3F92E-C36E-4A6C-8C62-1BCBF8FF745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323F-484C-8561-0BA741C7FB34}"/>
                </c:ext>
              </c:extLst>
            </c:dLbl>
            <c:dLbl>
              <c:idx val="2"/>
              <c:layout>
                <c:manualLayout>
                  <c:x val="-4.7222222222222221E-2"/>
                  <c:y val="-8.3333333333333356E-2"/>
                </c:manualLayout>
              </c:layout>
              <c:tx>
                <c:rich>
                  <a:bodyPr/>
                  <a:lstStyle/>
                  <a:p>
                    <a:fld id="{442B1C84-8D81-4C3C-853B-91A5077EF72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323F-484C-8561-0BA741C7FB34}"/>
                </c:ext>
              </c:extLst>
            </c:dLbl>
            <c:dLbl>
              <c:idx val="3"/>
              <c:layout>
                <c:manualLayout>
                  <c:x val="-3.8888888888888938E-2"/>
                  <c:y val="-0.125"/>
                </c:manualLayout>
              </c:layout>
              <c:tx>
                <c:rich>
                  <a:bodyPr/>
                  <a:lstStyle/>
                  <a:p>
                    <a:fld id="{2E7DFF1C-3363-45C8-ADF4-F04A92254C7E}"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323F-484C-8561-0BA741C7FB34}"/>
                </c:ext>
              </c:extLst>
            </c:dLbl>
            <c:dLbl>
              <c:idx val="4"/>
              <c:layout>
                <c:manualLayout>
                  <c:x val="-1.6666666666666718E-2"/>
                  <c:y val="-0.1388888888888889"/>
                </c:manualLayout>
              </c:layout>
              <c:tx>
                <c:rich>
                  <a:bodyPr/>
                  <a:lstStyle/>
                  <a:p>
                    <a:fld id="{C54C5732-B200-47D6-BC56-EA6A492B99E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323F-484C-8561-0BA741C7FB34}"/>
                </c:ext>
              </c:extLst>
            </c:dLbl>
            <c:dLbl>
              <c:idx val="5"/>
              <c:layout>
                <c:manualLayout>
                  <c:x val="1.9444444444444545E-2"/>
                  <c:y val="-0.12962962962962962"/>
                </c:manualLayout>
              </c:layout>
              <c:tx>
                <c:rich>
                  <a:bodyPr/>
                  <a:lstStyle/>
                  <a:p>
                    <a:fld id="{A025D895-7209-47F8-837C-9ECB90AC4F3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323F-484C-8561-0BA741C7FB34}"/>
                </c:ext>
              </c:extLst>
            </c:dLbl>
            <c:dLbl>
              <c:idx val="6"/>
              <c:layout>
                <c:manualLayout>
                  <c:x val="3.0555555555555555E-2"/>
                  <c:y val="-0.1111111111111111"/>
                </c:manualLayout>
              </c:layout>
              <c:tx>
                <c:rich>
                  <a:bodyPr/>
                  <a:lstStyle/>
                  <a:p>
                    <a:fld id="{3D367108-52BD-4028-A9B5-A2CEB4F5222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323F-484C-8561-0BA741C7FB34}"/>
                </c:ext>
              </c:extLst>
            </c:dLbl>
            <c:dLbl>
              <c:idx val="7"/>
              <c:layout>
                <c:manualLayout>
                  <c:x val="4.4444444444444446E-2"/>
                  <c:y val="-7.870370370370372E-2"/>
                </c:manualLayout>
              </c:layout>
              <c:tx>
                <c:rich>
                  <a:bodyPr/>
                  <a:lstStyle/>
                  <a:p>
                    <a:fld id="{EA6B637C-61DE-4B36-BC0D-9BC15866198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323F-484C-8561-0BA741C7FB34}"/>
                </c:ext>
              </c:extLst>
            </c:dLbl>
            <c:dLbl>
              <c:idx val="8"/>
              <c:layout>
                <c:manualLayout>
                  <c:x val="6.3888888888888884E-2"/>
                  <c:y val="-4.6296296296296294E-2"/>
                </c:manualLayout>
              </c:layout>
              <c:tx>
                <c:rich>
                  <a:bodyPr/>
                  <a:lstStyle/>
                  <a:p>
                    <a:fld id="{5CF1EA84-EABB-40EB-9D13-B8518AA5A6F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323F-484C-8561-0BA741C7FB34}"/>
                </c:ext>
              </c:extLst>
            </c:dLbl>
            <c:dLbl>
              <c:idx val="9"/>
              <c:layout>
                <c:manualLayout>
                  <c:x val="7.2222222222222215E-2"/>
                  <c:y val="-1.8518518518518517E-2"/>
                </c:manualLayout>
              </c:layout>
              <c:tx>
                <c:rich>
                  <a:bodyPr/>
                  <a:lstStyle/>
                  <a:p>
                    <a:fld id="{2D978B13-B711-4751-8247-EDEC1080C60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323F-484C-8561-0BA741C7FB34}"/>
                </c:ext>
              </c:extLst>
            </c:dLbl>
            <c:dLbl>
              <c:idx val="10"/>
              <c:tx>
                <c:rich>
                  <a:bodyPr/>
                  <a:lstStyle/>
                  <a:p>
                    <a:fld id="{4FC2E30A-A94C-4529-AF44-2C7BBAE63F8F}"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3F-484C-8561-0BA741C7FB3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323F-484C-8561-0BA741C7FB34}"/>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-0.8544584496844938</c:v>
                </c:pt>
              </c:numCache>
            </c:numRef>
          </c:xVal>
          <c:yVal>
            <c:numRef>
              <c:f>'AVANCES 2022'!$D$29:$D$30</c:f>
              <c:numCache>
                <c:formatCode>General</c:formatCode>
                <c:ptCount val="2"/>
                <c:pt idx="0">
                  <c:v>0</c:v>
                </c:pt>
                <c:pt idx="1">
                  <c:v>0.51951973760654313</c:v>
                </c:pt>
              </c:numCache>
            </c:numRef>
          </c:yVal>
          <c:smooth val="1"/>
          <c:extLst>
            <c:ext xmlns:c16="http://schemas.microsoft.com/office/drawing/2014/chart" uri="{C3380CC4-5D6E-409C-BE32-E72D297353CC}">
              <c16:uniqueId val="{00000017-323F-484C-8561-0BA741C7FB34}"/>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E21-4CAD-BE96-81D4B64C892C}"/>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E21-4CAD-BE96-81D4B64C892C}"/>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21-4CAD-BE96-81D4B64C892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4.2414749245670645E-2</c:v>
                </c:pt>
                <c:pt idx="1">
                  <c:v>0.11637385762385763</c:v>
                </c:pt>
                <c:pt idx="2">
                  <c:v>5.5326878306878297E-2</c:v>
                </c:pt>
              </c:numCache>
            </c:numRef>
          </c:val>
          <c:extLst>
            <c:ext xmlns:c16="http://schemas.microsoft.com/office/drawing/2014/chart" uri="{C3380CC4-5D6E-409C-BE32-E72D297353CC}">
              <c16:uniqueId val="{00000000-4E21-4CAD-BE96-81D4B64C892C}"/>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0411573711974516E-2"/>
          <c:y val="5.436090574492964E-2"/>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AD0-4427-9F92-0A20FC35B5E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AD0-4427-9F92-0A20FC35B5E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AD0-4427-9F92-0A20FC35B5E9}"/>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AD0-4427-9F92-0A20FC35B5E9}"/>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AD0-4427-9F92-0A20FC35B5E9}"/>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ext>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AAD0-4427-9F92-0A20FC35B5E9}"/>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15567020476170443"/>
          <c:y val="6.27308197084337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FA2-41A4-AC67-15CB30DB731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FA2-41A4-AC67-15CB30DB731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FA2-41A4-AC67-15CB30DB7311}"/>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1FA2-41A4-AC67-15CB30DB731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2E-471F-A9DA-122F06231752}"/>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2E-471F-A9DA-122F06231752}"/>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2E-471F-A9DA-122F06231752}"/>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2E-471F-A9DA-122F062317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0.24926315789473691</c:v>
                </c:pt>
                <c:pt idx="1">
                  <c:v>0.15709921259842519</c:v>
                </c:pt>
                <c:pt idx="2">
                  <c:v>0.2225641025641025</c:v>
                </c:pt>
                <c:pt idx="3">
                  <c:v>0.14833333333333334</c:v>
                </c:pt>
              </c:numCache>
            </c:numRef>
          </c:val>
          <c:extLst>
            <c:ext xmlns:c16="http://schemas.microsoft.com/office/drawing/2014/chart" uri="{C3380CC4-5D6E-409C-BE32-E72D297353CC}">
              <c16:uniqueId val="{00000004-5F2E-471F-A9DA-122F06231752}"/>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B7-462A-B185-66219BA9B1AA}"/>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7-462A-B185-66219BA9B1AA}"/>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B7-462A-B185-66219BA9B1AA}"/>
                </c:ext>
              </c:extLst>
            </c:dLbl>
            <c:dLbl>
              <c:idx val="3"/>
              <c:layout>
                <c:manualLayout>
                  <c:x val="2.1061233809739842E-3"/>
                  <c:y val="-8.8335940429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B7-462A-B185-66219BA9B1A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0.16899305555555555</c:v>
                </c:pt>
                <c:pt idx="1">
                  <c:v>0.17660407345884094</c:v>
                </c:pt>
                <c:pt idx="2">
                  <c:v>0.21563035461586189</c:v>
                </c:pt>
                <c:pt idx="3">
                  <c:v>0.13432900432900435</c:v>
                </c:pt>
              </c:numCache>
            </c:numRef>
          </c:val>
          <c:extLst>
            <c:ext xmlns:c16="http://schemas.microsoft.com/office/drawing/2014/chart" uri="{C3380CC4-5D6E-409C-BE32-E72D297353CC}">
              <c16:uniqueId val="{00000004-9BB7-462A-B185-66219BA9B1AA}"/>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D0C6-4F32-A555-E9A9915BD469}"/>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0C6-4F32-A555-E9A9915BD469}"/>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0C6-4F32-A555-E9A9915BD469}"/>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D0C6-4F32-A555-E9A9915BD469}"/>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D0C6-4F32-A555-E9A9915BD469}"/>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D0C6-4F32-A555-E9A9915BD469}"/>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D0C6-4F32-A555-E9A9915BD469}"/>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D0C6-4F32-A555-E9A9915BD469}"/>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D0C6-4F32-A555-E9A9915BD469}"/>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D0C6-4F32-A555-E9A9915BD469}"/>
              </c:ext>
            </c:extLst>
          </c:dPt>
          <c:dPt>
            <c:idx val="10"/>
            <c:bubble3D val="0"/>
            <c:spPr>
              <a:noFill/>
              <a:ln w="19050">
                <a:noFill/>
              </a:ln>
              <a:effectLst/>
            </c:spPr>
            <c:extLst>
              <c:ext xmlns:c16="http://schemas.microsoft.com/office/drawing/2014/chart" uri="{C3380CC4-5D6E-409C-BE32-E72D297353CC}">
                <c16:uniqueId val="{00000015-D0C6-4F32-A555-E9A9915BD469}"/>
              </c:ext>
            </c:extLst>
          </c:dPt>
          <c:dLbls>
            <c:dLbl>
              <c:idx val="0"/>
              <c:layout>
                <c:manualLayout>
                  <c:x val="-7.2222222222222215E-2"/>
                  <c:y val="-2.3148148148148147E-2"/>
                </c:manualLayout>
              </c:layout>
              <c:tx>
                <c:rich>
                  <a:bodyPr/>
                  <a:lstStyle/>
                  <a:p>
                    <a:fld id="{DD57DF39-D7E6-4799-BF02-0E35766D026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0C6-4F32-A555-E9A9915BD469}"/>
                </c:ext>
              </c:extLst>
            </c:dLbl>
            <c:dLbl>
              <c:idx val="1"/>
              <c:layout>
                <c:manualLayout>
                  <c:x val="-6.3888888888888884E-2"/>
                  <c:y val="-6.9444444444444448E-2"/>
                </c:manualLayout>
              </c:layout>
              <c:tx>
                <c:rich>
                  <a:bodyPr/>
                  <a:lstStyle/>
                  <a:p>
                    <a:fld id="{EFB7C359-BEBE-4AE7-80E4-1BAD9A00DBA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C6-4F32-A555-E9A9915BD469}"/>
                </c:ext>
              </c:extLst>
            </c:dLbl>
            <c:dLbl>
              <c:idx val="2"/>
              <c:layout>
                <c:manualLayout>
                  <c:x val="-4.7222222222222221E-2"/>
                  <c:y val="-8.3333333333333356E-2"/>
                </c:manualLayout>
              </c:layout>
              <c:tx>
                <c:rich>
                  <a:bodyPr/>
                  <a:lstStyle/>
                  <a:p>
                    <a:fld id="{C1507EC7-ECBB-4F43-A55A-D83D13E121D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0C6-4F32-A555-E9A9915BD469}"/>
                </c:ext>
              </c:extLst>
            </c:dLbl>
            <c:dLbl>
              <c:idx val="3"/>
              <c:layout>
                <c:manualLayout>
                  <c:x val="-3.8888888888888938E-2"/>
                  <c:y val="-0.125"/>
                </c:manualLayout>
              </c:layout>
              <c:tx>
                <c:rich>
                  <a:bodyPr/>
                  <a:lstStyle/>
                  <a:p>
                    <a:fld id="{62FA30DB-8812-470D-89BE-4957BA06A49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C6-4F32-A555-E9A9915BD469}"/>
                </c:ext>
              </c:extLst>
            </c:dLbl>
            <c:dLbl>
              <c:idx val="4"/>
              <c:layout>
                <c:manualLayout>
                  <c:x val="-1.6666666666666718E-2"/>
                  <c:y val="-0.1388888888888889"/>
                </c:manualLayout>
              </c:layout>
              <c:tx>
                <c:rich>
                  <a:bodyPr/>
                  <a:lstStyle/>
                  <a:p>
                    <a:fld id="{6D678058-E26A-4E12-9A63-C443FB61EF2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C6-4F32-A555-E9A9915BD469}"/>
                </c:ext>
              </c:extLst>
            </c:dLbl>
            <c:dLbl>
              <c:idx val="5"/>
              <c:layout>
                <c:manualLayout>
                  <c:x val="1.9444444444444545E-2"/>
                  <c:y val="-0.12962962962962962"/>
                </c:manualLayout>
              </c:layout>
              <c:tx>
                <c:rich>
                  <a:bodyPr/>
                  <a:lstStyle/>
                  <a:p>
                    <a:fld id="{5EE2E217-9BCD-47CE-BC26-6F7A708CDB0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0C6-4F32-A555-E9A9915BD469}"/>
                </c:ext>
              </c:extLst>
            </c:dLbl>
            <c:dLbl>
              <c:idx val="6"/>
              <c:layout>
                <c:manualLayout>
                  <c:x val="3.0555555555555555E-2"/>
                  <c:y val="-0.1111111111111111"/>
                </c:manualLayout>
              </c:layout>
              <c:tx>
                <c:rich>
                  <a:bodyPr/>
                  <a:lstStyle/>
                  <a:p>
                    <a:fld id="{8B6D80F1-6712-48A8-90F3-4C9DF4CC1F3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C6-4F32-A555-E9A9915BD469}"/>
                </c:ext>
              </c:extLst>
            </c:dLbl>
            <c:dLbl>
              <c:idx val="7"/>
              <c:layout>
                <c:manualLayout>
                  <c:x val="4.4444444444444446E-2"/>
                  <c:y val="-7.870370370370372E-2"/>
                </c:manualLayout>
              </c:layout>
              <c:tx>
                <c:rich>
                  <a:bodyPr/>
                  <a:lstStyle/>
                  <a:p>
                    <a:fld id="{9D4E3E0C-8916-4DEC-BDC5-E24686991EC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0C6-4F32-A555-E9A9915BD469}"/>
                </c:ext>
              </c:extLst>
            </c:dLbl>
            <c:dLbl>
              <c:idx val="8"/>
              <c:layout>
                <c:manualLayout>
                  <c:x val="6.3888888888888884E-2"/>
                  <c:y val="-4.6296296296296294E-2"/>
                </c:manualLayout>
              </c:layout>
              <c:tx>
                <c:rich>
                  <a:bodyPr/>
                  <a:lstStyle/>
                  <a:p>
                    <a:fld id="{A03A7519-2687-4D3B-8A39-CE276E05223E}"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0C6-4F32-A555-E9A9915BD469}"/>
                </c:ext>
              </c:extLst>
            </c:dLbl>
            <c:dLbl>
              <c:idx val="9"/>
              <c:layout>
                <c:manualLayout>
                  <c:x val="7.2222222222222215E-2"/>
                  <c:y val="-1.8518518518518517E-2"/>
                </c:manualLayout>
              </c:layout>
              <c:tx>
                <c:rich>
                  <a:bodyPr/>
                  <a:lstStyle/>
                  <a:p>
                    <a:fld id="{1E68A8E8-195F-4670-8F4D-141D3437BAC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0C6-4F32-A555-E9A9915BD469}"/>
                </c:ext>
              </c:extLst>
            </c:dLbl>
            <c:dLbl>
              <c:idx val="10"/>
              <c:tx>
                <c:rich>
                  <a:bodyPr/>
                  <a:lstStyle/>
                  <a:p>
                    <a:fld id="{DBC18CC2-89A6-4849-819A-0523BC562DC0}"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0C6-4F32-A555-E9A9915BD46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D0C6-4F32-A555-E9A9915BD469}"/>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-0.8544584496844938</c:v>
                </c:pt>
              </c:numCache>
            </c:numRef>
          </c:xVal>
          <c:yVal>
            <c:numRef>
              <c:f>'AVANCES 2022'!$D$29:$D$30</c:f>
              <c:numCache>
                <c:formatCode>General</c:formatCode>
                <c:ptCount val="2"/>
                <c:pt idx="0">
                  <c:v>0</c:v>
                </c:pt>
                <c:pt idx="1">
                  <c:v>0.51951973760654313</c:v>
                </c:pt>
              </c:numCache>
            </c:numRef>
          </c:yVal>
          <c:smooth val="1"/>
          <c:extLst>
            <c:ext xmlns:c16="http://schemas.microsoft.com/office/drawing/2014/chart" uri="{C3380CC4-5D6E-409C-BE32-E72D297353CC}">
              <c16:uniqueId val="{00000017-D0C6-4F32-A555-E9A9915BD469}"/>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01-4C39-A62D-F4ADE406C546}"/>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1-4C39-A62D-F4ADE406C546}"/>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1-4C39-A62D-F4ADE406C54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4.2414749245670645E-2</c:v>
                </c:pt>
                <c:pt idx="1">
                  <c:v>0.11637385762385763</c:v>
                </c:pt>
                <c:pt idx="2">
                  <c:v>5.5326878306878297E-2</c:v>
                </c:pt>
              </c:numCache>
            </c:numRef>
          </c:val>
          <c:extLst>
            <c:ext xmlns:c16="http://schemas.microsoft.com/office/drawing/2014/chart" uri="{C3380CC4-5D6E-409C-BE32-E72D297353CC}">
              <c16:uniqueId val="{00000003-1201-4C39-A62D-F4ADE406C546}"/>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chart" Target="../charts/chart5.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7.xml"/><Relationship Id="rId7" Type="http://schemas.openxmlformats.org/officeDocument/2006/relationships/chart" Target="../charts/chart11.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57501</xdr:colOff>
      <xdr:row>0</xdr:row>
      <xdr:rowOff>0</xdr:rowOff>
    </xdr:from>
    <xdr:to>
      <xdr:col>0</xdr:col>
      <xdr:colOff>1767840</xdr:colOff>
      <xdr:row>5</xdr:row>
      <xdr:rowOff>345446</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01" y="0"/>
          <a:ext cx="1710339" cy="61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179294</xdr:colOff>
      <xdr:row>8</xdr:row>
      <xdr:rowOff>145676</xdr:rowOff>
    </xdr:from>
    <xdr:to>
      <xdr:col>8</xdr:col>
      <xdr:colOff>280147</xdr:colOff>
      <xdr:row>11</xdr:row>
      <xdr:rowOff>145677</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6835588" y="5143500"/>
          <a:ext cx="862853" cy="515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290987</xdr:colOff>
      <xdr:row>0</xdr:row>
      <xdr:rowOff>0</xdr:rowOff>
    </xdr:from>
    <xdr:ext cx="2932883" cy="842441"/>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509" y="0"/>
          <a:ext cx="2932883" cy="842441"/>
        </a:xfrm>
        <a:prstGeom prst="rect">
          <a:avLst/>
        </a:prstGeom>
      </xdr:spPr>
    </xdr:pic>
    <xdr:clientData/>
  </xdr:oneCellAnchor>
  <xdr:oneCellAnchor>
    <xdr:from>
      <xdr:col>3</xdr:col>
      <xdr:colOff>54212</xdr:colOff>
      <xdr:row>3</xdr:row>
      <xdr:rowOff>57979</xdr:rowOff>
    </xdr:from>
    <xdr:ext cx="3186545" cy="784412"/>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54212" y="57979"/>
          <a:ext cx="3186545" cy="784412"/>
        </a:xfrm>
        <a:prstGeom prst="rect">
          <a:avLst/>
        </a:prstGeom>
      </xdr:spPr>
    </xdr:pic>
    <xdr:clientData/>
  </xdr:oneCellAnchor>
  <xdr:oneCellAnchor>
    <xdr:from>
      <xdr:col>23</xdr:col>
      <xdr:colOff>1282420</xdr:colOff>
      <xdr:row>0</xdr:row>
      <xdr:rowOff>102921</xdr:rowOff>
    </xdr:from>
    <xdr:ext cx="2991708" cy="849580"/>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495" y="1760271"/>
          <a:ext cx="2991708" cy="849580"/>
        </a:xfrm>
        <a:prstGeom prst="rect">
          <a:avLst/>
        </a:prstGeom>
      </xdr:spPr>
    </xdr:pic>
    <xdr:clientData/>
  </xdr:oneCellAnchor>
  <xdr:twoCellAnchor>
    <xdr:from>
      <xdr:col>7</xdr:col>
      <xdr:colOff>1143000</xdr:colOff>
      <xdr:row>3</xdr:row>
      <xdr:rowOff>66260</xdr:rowOff>
    </xdr:from>
    <xdr:to>
      <xdr:col>12</xdr:col>
      <xdr:colOff>33131</xdr:colOff>
      <xdr:row>3</xdr:row>
      <xdr:rowOff>662608</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6717196" y="6626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50" b="1"/>
            <a:t>SEGUIMIENTO PDI 2021 - 2024, VIGENCIA 2022</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167987</xdr:rowOff>
    </xdr:from>
    <xdr:ext cx="2762226" cy="727362"/>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167987"/>
          <a:ext cx="2762226" cy="727362"/>
        </a:xfrm>
        <a:prstGeom prst="rect">
          <a:avLst/>
        </a:prstGeom>
      </xdr:spPr>
    </xdr:pic>
    <xdr:clientData/>
  </xdr:oneCellAnchor>
  <xdr:oneCellAnchor>
    <xdr:from>
      <xdr:col>3</xdr:col>
      <xdr:colOff>534700</xdr:colOff>
      <xdr:row>0</xdr:row>
      <xdr:rowOff>15523</xdr:rowOff>
    </xdr:from>
    <xdr:ext cx="3022024" cy="727427"/>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3575" y="15523"/>
          <a:ext cx="3022024" cy="727427"/>
        </a:xfrm>
        <a:prstGeom prst="rect">
          <a:avLst/>
        </a:prstGeom>
      </xdr:spPr>
    </xdr:pic>
    <xdr:clientData/>
  </xdr:oneCellAnchor>
  <xdr:oneCellAnchor>
    <xdr:from>
      <xdr:col>19</xdr:col>
      <xdr:colOff>1060431</xdr:colOff>
      <xdr:row>0</xdr:row>
      <xdr:rowOff>92222</xdr:rowOff>
    </xdr:from>
    <xdr:ext cx="2600633" cy="745977"/>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7556" y="92222"/>
          <a:ext cx="2600633" cy="745977"/>
        </a:xfrm>
        <a:prstGeom prst="rect">
          <a:avLst/>
        </a:prstGeom>
      </xdr:spPr>
    </xdr:pic>
    <xdr:clientData/>
  </xdr:oneCellAnchor>
  <xdr:twoCellAnchor>
    <xdr:from>
      <xdr:col>4</xdr:col>
      <xdr:colOff>1381125</xdr:colOff>
      <xdr:row>0</xdr:row>
      <xdr:rowOff>133350</xdr:rowOff>
    </xdr:from>
    <xdr:to>
      <xdr:col>10</xdr:col>
      <xdr:colOff>342072</xdr:colOff>
      <xdr:row>0</xdr:row>
      <xdr:rowOff>729698</xdr:rowOff>
    </xdr:to>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6677025" y="13335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1358715</xdr:colOff>
      <xdr:row>0</xdr:row>
      <xdr:rowOff>0</xdr:rowOff>
    </xdr:from>
    <xdr:ext cx="2932883" cy="842441"/>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590" y="0"/>
          <a:ext cx="2932883" cy="842441"/>
        </a:xfrm>
        <a:prstGeom prst="rect">
          <a:avLst/>
        </a:prstGeom>
      </xdr:spPr>
    </xdr:pic>
    <xdr:clientData/>
  </xdr:oneCellAnchor>
  <xdr:oneCellAnchor>
    <xdr:from>
      <xdr:col>3</xdr:col>
      <xdr:colOff>108857</xdr:colOff>
      <xdr:row>0</xdr:row>
      <xdr:rowOff>54429</xdr:rowOff>
    </xdr:from>
    <xdr:ext cx="2762226" cy="784412"/>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08857" y="54429"/>
          <a:ext cx="2762226" cy="784412"/>
        </a:xfrm>
        <a:prstGeom prst="rect">
          <a:avLst/>
        </a:prstGeom>
      </xdr:spPr>
    </xdr:pic>
    <xdr:clientData/>
  </xdr:oneCellAnchor>
  <xdr:oneCellAnchor>
    <xdr:from>
      <xdr:col>24</xdr:col>
      <xdr:colOff>232522</xdr:colOff>
      <xdr:row>0</xdr:row>
      <xdr:rowOff>71437</xdr:rowOff>
    </xdr:from>
    <xdr:ext cx="2796988" cy="738188"/>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87447" y="71437"/>
          <a:ext cx="2796988" cy="738188"/>
        </a:xfrm>
        <a:prstGeom prst="rect">
          <a:avLst/>
        </a:prstGeom>
      </xdr:spPr>
    </xdr:pic>
    <xdr:clientData/>
  </xdr:oneCellAnchor>
  <xdr:twoCellAnchor>
    <xdr:from>
      <xdr:col>7</xdr:col>
      <xdr:colOff>1590675</xdr:colOff>
      <xdr:row>0</xdr:row>
      <xdr:rowOff>152400</xdr:rowOff>
    </xdr:from>
    <xdr:to>
      <xdr:col>14</xdr:col>
      <xdr:colOff>599247</xdr:colOff>
      <xdr:row>1</xdr:row>
      <xdr:rowOff>539198</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6553200" y="15240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30" name="Elipse 29">
          <a:extLst>
            <a:ext uri="{FF2B5EF4-FFF2-40B4-BE49-F238E27FC236}">
              <a16:creationId xmlns:a16="http://schemas.microsoft.com/office/drawing/2014/main" id="{00000000-0008-0000-0500-00001E000000}"/>
            </a:ext>
          </a:extLst>
        </xdr:cNvPr>
        <xdr:cNvSpPr/>
      </xdr:nvSpPr>
      <xdr:spPr>
        <a:xfrm>
          <a:off x="18887848" y="186169"/>
          <a:ext cx="4335834" cy="407410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556964</xdr:colOff>
      <xdr:row>5</xdr:row>
      <xdr:rowOff>151946</xdr:rowOff>
    </xdr:from>
    <xdr:to>
      <xdr:col>14</xdr:col>
      <xdr:colOff>158750</xdr:colOff>
      <xdr:row>12</xdr:row>
      <xdr:rowOff>127000</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9700964" y="945696"/>
          <a:ext cx="1125786" cy="108630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577571</xdr:colOff>
      <xdr:row>40</xdr:row>
      <xdr:rowOff>10925</xdr:rowOff>
    </xdr:from>
    <xdr:to>
      <xdr:col>16</xdr:col>
      <xdr:colOff>680757</xdr:colOff>
      <xdr:row>50</xdr:row>
      <xdr:rowOff>41088</xdr:rowOff>
    </xdr:to>
    <xdr:sp macro="" textlink="">
      <xdr:nvSpPr>
        <xdr:cNvPr id="26" name="Elipse 25">
          <a:extLst>
            <a:ext uri="{FF2B5EF4-FFF2-40B4-BE49-F238E27FC236}">
              <a16:creationId xmlns:a16="http://schemas.microsoft.com/office/drawing/2014/main" id="{00000000-0008-0000-0500-00001A000000}"/>
            </a:ext>
          </a:extLst>
        </xdr:cNvPr>
        <xdr:cNvSpPr/>
      </xdr:nvSpPr>
      <xdr:spPr>
        <a:xfrm>
          <a:off x="11245571" y="6286219"/>
          <a:ext cx="1627186" cy="1598987"/>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760414</xdr:colOff>
      <xdr:row>41</xdr:row>
      <xdr:rowOff>119062</xdr:rowOff>
    </xdr:from>
    <xdr:to>
      <xdr:col>11</xdr:col>
      <xdr:colOff>674688</xdr:colOff>
      <xdr:row>54</xdr:row>
      <xdr:rowOff>147638</xdr:rowOff>
    </xdr:to>
    <xdr:sp macro="" textlink="">
      <xdr:nvSpPr>
        <xdr:cNvPr id="25" name="Elipse 24">
          <a:extLst>
            <a:ext uri="{FF2B5EF4-FFF2-40B4-BE49-F238E27FC236}">
              <a16:creationId xmlns:a16="http://schemas.microsoft.com/office/drawing/2014/main" id="{00000000-0008-0000-0500-000019000000}"/>
            </a:ext>
          </a:extLst>
        </xdr:cNvPr>
        <xdr:cNvSpPr/>
      </xdr:nvSpPr>
      <xdr:spPr>
        <a:xfrm>
          <a:off x="6856414" y="6627812"/>
          <a:ext cx="2200274" cy="2092326"/>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539946</xdr:colOff>
      <xdr:row>24</xdr:row>
      <xdr:rowOff>11651</xdr:rowOff>
    </xdr:from>
    <xdr:to>
      <xdr:col>10</xdr:col>
      <xdr:colOff>25743</xdr:colOff>
      <xdr:row>57</xdr:row>
      <xdr:rowOff>102973</xdr:rowOff>
    </xdr:to>
    <xdr:sp macro="" textlink="">
      <xdr:nvSpPr>
        <xdr:cNvPr id="22" name="Elipse 21">
          <a:extLst>
            <a:ext uri="{FF2B5EF4-FFF2-40B4-BE49-F238E27FC236}">
              <a16:creationId xmlns:a16="http://schemas.microsoft.com/office/drawing/2014/main" id="{00000000-0008-0000-0500-000016000000}"/>
            </a:ext>
          </a:extLst>
        </xdr:cNvPr>
        <xdr:cNvSpPr/>
      </xdr:nvSpPr>
      <xdr:spPr>
        <a:xfrm>
          <a:off x="2084541" y="3718678"/>
          <a:ext cx="5664175" cy="518848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606974</xdr:colOff>
      <xdr:row>24</xdr:row>
      <xdr:rowOff>114636</xdr:rowOff>
    </xdr:from>
    <xdr:to>
      <xdr:col>9</xdr:col>
      <xdr:colOff>695067</xdr:colOff>
      <xdr:row>57</xdr:row>
      <xdr:rowOff>77229</xdr:rowOff>
    </xdr:to>
    <xdr:sp macro="" textlink="">
      <xdr:nvSpPr>
        <xdr:cNvPr id="21" name="Elipse 20">
          <a:extLst>
            <a:ext uri="{FF2B5EF4-FFF2-40B4-BE49-F238E27FC236}">
              <a16:creationId xmlns:a16="http://schemas.microsoft.com/office/drawing/2014/main" id="{00000000-0008-0000-0500-000015000000}"/>
            </a:ext>
          </a:extLst>
        </xdr:cNvPr>
        <xdr:cNvSpPr/>
      </xdr:nvSpPr>
      <xdr:spPr>
        <a:xfrm>
          <a:off x="2151569" y="3821663"/>
          <a:ext cx="5494174" cy="5059755"/>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419574</xdr:colOff>
      <xdr:row>21</xdr:row>
      <xdr:rowOff>50404</xdr:rowOff>
    </xdr:from>
    <xdr:to>
      <xdr:col>15</xdr:col>
      <xdr:colOff>86591</xdr:colOff>
      <xdr:row>46</xdr:row>
      <xdr:rowOff>86591</xdr:rowOff>
    </xdr:to>
    <xdr:sp macro="" textlink="">
      <xdr:nvSpPr>
        <xdr:cNvPr id="20" name="Elipse 19">
          <a:extLst>
            <a:ext uri="{FF2B5EF4-FFF2-40B4-BE49-F238E27FC236}">
              <a16:creationId xmlns:a16="http://schemas.microsoft.com/office/drawing/2014/main" id="{00000000-0008-0000-0500-000014000000}"/>
            </a:ext>
          </a:extLst>
        </xdr:cNvPr>
        <xdr:cNvSpPr/>
      </xdr:nvSpPr>
      <xdr:spPr>
        <a:xfrm>
          <a:off x="7277574" y="3323540"/>
          <a:ext cx="4239017" cy="3932778"/>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9</xdr:col>
      <xdr:colOff>548864</xdr:colOff>
      <xdr:row>21</xdr:row>
      <xdr:rowOff>116920</xdr:rowOff>
    </xdr:from>
    <xdr:to>
      <xdr:col>14</xdr:col>
      <xdr:colOff>730249</xdr:colOff>
      <xdr:row>46</xdr:row>
      <xdr:rowOff>0</xdr:rowOff>
    </xdr:to>
    <xdr:sp macro="" textlink="">
      <xdr:nvSpPr>
        <xdr:cNvPr id="19" name="Elipse 18">
          <a:extLst>
            <a:ext uri="{FF2B5EF4-FFF2-40B4-BE49-F238E27FC236}">
              <a16:creationId xmlns:a16="http://schemas.microsoft.com/office/drawing/2014/main" id="{00000000-0008-0000-0500-000013000000}"/>
            </a:ext>
          </a:extLst>
        </xdr:cNvPr>
        <xdr:cNvSpPr/>
      </xdr:nvSpPr>
      <xdr:spPr>
        <a:xfrm>
          <a:off x="7406864" y="3450670"/>
          <a:ext cx="3991385" cy="385183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17</xdr:col>
      <xdr:colOff>541764</xdr:colOff>
      <xdr:row>2</xdr:row>
      <xdr:rowOff>48388</xdr:rowOff>
    </xdr:from>
    <xdr:to>
      <xdr:col>25</xdr:col>
      <xdr:colOff>471340</xdr:colOff>
      <xdr:row>40</xdr:row>
      <xdr:rowOff>22720</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13495764" y="362153"/>
          <a:ext cx="6025576" cy="5935861"/>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4" name="Elipse 13">
          <a:extLst>
            <a:ext uri="{FF2B5EF4-FFF2-40B4-BE49-F238E27FC236}">
              <a16:creationId xmlns:a16="http://schemas.microsoft.com/office/drawing/2014/main" id="{00000000-0008-0000-0500-00000E000000}"/>
            </a:ext>
          </a:extLst>
        </xdr:cNvPr>
        <xdr:cNvSpPr/>
      </xdr:nvSpPr>
      <xdr:spPr>
        <a:xfrm>
          <a:off x="5635625" y="492123"/>
          <a:ext cx="2968625" cy="276225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6" name="Elipse 5">
          <a:extLst>
            <a:ext uri="{FF2B5EF4-FFF2-40B4-BE49-F238E27FC236}">
              <a16:creationId xmlns:a16="http://schemas.microsoft.com/office/drawing/2014/main" id="{00000000-0008-0000-0500-000006000000}"/>
            </a:ext>
          </a:extLst>
        </xdr:cNvPr>
        <xdr:cNvSpPr/>
      </xdr:nvSpPr>
      <xdr:spPr>
        <a:xfrm>
          <a:off x="5667291" y="536843"/>
          <a:ext cx="2857584" cy="268578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334818</xdr:colOff>
      <xdr:row>54</xdr:row>
      <xdr:rowOff>60613</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4991258" y="5188239"/>
          <a:ext cx="3631560" cy="328901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7" name="Elipse 6">
          <a:extLst>
            <a:ext uri="{FF2B5EF4-FFF2-40B4-BE49-F238E27FC236}">
              <a16:creationId xmlns:a16="http://schemas.microsoft.com/office/drawing/2014/main" id="{00000000-0008-0000-0500-000007000000}"/>
            </a:ext>
          </a:extLst>
        </xdr:cNvPr>
        <xdr:cNvSpPr/>
      </xdr:nvSpPr>
      <xdr:spPr>
        <a:xfrm>
          <a:off x="15065823" y="5238855"/>
          <a:ext cx="3411233" cy="3173452"/>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107702</xdr:colOff>
      <xdr:row>4</xdr:row>
      <xdr:rowOff>99680</xdr:rowOff>
    </xdr:from>
    <xdr:to>
      <xdr:col>19</xdr:col>
      <xdr:colOff>581602</xdr:colOff>
      <xdr:row>33</xdr:row>
      <xdr:rowOff>95249</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0013702" y="723135"/>
          <a:ext cx="5045900" cy="451561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207570</xdr:colOff>
      <xdr:row>4</xdr:row>
      <xdr:rowOff>123021</xdr:rowOff>
    </xdr:from>
    <xdr:to>
      <xdr:col>19</xdr:col>
      <xdr:colOff>519545</xdr:colOff>
      <xdr:row>33</xdr:row>
      <xdr:rowOff>51955</xdr:rowOff>
    </xdr:to>
    <xdr:sp macro="" textlink="">
      <xdr:nvSpPr>
        <xdr:cNvPr id="5" name="Elipse 4">
          <a:extLst>
            <a:ext uri="{FF2B5EF4-FFF2-40B4-BE49-F238E27FC236}">
              <a16:creationId xmlns:a16="http://schemas.microsoft.com/office/drawing/2014/main" id="{00000000-0008-0000-0500-000005000000}"/>
            </a:ext>
          </a:extLst>
        </xdr:cNvPr>
        <xdr:cNvSpPr/>
      </xdr:nvSpPr>
      <xdr:spPr>
        <a:xfrm>
          <a:off x="10113570" y="746476"/>
          <a:ext cx="4883975" cy="44489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6250441" y="3266623"/>
          <a:ext cx="832696" cy="82211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140264</xdr:colOff>
      <xdr:row>5</xdr:row>
      <xdr:rowOff>127837</xdr:rowOff>
    </xdr:from>
    <xdr:to>
      <xdr:col>6</xdr:col>
      <xdr:colOff>231689</xdr:colOff>
      <xdr:row>34</xdr:row>
      <xdr:rowOff>51486</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40264" y="900134"/>
          <a:ext cx="4725209" cy="440297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263440</xdr:colOff>
      <xdr:row>6</xdr:row>
      <xdr:rowOff>97901</xdr:rowOff>
    </xdr:from>
    <xdr:to>
      <xdr:col>6</xdr:col>
      <xdr:colOff>108980</xdr:colOff>
      <xdr:row>33</xdr:row>
      <xdr:rowOff>144591</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263440" y="1050401"/>
          <a:ext cx="4417540" cy="433294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345292</xdr:colOff>
      <xdr:row>8</xdr:row>
      <xdr:rowOff>9836</xdr:rowOff>
    </xdr:from>
    <xdr:to>
      <xdr:col>19</xdr:col>
      <xdr:colOff>445943</xdr:colOff>
      <xdr:row>27</xdr:row>
      <xdr:rowOff>73603</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737922</xdr:colOff>
      <xdr:row>31</xdr:row>
      <xdr:rowOff>7195</xdr:rowOff>
    </xdr:from>
    <xdr:to>
      <xdr:col>9</xdr:col>
      <xdr:colOff>299875</xdr:colOff>
      <xdr:row>53</xdr:row>
      <xdr:rowOff>89296</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643582</xdr:colOff>
      <xdr:row>25</xdr:row>
      <xdr:rowOff>49420</xdr:rowOff>
    </xdr:from>
    <xdr:to>
      <xdr:col>15</xdr:col>
      <xdr:colOff>421663</xdr:colOff>
      <xdr:row>46</xdr:row>
      <xdr:rowOff>15282</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446090</xdr:colOff>
      <xdr:row>49</xdr:row>
      <xdr:rowOff>58737</xdr:rowOff>
    </xdr:from>
    <xdr:to>
      <xdr:col>15</xdr:col>
      <xdr:colOff>79376</xdr:colOff>
      <xdr:row>56</xdr:row>
      <xdr:rowOff>31750</xdr:rowOff>
    </xdr:to>
    <xdr:sp macro="" textlink="">
      <xdr:nvSpPr>
        <xdr:cNvPr id="27" name="Elipse 26">
          <a:extLst>
            <a:ext uri="{FF2B5EF4-FFF2-40B4-BE49-F238E27FC236}">
              <a16:creationId xmlns:a16="http://schemas.microsoft.com/office/drawing/2014/main" id="{00000000-0008-0000-0500-00001B000000}"/>
            </a:ext>
          </a:extLst>
        </xdr:cNvPr>
        <xdr:cNvSpPr/>
      </xdr:nvSpPr>
      <xdr:spPr>
        <a:xfrm>
          <a:off x="10352090" y="7837487"/>
          <a:ext cx="1157286" cy="10842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74615</xdr:colOff>
      <xdr:row>52</xdr:row>
      <xdr:rowOff>4762</xdr:rowOff>
    </xdr:from>
    <xdr:to>
      <xdr:col>14</xdr:col>
      <xdr:colOff>31751</xdr:colOff>
      <xdr:row>55</xdr:row>
      <xdr:rowOff>142875</xdr:rowOff>
    </xdr:to>
    <xdr:sp macro="" textlink="">
      <xdr:nvSpPr>
        <xdr:cNvPr id="28" name="Elipse 27">
          <a:extLst>
            <a:ext uri="{FF2B5EF4-FFF2-40B4-BE49-F238E27FC236}">
              <a16:creationId xmlns:a16="http://schemas.microsoft.com/office/drawing/2014/main" id="{00000000-0008-0000-0500-00001C000000}"/>
            </a:ext>
          </a:extLst>
        </xdr:cNvPr>
        <xdr:cNvSpPr/>
      </xdr:nvSpPr>
      <xdr:spPr>
        <a:xfrm>
          <a:off x="9980615" y="8259762"/>
          <a:ext cx="719136" cy="6143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7</xdr:col>
      <xdr:colOff>222250</xdr:colOff>
      <xdr:row>3</xdr:row>
      <xdr:rowOff>142876</xdr:rowOff>
    </xdr:from>
    <xdr:to>
      <xdr:col>11</xdr:col>
      <xdr:colOff>333375</xdr:colOff>
      <xdr:row>16</xdr:row>
      <xdr:rowOff>110326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19126"/>
          <a:ext cx="3159125" cy="2031200"/>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9" name="Elipse 28">
          <a:extLst>
            <a:ext uri="{FF2B5EF4-FFF2-40B4-BE49-F238E27FC236}">
              <a16:creationId xmlns:a16="http://schemas.microsoft.com/office/drawing/2014/main" id="{00000000-0008-0000-0500-00001D000000}"/>
            </a:ext>
          </a:extLst>
        </xdr:cNvPr>
        <xdr:cNvSpPr/>
      </xdr:nvSpPr>
      <xdr:spPr>
        <a:xfrm>
          <a:off x="19014368" y="259771"/>
          <a:ext cx="4105404" cy="391390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129813</xdr:colOff>
      <xdr:row>27</xdr:row>
      <xdr:rowOff>97133</xdr:rowOff>
    </xdr:from>
    <xdr:to>
      <xdr:col>32</xdr:col>
      <xdr:colOff>659110</xdr:colOff>
      <xdr:row>53</xdr:row>
      <xdr:rowOff>118783</xdr:rowOff>
    </xdr:to>
    <xdr:sp macro="" textlink="">
      <xdr:nvSpPr>
        <xdr:cNvPr id="31" name="Elipse 30">
          <a:extLst>
            <a:ext uri="{FF2B5EF4-FFF2-40B4-BE49-F238E27FC236}">
              <a16:creationId xmlns:a16="http://schemas.microsoft.com/office/drawing/2014/main" id="{00000000-0008-0000-0500-00001F000000}"/>
            </a:ext>
          </a:extLst>
        </xdr:cNvPr>
        <xdr:cNvSpPr/>
      </xdr:nvSpPr>
      <xdr:spPr>
        <a:xfrm>
          <a:off x="20703813" y="4332957"/>
          <a:ext cx="4339297" cy="410059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295043</xdr:colOff>
      <xdr:row>27</xdr:row>
      <xdr:rowOff>143230</xdr:rowOff>
    </xdr:from>
    <xdr:to>
      <xdr:col>32</xdr:col>
      <xdr:colOff>590447</xdr:colOff>
      <xdr:row>53</xdr:row>
      <xdr:rowOff>3666</xdr:rowOff>
    </xdr:to>
    <xdr:sp macro="" textlink="">
      <xdr:nvSpPr>
        <xdr:cNvPr id="32" name="Elipse 31">
          <a:extLst>
            <a:ext uri="{FF2B5EF4-FFF2-40B4-BE49-F238E27FC236}">
              <a16:creationId xmlns:a16="http://schemas.microsoft.com/office/drawing/2014/main" id="{00000000-0008-0000-0500-000020000000}"/>
            </a:ext>
          </a:extLst>
        </xdr:cNvPr>
        <xdr:cNvSpPr/>
      </xdr:nvSpPr>
      <xdr:spPr>
        <a:xfrm>
          <a:off x="20869043" y="4379054"/>
          <a:ext cx="4105404" cy="3939377"/>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drawings/drawing8.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2" name="Elipse 1">
          <a:extLst>
            <a:ext uri="{FF2B5EF4-FFF2-40B4-BE49-F238E27FC236}">
              <a16:creationId xmlns:a16="http://schemas.microsoft.com/office/drawing/2014/main" id="{00000000-0008-0000-0600-000002000000}"/>
            </a:ext>
          </a:extLst>
        </xdr:cNvPr>
        <xdr:cNvSpPr/>
      </xdr:nvSpPr>
      <xdr:spPr>
        <a:xfrm>
          <a:off x="18887848" y="192230"/>
          <a:ext cx="4335834" cy="423170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184369</xdr:colOff>
      <xdr:row>63</xdr:row>
      <xdr:rowOff>158150</xdr:rowOff>
    </xdr:from>
    <xdr:to>
      <xdr:col>16</xdr:col>
      <xdr:colOff>548155</xdr:colOff>
      <xdr:row>70</xdr:row>
      <xdr:rowOff>37954</xdr:rowOff>
    </xdr:to>
    <xdr:sp macro="" textlink="">
      <xdr:nvSpPr>
        <xdr:cNvPr id="3" name="Elipse 2">
          <a:extLst>
            <a:ext uri="{FF2B5EF4-FFF2-40B4-BE49-F238E27FC236}">
              <a16:creationId xmlns:a16="http://schemas.microsoft.com/office/drawing/2014/main" id="{00000000-0008-0000-0600-000003000000}"/>
            </a:ext>
          </a:extLst>
        </xdr:cNvPr>
        <xdr:cNvSpPr/>
      </xdr:nvSpPr>
      <xdr:spPr>
        <a:xfrm>
          <a:off x="11614369" y="10458757"/>
          <a:ext cx="1125786" cy="111805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608186</xdr:colOff>
      <xdr:row>60</xdr:row>
      <xdr:rowOff>54428</xdr:rowOff>
    </xdr:from>
    <xdr:to>
      <xdr:col>18</xdr:col>
      <xdr:colOff>711372</xdr:colOff>
      <xdr:row>69</xdr:row>
      <xdr:rowOff>163551</xdr:rowOff>
    </xdr:to>
    <xdr:sp macro="" textlink="">
      <xdr:nvSpPr>
        <xdr:cNvPr id="4" name="Elipse 3">
          <a:extLst>
            <a:ext uri="{FF2B5EF4-FFF2-40B4-BE49-F238E27FC236}">
              <a16:creationId xmlns:a16="http://schemas.microsoft.com/office/drawing/2014/main" id="{00000000-0008-0000-0600-000004000000}"/>
            </a:ext>
          </a:extLst>
        </xdr:cNvPr>
        <xdr:cNvSpPr/>
      </xdr:nvSpPr>
      <xdr:spPr>
        <a:xfrm>
          <a:off x="12800186" y="9851571"/>
          <a:ext cx="1627186" cy="1673944"/>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xdr:col>
      <xdr:colOff>242341</xdr:colOff>
      <xdr:row>61</xdr:row>
      <xdr:rowOff>146478</xdr:rowOff>
    </xdr:from>
    <xdr:to>
      <xdr:col>19</xdr:col>
      <xdr:colOff>156615</xdr:colOff>
      <xdr:row>74</xdr:row>
      <xdr:rowOff>66196</xdr:rowOff>
    </xdr:to>
    <xdr:sp macro="" textlink="">
      <xdr:nvSpPr>
        <xdr:cNvPr id="5" name="Elipse 4">
          <a:extLst>
            <a:ext uri="{FF2B5EF4-FFF2-40B4-BE49-F238E27FC236}">
              <a16:creationId xmlns:a16="http://schemas.microsoft.com/office/drawing/2014/main" id="{00000000-0008-0000-0600-000005000000}"/>
            </a:ext>
          </a:extLst>
        </xdr:cNvPr>
        <xdr:cNvSpPr/>
      </xdr:nvSpPr>
      <xdr:spPr>
        <a:xfrm>
          <a:off x="12434341" y="10106907"/>
          <a:ext cx="2200274" cy="2151289"/>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562358</xdr:colOff>
      <xdr:row>38</xdr:row>
      <xdr:rowOff>34665</xdr:rowOff>
    </xdr:from>
    <xdr:to>
      <xdr:col>8</xdr:col>
      <xdr:colOff>367393</xdr:colOff>
      <xdr:row>67</xdr:row>
      <xdr:rowOff>122465</xdr:rowOff>
    </xdr:to>
    <xdr:sp macro="" textlink="">
      <xdr:nvSpPr>
        <xdr:cNvPr id="6" name="Elipse 5">
          <a:extLst>
            <a:ext uri="{FF2B5EF4-FFF2-40B4-BE49-F238E27FC236}">
              <a16:creationId xmlns:a16="http://schemas.microsoft.com/office/drawing/2014/main" id="{00000000-0008-0000-0600-000006000000}"/>
            </a:ext>
          </a:extLst>
        </xdr:cNvPr>
        <xdr:cNvSpPr/>
      </xdr:nvSpPr>
      <xdr:spPr>
        <a:xfrm>
          <a:off x="1324358" y="6239522"/>
          <a:ext cx="5139035" cy="4891122"/>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603174</xdr:colOff>
      <xdr:row>38</xdr:row>
      <xdr:rowOff>111037</xdr:rowOff>
    </xdr:from>
    <xdr:to>
      <xdr:col>8</xdr:col>
      <xdr:colOff>312964</xdr:colOff>
      <xdr:row>67</xdr:row>
      <xdr:rowOff>68036</xdr:rowOff>
    </xdr:to>
    <xdr:sp macro="" textlink="">
      <xdr:nvSpPr>
        <xdr:cNvPr id="7" name="Elipse 6">
          <a:extLst>
            <a:ext uri="{FF2B5EF4-FFF2-40B4-BE49-F238E27FC236}">
              <a16:creationId xmlns:a16="http://schemas.microsoft.com/office/drawing/2014/main" id="{00000000-0008-0000-0600-000007000000}"/>
            </a:ext>
          </a:extLst>
        </xdr:cNvPr>
        <xdr:cNvSpPr/>
      </xdr:nvSpPr>
      <xdr:spPr>
        <a:xfrm>
          <a:off x="1365174" y="6315894"/>
          <a:ext cx="5043790" cy="476032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422977</xdr:colOff>
      <xdr:row>33</xdr:row>
      <xdr:rowOff>2779</xdr:rowOff>
    </xdr:from>
    <xdr:to>
      <xdr:col>15</xdr:col>
      <xdr:colOff>612321</xdr:colOff>
      <xdr:row>56</xdr:row>
      <xdr:rowOff>136071</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8042977" y="5391208"/>
          <a:ext cx="3999344" cy="3888863"/>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477427</xdr:colOff>
      <xdr:row>33</xdr:row>
      <xdr:rowOff>69295</xdr:rowOff>
    </xdr:from>
    <xdr:to>
      <xdr:col>15</xdr:col>
      <xdr:colOff>571500</xdr:colOff>
      <xdr:row>56</xdr:row>
      <xdr:rowOff>81643</xdr:rowOff>
    </xdr:to>
    <xdr:sp macro="" textlink="">
      <xdr:nvSpPr>
        <xdr:cNvPr id="9" name="Elipse 8">
          <a:extLst>
            <a:ext uri="{FF2B5EF4-FFF2-40B4-BE49-F238E27FC236}">
              <a16:creationId xmlns:a16="http://schemas.microsoft.com/office/drawing/2014/main" id="{00000000-0008-0000-0600-000009000000}"/>
            </a:ext>
          </a:extLst>
        </xdr:cNvPr>
        <xdr:cNvSpPr/>
      </xdr:nvSpPr>
      <xdr:spPr>
        <a:xfrm>
          <a:off x="8097427" y="5457724"/>
          <a:ext cx="3904073" cy="376791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36</xdr:col>
      <xdr:colOff>222396</xdr:colOff>
      <xdr:row>11</xdr:row>
      <xdr:rowOff>107219</xdr:rowOff>
    </xdr:from>
    <xdr:to>
      <xdr:col>44</xdr:col>
      <xdr:colOff>151972</xdr:colOff>
      <xdr:row>49</xdr:row>
      <xdr:rowOff>81551</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27654396" y="1940782"/>
          <a:ext cx="6025576" cy="6308457"/>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1" name="Elipse 10">
          <a:extLst>
            <a:ext uri="{FF2B5EF4-FFF2-40B4-BE49-F238E27FC236}">
              <a16:creationId xmlns:a16="http://schemas.microsoft.com/office/drawing/2014/main" id="{00000000-0008-0000-0600-00000B000000}"/>
            </a:ext>
          </a:extLst>
        </xdr:cNvPr>
        <xdr:cNvSpPr/>
      </xdr:nvSpPr>
      <xdr:spPr>
        <a:xfrm>
          <a:off x="5635625" y="501648"/>
          <a:ext cx="2968625" cy="2816226"/>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12" name="Elipse 11">
          <a:extLst>
            <a:ext uri="{FF2B5EF4-FFF2-40B4-BE49-F238E27FC236}">
              <a16:creationId xmlns:a16="http://schemas.microsoft.com/office/drawing/2014/main" id="{00000000-0008-0000-0600-00000C000000}"/>
            </a:ext>
          </a:extLst>
        </xdr:cNvPr>
        <xdr:cNvSpPr/>
      </xdr:nvSpPr>
      <xdr:spPr>
        <a:xfrm>
          <a:off x="5667291" y="546368"/>
          <a:ext cx="2857584" cy="273975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258536</xdr:colOff>
      <xdr:row>54</xdr:row>
      <xdr:rowOff>60613</xdr:rowOff>
    </xdr:to>
    <xdr:sp macro="" textlink="">
      <xdr:nvSpPr>
        <xdr:cNvPr id="13" name="Elipse 12">
          <a:extLst>
            <a:ext uri="{FF2B5EF4-FFF2-40B4-BE49-F238E27FC236}">
              <a16:creationId xmlns:a16="http://schemas.microsoft.com/office/drawing/2014/main" id="{00000000-0008-0000-0600-00000D000000}"/>
            </a:ext>
          </a:extLst>
        </xdr:cNvPr>
        <xdr:cNvSpPr/>
      </xdr:nvSpPr>
      <xdr:spPr>
        <a:xfrm>
          <a:off x="14991258" y="5433168"/>
          <a:ext cx="3555278" cy="344487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14" name="Elipse 13">
          <a:extLst>
            <a:ext uri="{FF2B5EF4-FFF2-40B4-BE49-F238E27FC236}">
              <a16:creationId xmlns:a16="http://schemas.microsoft.com/office/drawing/2014/main" id="{00000000-0008-0000-0600-00000E000000}"/>
            </a:ext>
          </a:extLst>
        </xdr:cNvPr>
        <xdr:cNvSpPr/>
      </xdr:nvSpPr>
      <xdr:spPr>
        <a:xfrm>
          <a:off x="15065823" y="5438880"/>
          <a:ext cx="3411233" cy="32946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410260</xdr:colOff>
      <xdr:row>1</xdr:row>
      <xdr:rowOff>68864</xdr:rowOff>
    </xdr:from>
    <xdr:to>
      <xdr:col>18</xdr:col>
      <xdr:colOff>672353</xdr:colOff>
      <xdr:row>30</xdr:row>
      <xdr:rowOff>64432</xdr:rowOff>
    </xdr:to>
    <xdr:sp macro="" textlink="">
      <xdr:nvSpPr>
        <xdr:cNvPr id="15" name="Elipse 14">
          <a:extLst>
            <a:ext uri="{FF2B5EF4-FFF2-40B4-BE49-F238E27FC236}">
              <a16:creationId xmlns:a16="http://schemas.microsoft.com/office/drawing/2014/main" id="{00000000-0008-0000-0600-00000F000000}"/>
            </a:ext>
          </a:extLst>
        </xdr:cNvPr>
        <xdr:cNvSpPr/>
      </xdr:nvSpPr>
      <xdr:spPr>
        <a:xfrm>
          <a:off x="9554260" y="225746"/>
          <a:ext cx="4834093" cy="4545157"/>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497521</xdr:colOff>
      <xdr:row>1</xdr:row>
      <xdr:rowOff>96406</xdr:rowOff>
    </xdr:from>
    <xdr:to>
      <xdr:col>18</xdr:col>
      <xdr:colOff>627528</xdr:colOff>
      <xdr:row>30</xdr:row>
      <xdr:rowOff>35145</xdr:rowOff>
    </xdr:to>
    <xdr:sp macro="" textlink="">
      <xdr:nvSpPr>
        <xdr:cNvPr id="16" name="Elipse 15">
          <a:extLst>
            <a:ext uri="{FF2B5EF4-FFF2-40B4-BE49-F238E27FC236}">
              <a16:creationId xmlns:a16="http://schemas.microsoft.com/office/drawing/2014/main" id="{00000000-0008-0000-0600-000010000000}"/>
            </a:ext>
          </a:extLst>
        </xdr:cNvPr>
        <xdr:cNvSpPr/>
      </xdr:nvSpPr>
      <xdr:spPr>
        <a:xfrm>
          <a:off x="9641521" y="253288"/>
          <a:ext cx="4702007" cy="448832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7" name="Elipse 16">
          <a:extLst>
            <a:ext uri="{FF2B5EF4-FFF2-40B4-BE49-F238E27FC236}">
              <a16:creationId xmlns:a16="http://schemas.microsoft.com/office/drawing/2014/main" id="{00000000-0008-0000-0600-000011000000}"/>
            </a:ext>
          </a:extLst>
        </xdr:cNvPr>
        <xdr:cNvSpPr/>
      </xdr:nvSpPr>
      <xdr:spPr>
        <a:xfrm>
          <a:off x="6250441" y="3330123"/>
          <a:ext cx="832696" cy="83799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235515</xdr:colOff>
      <xdr:row>6</xdr:row>
      <xdr:rowOff>35718</xdr:rowOff>
    </xdr:from>
    <xdr:to>
      <xdr:col>6</xdr:col>
      <xdr:colOff>142875</xdr:colOff>
      <xdr:row>34</xdr:row>
      <xdr:rowOff>23812</xdr:rowOff>
    </xdr:to>
    <xdr:sp macro="" textlink="">
      <xdr:nvSpPr>
        <xdr:cNvPr id="18" name="Elipse 17">
          <a:extLst>
            <a:ext uri="{FF2B5EF4-FFF2-40B4-BE49-F238E27FC236}">
              <a16:creationId xmlns:a16="http://schemas.microsoft.com/office/drawing/2014/main" id="{00000000-0008-0000-0600-000012000000}"/>
            </a:ext>
          </a:extLst>
        </xdr:cNvPr>
        <xdr:cNvSpPr/>
      </xdr:nvSpPr>
      <xdr:spPr>
        <a:xfrm>
          <a:off x="235515" y="1035843"/>
          <a:ext cx="4479360" cy="465534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261937</xdr:colOff>
      <xdr:row>6</xdr:row>
      <xdr:rowOff>97901</xdr:rowOff>
    </xdr:from>
    <xdr:to>
      <xdr:col>6</xdr:col>
      <xdr:colOff>108980</xdr:colOff>
      <xdr:row>33</xdr:row>
      <xdr:rowOff>154781</xdr:rowOff>
    </xdr:to>
    <xdr:sp macro="" textlink="">
      <xdr:nvSpPr>
        <xdr:cNvPr id="19" name="Elipse 18">
          <a:extLst>
            <a:ext uri="{FF2B5EF4-FFF2-40B4-BE49-F238E27FC236}">
              <a16:creationId xmlns:a16="http://schemas.microsoft.com/office/drawing/2014/main" id="{00000000-0008-0000-0600-000013000000}"/>
            </a:ext>
          </a:extLst>
        </xdr:cNvPr>
        <xdr:cNvSpPr/>
      </xdr:nvSpPr>
      <xdr:spPr>
        <a:xfrm>
          <a:off x="261937" y="1098026"/>
          <a:ext cx="4419043" cy="4557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583417</xdr:colOff>
      <xdr:row>5</xdr:row>
      <xdr:rowOff>57460</xdr:rowOff>
    </xdr:from>
    <xdr:to>
      <xdr:col>18</xdr:col>
      <xdr:colOff>684068</xdr:colOff>
      <xdr:row>24</xdr:row>
      <xdr:rowOff>121228</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264474</xdr:colOff>
      <xdr:row>42</xdr:row>
      <xdr:rowOff>134662</xdr:rowOff>
    </xdr:from>
    <xdr:to>
      <xdr:col>7</xdr:col>
      <xdr:colOff>588427</xdr:colOff>
      <xdr:row>65</xdr:row>
      <xdr:rowOff>26263</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524520</xdr:colOff>
      <xdr:row>34</xdr:row>
      <xdr:rowOff>18804</xdr:rowOff>
    </xdr:from>
    <xdr:to>
      <xdr:col>16</xdr:col>
      <xdr:colOff>302601</xdr:colOff>
      <xdr:row>54</xdr:row>
      <xdr:rowOff>147950</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222250</xdr:colOff>
      <xdr:row>3</xdr:row>
      <xdr:rowOff>142876</xdr:rowOff>
    </xdr:from>
    <xdr:to>
      <xdr:col>11</xdr:col>
      <xdr:colOff>333375</xdr:colOff>
      <xdr:row>16</xdr:row>
      <xdr:rowOff>110326</xdr:rowOff>
    </xdr:to>
    <xdr:pic>
      <xdr:nvPicPr>
        <xdr:cNvPr id="27" name="Imagen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28651"/>
          <a:ext cx="3159125" cy="2072475"/>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8" name="Elipse 27">
          <a:extLst>
            <a:ext uri="{FF2B5EF4-FFF2-40B4-BE49-F238E27FC236}">
              <a16:creationId xmlns:a16="http://schemas.microsoft.com/office/drawing/2014/main" id="{00000000-0008-0000-0600-00001C000000}"/>
            </a:ext>
          </a:extLst>
        </xdr:cNvPr>
        <xdr:cNvSpPr/>
      </xdr:nvSpPr>
      <xdr:spPr>
        <a:xfrm>
          <a:off x="19014368" y="265832"/>
          <a:ext cx="4105404" cy="4065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544431</xdr:colOff>
      <xdr:row>34</xdr:row>
      <xdr:rowOff>130752</xdr:rowOff>
    </xdr:from>
    <xdr:to>
      <xdr:col>33</xdr:col>
      <xdr:colOff>311728</xdr:colOff>
      <xdr:row>60</xdr:row>
      <xdr:rowOff>152401</xdr:rowOff>
    </xdr:to>
    <xdr:sp macro="" textlink="">
      <xdr:nvSpPr>
        <xdr:cNvPr id="29" name="Elipse 28">
          <a:extLst>
            <a:ext uri="{FF2B5EF4-FFF2-40B4-BE49-F238E27FC236}">
              <a16:creationId xmlns:a16="http://schemas.microsoft.com/office/drawing/2014/main" id="{00000000-0008-0000-0600-00001D000000}"/>
            </a:ext>
          </a:extLst>
        </xdr:cNvPr>
        <xdr:cNvSpPr/>
      </xdr:nvSpPr>
      <xdr:spPr>
        <a:xfrm>
          <a:off x="21118431" y="5798127"/>
          <a:ext cx="4339297" cy="435552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534571</xdr:colOff>
      <xdr:row>35</xdr:row>
      <xdr:rowOff>78796</xdr:rowOff>
    </xdr:from>
    <xdr:to>
      <xdr:col>33</xdr:col>
      <xdr:colOff>67975</xdr:colOff>
      <xdr:row>60</xdr:row>
      <xdr:rowOff>96115</xdr:rowOff>
    </xdr:to>
    <xdr:sp macro="" textlink="">
      <xdr:nvSpPr>
        <xdr:cNvPr id="30" name="Elipse 29">
          <a:extLst>
            <a:ext uri="{FF2B5EF4-FFF2-40B4-BE49-F238E27FC236}">
              <a16:creationId xmlns:a16="http://schemas.microsoft.com/office/drawing/2014/main" id="{00000000-0008-0000-0600-00001E000000}"/>
            </a:ext>
          </a:extLst>
        </xdr:cNvPr>
        <xdr:cNvSpPr/>
      </xdr:nvSpPr>
      <xdr:spPr>
        <a:xfrm>
          <a:off x="21108571" y="5912859"/>
          <a:ext cx="4105404" cy="418450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itceduco-my.sharepoint.com/:f:/g/personal/procesos_itc_edu_co/EsrxrLcyDCVCk9SL-mWNID8BIP55yoHgN1Jckgvh8fTk8w?e=WM6qGu" TargetMode="External"/><Relationship Id="rId18" Type="http://schemas.openxmlformats.org/officeDocument/2006/relationships/hyperlink" Target="https://itceduco-my.sharepoint.com/:f:/g/personal/procesos_itc_edu_co/EsrxrLcyDCVCk9SL-mWNID8BIP55yoHgN1Jckgvh8fTk8w?e=WM6qGu" TargetMode="External"/><Relationship Id="rId26" Type="http://schemas.openxmlformats.org/officeDocument/2006/relationships/hyperlink" Target="https://etitc.edu.co/es/page/leytransparencia" TargetMode="External"/><Relationship Id="rId39" Type="http://schemas.openxmlformats.org/officeDocument/2006/relationships/hyperlink" Target="https://itceduco-my.sharepoint.com/:f:/g/personal/bienestaruniversitario_itc_edu_co/Er9XSfgiSRdBuM8BurGbQWcB5hMTZ4CQF5nIhVSGOlzS7w?e=V7exz8" TargetMode="External"/><Relationship Id="rId21" Type="http://schemas.openxmlformats.org/officeDocument/2006/relationships/hyperlink" Target="https://itceduco-my.sharepoint.com/:f:/g/personal/procesos_itc_edu_co/EsrxrLcyDCVCk9SL-mWNID8BIP55yoHgN1Jckgvh8fTk8w?e=WM6qGu" TargetMode="External"/><Relationship Id="rId34" Type="http://schemas.openxmlformats.org/officeDocument/2006/relationships/hyperlink" Target="https://itceduco-my.sharepoint.com/:x:/g/personal/psicologia1_itc_edu_co/Eba6EukQQfJGk8lcRw0e3sABh7W7fCJTCkPvD8Yc6EcIGQ?e=05D3Mc" TargetMode="External"/><Relationship Id="rId42" Type="http://schemas.openxmlformats.org/officeDocument/2006/relationships/hyperlink" Target="https://itceduco-my.sharepoint.com/:f:/g/personal/psicologia_itc_edu_co/EorFXOKDWrhOnWAgY-c7pUwBMheF_fT_rKD1LWEOHo7LAQ?e=UYcvib" TargetMode="External"/><Relationship Id="rId47" Type="http://schemas.openxmlformats.org/officeDocument/2006/relationships/hyperlink" Target="https://itceduco-my.sharepoint.com/:f:/g/personal/psicologia_itc_edu_co/EorFXOKDWrhOnWAgY-c7pUwBMheF_fT_rKD1LWEOHo7LAQ?e=UYcvib" TargetMode="External"/><Relationship Id="rId50" Type="http://schemas.openxmlformats.org/officeDocument/2006/relationships/printerSettings" Target="../printerSettings/printerSettings1.bin"/><Relationship Id="rId7" Type="http://schemas.openxmlformats.org/officeDocument/2006/relationships/hyperlink" Target="https://www.facebook.com/watch/16872038093/2246567575376324/" TargetMode="External"/><Relationship Id="rId2" Type="http://schemas.openxmlformats.org/officeDocument/2006/relationships/hyperlink" Target="https://www.etitc.edu.co/archives/paai22.pdf" TargetMode="External"/><Relationship Id="rId16" Type="http://schemas.openxmlformats.org/officeDocument/2006/relationships/hyperlink" Target="https://itceduco-my.sharepoint.com/:f:/g/personal/procesos_itc_edu_co/EsrxrLcyDCVCk9SL-mWNID8BIP55yoHgN1Jckgvh8fTk8w?e=WM6qGu" TargetMode="External"/><Relationship Id="rId29" Type="http://schemas.openxmlformats.org/officeDocument/2006/relationships/hyperlink" Target="https://itceduco-my.sharepoint.com/:f:/g/personal/psicologia_itc_edu_co/EorFXOKDWrhOnWAgY-c7pUwBMheF_fT_rKD1LWEOHo7LAQ?e=UYcvib" TargetMode="External"/><Relationship Id="rId11" Type="http://schemas.openxmlformats.org/officeDocument/2006/relationships/hyperlink" Target="https://itceduco-my.sharepoint.com/:f:/g/personal/procesos_itc_edu_co/EsrxrLcyDCVCk9SL-mWNID8BIP55yoHgN1Jckgvh8fTk8w?e=WM6qGu" TargetMode="External"/><Relationship Id="rId24" Type="http://schemas.openxmlformats.org/officeDocument/2006/relationships/hyperlink" Target="https://etitc.edu.co/es/" TargetMode="External"/><Relationship Id="rId32" Type="http://schemas.openxmlformats.org/officeDocument/2006/relationships/hyperlink" Target="https://itceduco-my.sharepoint.com/:b:/g/personal/bienestaruniversitario_itc_edu_co/EW3LLdHq6ZtCo0R4xEBD1JwBBKFAXIYX7SnJAY22TakehQ?e=0rwMM6" TargetMode="External"/><Relationship Id="rId37" Type="http://schemas.openxmlformats.org/officeDocument/2006/relationships/hyperlink" Target="https://itceduco-my.sharepoint.com/:f:/g/personal/psicologia_itc_edu_co/EorFXOKDWrhOnWAgY-c7pUwBMheF_fT_rKD1LWEOHo7LAQ?e=UYcvib" TargetMode="External"/><Relationship Id="rId40" Type="http://schemas.openxmlformats.org/officeDocument/2006/relationships/hyperlink" Target="https://itceduco-my.sharepoint.com/:f:/g/personal/bienestaruniversitario_itc_edu_co/Er9XSfgiSRdBuM8BurGbQWcB5hMTZ4CQF5nIhVSGOlzS7w?e=V7exz8" TargetMode="External"/><Relationship Id="rId45" Type="http://schemas.openxmlformats.org/officeDocument/2006/relationships/hyperlink" Target="https://itceduco-my.sharepoint.com/:f:/g/personal/psicologia_itc_edu_co/EorFXOKDWrhOnWAgY-c7pUwBMheF_fT_rKD1LWEOHo7LAQ?e=UYcvib" TargetMode="External"/><Relationship Id="rId53" Type="http://schemas.openxmlformats.org/officeDocument/2006/relationships/comments" Target="../comments1.xml"/><Relationship Id="rId5" Type="http://schemas.openxmlformats.org/officeDocument/2006/relationships/hyperlink" Target="https://www.etitc.edu.co/archives/seguimientoplanan321.pdf" TargetMode="External"/><Relationship Id="rId10" Type="http://schemas.openxmlformats.org/officeDocument/2006/relationships/hyperlink" Target="https://itceduco-my.sharepoint.com/:f:/g/personal/procesos_itc_edu_co/EsrxrLcyDCVCk9SL-mWNID8BIP55yoHgN1Jckgvh8fTk8w?e=WM6qGu" TargetMode="External"/><Relationship Id="rId19" Type="http://schemas.openxmlformats.org/officeDocument/2006/relationships/hyperlink" Target="https://itceduco-my.sharepoint.com/:f:/g/personal/procesos_itc_edu_co/EsrxrLcyDCVCk9SL-mWNID8BIP55yoHgN1Jckgvh8fTk8w?e=WM6qGu" TargetMode="External"/><Relationship Id="rId31" Type="http://schemas.openxmlformats.org/officeDocument/2006/relationships/hyperlink" Target="https://itceduco-my.sharepoint.com/:b:/g/personal/bienestaruniversitario_itc_edu_co/ETpa8IvlgZBFtCO1DR1-lPUBIYvNPFdJkm7a7UFniVT3vg?e=yUAvIJ" TargetMode="External"/><Relationship Id="rId44" Type="http://schemas.openxmlformats.org/officeDocument/2006/relationships/hyperlink" Target="https://itceduco-my.sharepoint.com/:f:/g/personal/musica_itc_edu_co/EseavQq2979Kq6wid0adFNcBphQdTGfxZCqKa0TlTZ6-1A?e=hZY9pV" TargetMode="External"/><Relationship Id="rId52" Type="http://schemas.openxmlformats.org/officeDocument/2006/relationships/vmlDrawing" Target="../drawings/vmlDrawing1.vml"/><Relationship Id="rId4" Type="http://schemas.openxmlformats.org/officeDocument/2006/relationships/hyperlink" Target="https://www.etitc.edu.co/archives/informeausteridad26.pdf" TargetMode="External"/><Relationship Id="rId9" Type="http://schemas.openxmlformats.org/officeDocument/2006/relationships/hyperlink" Target="https://itceduco-my.sharepoint.com/:f:/g/personal/procesos_itc_edu_co/EsrxrLcyDCVCk9SL-mWNID8BIP55yoHgN1Jckgvh8fTk8w?e=WM6qGu" TargetMode="External"/><Relationship Id="rId14" Type="http://schemas.openxmlformats.org/officeDocument/2006/relationships/hyperlink" Target="https://itceduco-my.sharepoint.com/:f:/g/personal/procesos_itc_edu_co/EsrxrLcyDCVCk9SL-mWNID8BIP55yoHgN1Jckgvh8fTk8w?e=WM6qGu" TargetMode="External"/><Relationship Id="rId22" Type="http://schemas.openxmlformats.org/officeDocument/2006/relationships/hyperlink" Target="https://itceduco-my.sharepoint.com/:f:/g/personal/procesos_itc_edu_co/EsrxrLcyDCVCk9SL-mWNID8BIP55yoHgN1Jckgvh8fTk8w?e=WM6qGu" TargetMode="External"/><Relationship Id="rId27" Type="http://schemas.openxmlformats.org/officeDocument/2006/relationships/hyperlink" Target="https://itceduco-my.sharepoint.com/:f:/g/personal/psicologia_itc_edu_co/EorFXOKDWrhOnWAgY-c7pUwBMheF_fT_rKD1LWEOHo7LAQ?e=UYcvib" TargetMode="External"/><Relationship Id="rId30" Type="http://schemas.openxmlformats.org/officeDocument/2006/relationships/hyperlink" Target="https://itceduco-my.sharepoint.com/:b:/g/personal/bienestaruniversitario_itc_edu_co/EfL3dNKjOnhJglXtW9tRQdABn04AYAQ8aNWf5j3Z_0oFxA?e=HOIt18" TargetMode="External"/><Relationship Id="rId35" Type="http://schemas.openxmlformats.org/officeDocument/2006/relationships/hyperlink" Target="https://bit.ly/3v7TnSe" TargetMode="External"/><Relationship Id="rId43" Type="http://schemas.openxmlformats.org/officeDocument/2006/relationships/hyperlink" Target="https://itceduco-my.sharepoint.com/:f:/g/personal/musica_itc_edu_co/EipnNE1uGOpGish1xXBStYYBqcY_L-Nim3Whgku8SIM0Dw?e=NWMoFt" TargetMode="External"/><Relationship Id="rId48" Type="http://schemas.openxmlformats.org/officeDocument/2006/relationships/hyperlink" Target="https://itceduco-my.sharepoint.com/:f:/g/personal/psicologia_itc_edu_co/EorFXOKDWrhOnWAgY-c7pUwBMheF_fT_rKD1LWEOHo7LAQ?e=UYcvib" TargetMode="External"/><Relationship Id="rId8" Type="http://schemas.openxmlformats.org/officeDocument/2006/relationships/hyperlink" Target="https://itceduco-my.sharepoint.com/:f:/g/personal/procesos_itc_edu_co/EsrxrLcyDCVCk9SL-mWNID8BIP55yoHgN1Jckgvh8fTk8w?e=WM6qGu" TargetMode="External"/><Relationship Id="rId51" Type="http://schemas.openxmlformats.org/officeDocument/2006/relationships/drawing" Target="../drawings/drawing1.xml"/><Relationship Id="rId3" Type="http://schemas.openxmlformats.org/officeDocument/2006/relationships/hyperlink" Target="https://www.etitc.edu.co/archives/infoderechosautor21.pdf" TargetMode="External"/><Relationship Id="rId12" Type="http://schemas.openxmlformats.org/officeDocument/2006/relationships/hyperlink" Target="https://itceduco-my.sharepoint.com/:f:/g/personal/procesos_itc_edu_co/EsrxrLcyDCVCk9SL-mWNID8BIP55yoHgN1Jckgvh8fTk8w?e=WM6qGu" TargetMode="External"/><Relationship Id="rId17" Type="http://schemas.openxmlformats.org/officeDocument/2006/relationships/hyperlink" Target="https://itceduco-my.sharepoint.com/:f:/g/personal/procesos_itc_edu_co/EsrxrLcyDCVCk9SL-mWNID8BIP55yoHgN1Jckgvh8fTk8w?e=WM6qGu" TargetMode="External"/><Relationship Id="rId25" Type="http://schemas.openxmlformats.org/officeDocument/2006/relationships/hyperlink" Target="https://itceduco-my.sharepoint.com/:f:/g/personal/asesorinnovacion_itc_edu_co/ErGKbo_D46VOitI5W-6v8oUB1Gk-WUbXEGrPOUXsurC7AQ?e=Kjr2rD" TargetMode="External"/><Relationship Id="rId33" Type="http://schemas.openxmlformats.org/officeDocument/2006/relationships/hyperlink" Target="https://itceduco-my.sharepoint.com/:b:/g/personal/bienestaruniversitario_itc_edu_co/Ec5Zp6tRSzlBte4F7HhFRgcBxvsO89eG6b1oExDYMeIYpQ?e=6puPcN" TargetMode="External"/><Relationship Id="rId38" Type="http://schemas.openxmlformats.org/officeDocument/2006/relationships/hyperlink" Target="https://itceduco-my.sharepoint.com/:f:/g/personal/bienestaruniversitario_itc_edu_co/Er9XSfgiSRdBuM8BurGbQWcB5hMTZ4CQF5nIhVSGOlzS7w?e=V7exz8" TargetMode="External"/><Relationship Id="rId46" Type="http://schemas.openxmlformats.org/officeDocument/2006/relationships/hyperlink" Target="https://itceduco-my.sharepoint.com/:f:/g/personal/psicologia_itc_edu_co/EorFXOKDWrhOnWAgY-c7pUwBMheF_fT_rKD1LWEOHo7LAQ?e=UYcvib" TargetMode="External"/><Relationship Id="rId20" Type="http://schemas.openxmlformats.org/officeDocument/2006/relationships/hyperlink" Target="https://itceduco-my.sharepoint.com/:f:/g/personal/procesos_itc_edu_co/EsrxrLcyDCVCk9SL-mWNID8BIP55yoHgN1Jckgvh8fTk8w?e=WM6qGu" TargetMode="External"/><Relationship Id="rId41" Type="http://schemas.openxmlformats.org/officeDocument/2006/relationships/hyperlink" Target="https://itceduco-my.sharepoint.com/:f:/g/personal/bienestaruniversitario_itc_edu_co/Er9XSfgiSRdBuM8BurGbQWcB5hMTZ4CQF5nIhVSGOlzS7w?e=V7exz8" TargetMode="External"/><Relationship Id="rId1" Type="http://schemas.openxmlformats.org/officeDocument/2006/relationships/hyperlink" Target="https://itceduco-my.sharepoint.com/:f:/g/personal/calidad_itc_edu_co/EpT1760NHatIvGy2r9_BHYYBUW38e1quYehurvBx514DfA?e=rOeONH" TargetMode="External"/><Relationship Id="rId6" Type="http://schemas.openxmlformats.org/officeDocument/2006/relationships/hyperlink" Target="https://etitc.edu.co/es/page/control-interno" TargetMode="External"/><Relationship Id="rId15" Type="http://schemas.openxmlformats.org/officeDocument/2006/relationships/hyperlink" Target="https://itceduco-my.sharepoint.com/:f:/g/personal/procesos_itc_edu_co/EsrxrLcyDCVCk9SL-mWNID8BIP55yoHgN1Jckgvh8fTk8w?e=WM6qGu" TargetMode="External"/><Relationship Id="rId23" Type="http://schemas.openxmlformats.org/officeDocument/2006/relationships/hyperlink" Target="https://etitc.edu.co/es/" TargetMode="External"/><Relationship Id="rId28" Type="http://schemas.openxmlformats.org/officeDocument/2006/relationships/hyperlink" Target="https://itceduco-my.sharepoint.com/:f:/g/personal/psicologia_itc_edu_co/EorFXOKDWrhOnWAgY-c7pUwBMheF_fT_rKD1LWEOHo7LAQ?e=UYcvib" TargetMode="External"/><Relationship Id="rId36" Type="http://schemas.openxmlformats.org/officeDocument/2006/relationships/hyperlink" Target="https://itceduco-my.sharepoint.com/:f:/g/personal/enfermeria_itc_edu_co/EtGPza4yuGpKr40RoAK_n5QBZiwrY2GL3dtoBA0-VWJ08Q?e=vzopH6" TargetMode="External"/><Relationship Id="rId49" Type="http://schemas.openxmlformats.org/officeDocument/2006/relationships/hyperlink" Target="https://itceduco-my.sharepoint.com/:f:/g/personal/psicologia_itc_edu_co/EorFXOKDWrhOnWAgY-c7pUwBMheF_fT_rKD1LWEOHo7LAQ?e=UYcvib"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etitc.edu.co/archives/pdi2021-2024.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800"/>
  <sheetViews>
    <sheetView showGridLines="0" tabSelected="1" zoomScale="69" zoomScaleNormal="85" workbookViewId="0">
      <pane ySplit="6" topLeftCell="A103" activePane="bottomLeft" state="frozen"/>
      <selection activeCell="B1" sqref="B1"/>
      <selection pane="bottomLeft" activeCell="A243" sqref="A243:N243"/>
    </sheetView>
  </sheetViews>
  <sheetFormatPr baseColWidth="10" defaultColWidth="11.42578125" defaultRowHeight="44.25" outlineLevelRow="1" x14ac:dyDescent="0.2"/>
  <cols>
    <col min="1" max="1" width="33.7109375" style="262" customWidth="1"/>
    <col min="2" max="2" width="40.140625" style="8" customWidth="1"/>
    <col min="3" max="3" width="50" style="8" customWidth="1"/>
    <col min="4" max="4" width="24.7109375" style="9" customWidth="1"/>
    <col min="5" max="5" width="19.140625" style="264" customWidth="1"/>
    <col min="6" max="6" width="40.42578125" style="321" customWidth="1"/>
    <col min="7" max="7" width="11.85546875" style="9" customWidth="1"/>
    <col min="8" max="8" width="42.42578125" style="8" customWidth="1"/>
    <col min="9" max="9" width="18.140625" style="9" customWidth="1"/>
    <col min="10" max="10" width="21.5703125" style="250" customWidth="1"/>
    <col min="11" max="11" width="24.85546875" style="250" customWidth="1"/>
    <col min="12" max="12" width="22.5703125" style="250" customWidth="1"/>
    <col min="13" max="13" width="16.140625" style="262" hidden="1" customWidth="1"/>
    <col min="14" max="14" width="20" style="262" hidden="1" customWidth="1"/>
    <col min="15" max="15" width="35" style="340" hidden="1" customWidth="1"/>
    <col min="16" max="16" width="18.5703125" style="262" hidden="1" customWidth="1"/>
    <col min="17" max="17" width="18.28515625" style="262" hidden="1" customWidth="1"/>
    <col min="18" max="18" width="21.42578125" style="262" hidden="1" customWidth="1"/>
    <col min="19" max="19" width="13.140625" style="262" hidden="1" customWidth="1"/>
    <col min="20" max="22" width="13.7109375" style="262" hidden="1" customWidth="1"/>
    <col min="23" max="23" width="8.7109375" style="307" customWidth="1"/>
    <col min="24" max="24" width="61.5703125" style="8" customWidth="1"/>
    <col min="25" max="25" width="22.7109375" style="8" customWidth="1"/>
    <col min="26" max="26" width="27.5703125" style="265" customWidth="1"/>
    <col min="27" max="27" width="24.28515625" style="262" customWidth="1"/>
    <col min="28" max="28" width="21.140625" style="262" customWidth="1"/>
    <col min="29" max="29" width="25.5703125" style="265" bestFit="1" customWidth="1"/>
    <col min="30" max="30" width="24.28515625" style="262" customWidth="1"/>
    <col min="31" max="31" width="21.140625" style="262" customWidth="1"/>
    <col min="32" max="32" width="25.5703125" style="265" bestFit="1" customWidth="1"/>
    <col min="33" max="33" width="24.28515625" style="262" hidden="1" customWidth="1"/>
    <col min="34" max="34" width="14" style="262" customWidth="1"/>
    <col min="35" max="35" width="25.28515625" style="262" customWidth="1"/>
    <col min="36" max="248" width="9.140625" style="262" customWidth="1"/>
    <col min="249" max="16384" width="11.42578125" style="262"/>
  </cols>
  <sheetData>
    <row r="1" spans="1:35" ht="12" hidden="1" customHeight="1" x14ac:dyDescent="0.2">
      <c r="A1" s="654" t="s">
        <v>0</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276" t="s">
        <v>1</v>
      </c>
      <c r="AI1" s="277" t="s">
        <v>1</v>
      </c>
    </row>
    <row r="2" spans="1:35" ht="12.6" hidden="1" customHeight="1" x14ac:dyDescent="0.2">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276" t="s">
        <v>2</v>
      </c>
      <c r="AI2" s="278" t="s">
        <v>2</v>
      </c>
    </row>
    <row r="3" spans="1:35" ht="21" hidden="1" customHeight="1"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276" t="s">
        <v>3</v>
      </c>
      <c r="AI3" s="278" t="s">
        <v>3</v>
      </c>
    </row>
    <row r="4" spans="1:35" ht="9.6" hidden="1" customHeight="1" x14ac:dyDescent="0.2">
      <c r="A4" s="654"/>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276" t="s">
        <v>4</v>
      </c>
      <c r="AI4" s="279" t="s">
        <v>4</v>
      </c>
    </row>
    <row r="5" spans="1:35" s="9" customFormat="1" ht="19.899999999999999" customHeight="1" x14ac:dyDescent="0.2">
      <c r="A5" s="622" t="s">
        <v>5</v>
      </c>
      <c r="B5" s="622" t="s">
        <v>6</v>
      </c>
      <c r="C5" s="622" t="s">
        <v>7</v>
      </c>
      <c r="D5" s="622" t="s">
        <v>8</v>
      </c>
      <c r="E5" s="622" t="s">
        <v>9</v>
      </c>
      <c r="F5" s="622" t="s">
        <v>10</v>
      </c>
      <c r="G5" s="657" t="s">
        <v>11</v>
      </c>
      <c r="H5" s="657" t="s">
        <v>12</v>
      </c>
      <c r="I5" s="659" t="s">
        <v>13</v>
      </c>
      <c r="J5" s="622" t="s">
        <v>14</v>
      </c>
      <c r="K5" s="622" t="s">
        <v>15</v>
      </c>
      <c r="L5" s="760" t="s">
        <v>16</v>
      </c>
      <c r="M5" s="622" t="s">
        <v>17</v>
      </c>
      <c r="N5" s="622" t="s">
        <v>18</v>
      </c>
      <c r="O5" s="655" t="s">
        <v>19</v>
      </c>
      <c r="P5" s="622" t="s">
        <v>20</v>
      </c>
      <c r="Q5" s="622" t="s">
        <v>21</v>
      </c>
      <c r="R5" s="622" t="s">
        <v>22</v>
      </c>
      <c r="S5" s="622" t="s">
        <v>23</v>
      </c>
      <c r="T5" s="622"/>
      <c r="U5" s="622"/>
      <c r="V5" s="622"/>
      <c r="W5" s="622" t="s">
        <v>24</v>
      </c>
      <c r="X5" s="622"/>
      <c r="Y5" s="622"/>
      <c r="Z5" s="622" t="s">
        <v>25</v>
      </c>
      <c r="AA5" s="622"/>
      <c r="AB5" s="622"/>
      <c r="AC5" s="622" t="s">
        <v>26</v>
      </c>
      <c r="AD5" s="622"/>
      <c r="AE5" s="622"/>
      <c r="AF5" s="622" t="s">
        <v>27</v>
      </c>
      <c r="AG5" s="622"/>
      <c r="AH5" s="622"/>
      <c r="AI5" s="286"/>
    </row>
    <row r="6" spans="1:35" s="9" customFormat="1" ht="33" customHeight="1" x14ac:dyDescent="0.2">
      <c r="A6" s="622"/>
      <c r="B6" s="622"/>
      <c r="C6" s="622"/>
      <c r="D6" s="622"/>
      <c r="E6" s="622"/>
      <c r="F6" s="622"/>
      <c r="G6" s="658"/>
      <c r="H6" s="658"/>
      <c r="I6" s="660"/>
      <c r="J6" s="622"/>
      <c r="K6" s="622"/>
      <c r="L6" s="761"/>
      <c r="M6" s="622"/>
      <c r="N6" s="622"/>
      <c r="O6" s="656"/>
      <c r="P6" s="622"/>
      <c r="Q6" s="622"/>
      <c r="R6" s="622"/>
      <c r="S6" s="474" t="s">
        <v>28</v>
      </c>
      <c r="T6" s="474" t="s">
        <v>29</v>
      </c>
      <c r="U6" s="474" t="s">
        <v>30</v>
      </c>
      <c r="V6" s="474" t="s">
        <v>31</v>
      </c>
      <c r="W6" s="341" t="s">
        <v>32</v>
      </c>
      <c r="X6" s="474" t="s">
        <v>33</v>
      </c>
      <c r="Y6" s="474" t="s">
        <v>34</v>
      </c>
      <c r="Z6" s="342" t="s">
        <v>35</v>
      </c>
      <c r="AA6" s="474" t="s">
        <v>33</v>
      </c>
      <c r="AB6" s="474" t="s">
        <v>34</v>
      </c>
      <c r="AC6" s="342" t="s">
        <v>36</v>
      </c>
      <c r="AD6" s="474" t="s">
        <v>33</v>
      </c>
      <c r="AE6" s="474" t="s">
        <v>34</v>
      </c>
      <c r="AF6" s="342" t="s">
        <v>37</v>
      </c>
      <c r="AG6" s="474" t="s">
        <v>33</v>
      </c>
      <c r="AH6" s="474" t="s">
        <v>34</v>
      </c>
      <c r="AI6" s="286"/>
    </row>
    <row r="7" spans="1:35" s="9" customFormat="1" ht="9.75" customHeight="1" x14ac:dyDescent="0.2">
      <c r="A7" s="476"/>
      <c r="B7" s="345"/>
      <c r="C7" s="345"/>
      <c r="D7" s="476"/>
      <c r="E7" s="476"/>
      <c r="F7" s="476"/>
      <c r="G7" s="343"/>
      <c r="H7" s="477"/>
      <c r="I7" s="344"/>
      <c r="J7" s="474"/>
      <c r="K7" s="474"/>
      <c r="L7" s="474"/>
      <c r="M7" s="474"/>
      <c r="N7" s="474"/>
      <c r="O7" s="475"/>
      <c r="P7" s="474"/>
      <c r="Q7" s="474"/>
      <c r="R7" s="474"/>
      <c r="S7" s="474"/>
      <c r="T7" s="474"/>
      <c r="U7" s="474"/>
      <c r="V7" s="474"/>
      <c r="W7" s="341"/>
      <c r="X7" s="349"/>
      <c r="Y7" s="349"/>
      <c r="Z7" s="342"/>
      <c r="AA7" s="474"/>
      <c r="AB7" s="474"/>
      <c r="AC7" s="342"/>
      <c r="AD7" s="474"/>
      <c r="AE7" s="474"/>
      <c r="AF7" s="342"/>
      <c r="AG7" s="474"/>
      <c r="AH7" s="474"/>
      <c r="AI7" s="286"/>
    </row>
    <row r="8" spans="1:35" ht="69.599999999999994" hidden="1" customHeight="1" outlineLevel="1" x14ac:dyDescent="0.2">
      <c r="A8" s="633" t="s">
        <v>38</v>
      </c>
      <c r="B8" s="545" t="s">
        <v>39</v>
      </c>
      <c r="C8" s="545" t="s">
        <v>40</v>
      </c>
      <c r="D8" s="679" t="s">
        <v>41</v>
      </c>
      <c r="E8" s="693" t="s">
        <v>42</v>
      </c>
      <c r="F8" s="693" t="s">
        <v>43</v>
      </c>
      <c r="G8" s="682" t="s">
        <v>44</v>
      </c>
      <c r="H8" s="2" t="s">
        <v>45</v>
      </c>
      <c r="I8" s="690" t="s">
        <v>46</v>
      </c>
      <c r="J8" s="257" t="s">
        <v>47</v>
      </c>
      <c r="K8" s="358">
        <v>67510000</v>
      </c>
      <c r="L8" s="358"/>
      <c r="M8" s="280">
        <v>44593</v>
      </c>
      <c r="N8" s="280">
        <v>44925</v>
      </c>
      <c r="O8" s="280">
        <v>44652</v>
      </c>
      <c r="P8" s="281">
        <f t="shared" ref="P8:P101" si="0">+(+_xlfn.DAYS(M8,O8))/(+_xlfn.DAYS(M8,N8))</f>
        <v>0.17771084337349397</v>
      </c>
      <c r="Q8" s="281">
        <f t="shared" ref="Q8:Q150" si="1">+IF(P8&gt;=100,100,IF(P8&lt;=0,0,P8))</f>
        <v>0.17771084337349397</v>
      </c>
      <c r="R8" s="282">
        <v>1</v>
      </c>
      <c r="S8" s="283">
        <v>0.25</v>
      </c>
      <c r="T8" s="283">
        <v>0.5</v>
      </c>
      <c r="U8" s="283">
        <v>0.75</v>
      </c>
      <c r="V8" s="283">
        <v>1</v>
      </c>
      <c r="W8" s="308">
        <v>0.25</v>
      </c>
      <c r="X8" s="350" t="s">
        <v>48</v>
      </c>
      <c r="Y8" s="354" t="s">
        <v>49</v>
      </c>
      <c r="Z8" s="284"/>
      <c r="AA8" s="285"/>
      <c r="AB8" s="285"/>
      <c r="AC8" s="284"/>
      <c r="AD8" s="285"/>
      <c r="AE8" s="285"/>
      <c r="AF8" s="284"/>
      <c r="AG8" s="285"/>
      <c r="AH8" s="285"/>
      <c r="AI8" s="286"/>
    </row>
    <row r="9" spans="1:35" ht="210.75" hidden="1" customHeight="1" outlineLevel="1" x14ac:dyDescent="0.2">
      <c r="A9" s="634"/>
      <c r="B9" s="546"/>
      <c r="C9" s="546"/>
      <c r="D9" s="680"/>
      <c r="E9" s="694"/>
      <c r="F9" s="694"/>
      <c r="G9" s="683"/>
      <c r="H9" s="2" t="s">
        <v>50</v>
      </c>
      <c r="I9" s="691"/>
      <c r="J9" s="257" t="s">
        <v>51</v>
      </c>
      <c r="K9" s="257" t="s">
        <v>52</v>
      </c>
      <c r="L9" s="257"/>
      <c r="M9" s="280">
        <v>44593</v>
      </c>
      <c r="N9" s="280">
        <v>44925</v>
      </c>
      <c r="O9" s="280">
        <v>44652</v>
      </c>
      <c r="P9" s="281">
        <f t="shared" si="0"/>
        <v>0.17771084337349397</v>
      </c>
      <c r="Q9" s="281">
        <f t="shared" si="1"/>
        <v>0.17771084337349397</v>
      </c>
      <c r="R9" s="282">
        <v>1</v>
      </c>
      <c r="S9" s="283">
        <v>0.25</v>
      </c>
      <c r="T9" s="283">
        <v>0.5</v>
      </c>
      <c r="U9" s="283">
        <v>0.75</v>
      </c>
      <c r="V9" s="283">
        <v>1</v>
      </c>
      <c r="W9" s="308">
        <v>0.25</v>
      </c>
      <c r="X9" s="350" t="s">
        <v>53</v>
      </c>
      <c r="Y9" s="354" t="s">
        <v>54</v>
      </c>
      <c r="Z9" s="284"/>
      <c r="AA9" s="285"/>
      <c r="AB9" s="285"/>
      <c r="AC9" s="284"/>
      <c r="AD9" s="285"/>
      <c r="AE9" s="285"/>
      <c r="AF9" s="284"/>
      <c r="AG9" s="285"/>
      <c r="AH9" s="285"/>
      <c r="AI9" s="286"/>
    </row>
    <row r="10" spans="1:35" ht="147.75" hidden="1" customHeight="1" outlineLevel="1" x14ac:dyDescent="0.2">
      <c r="A10" s="634"/>
      <c r="B10" s="546"/>
      <c r="C10" s="546"/>
      <c r="D10" s="680"/>
      <c r="E10" s="694"/>
      <c r="F10" s="694"/>
      <c r="G10" s="683"/>
      <c r="H10" s="2" t="s">
        <v>55</v>
      </c>
      <c r="I10" s="691"/>
      <c r="J10" s="257" t="s">
        <v>51</v>
      </c>
      <c r="K10" s="257" t="s">
        <v>52</v>
      </c>
      <c r="L10" s="257"/>
      <c r="M10" s="280">
        <v>44593</v>
      </c>
      <c r="N10" s="280">
        <v>44925</v>
      </c>
      <c r="O10" s="280">
        <v>44652</v>
      </c>
      <c r="P10" s="281">
        <f t="shared" si="0"/>
        <v>0.17771084337349397</v>
      </c>
      <c r="Q10" s="281">
        <f t="shared" si="1"/>
        <v>0.17771084337349397</v>
      </c>
      <c r="R10" s="282">
        <v>1</v>
      </c>
      <c r="S10" s="283">
        <v>0.25</v>
      </c>
      <c r="T10" s="283">
        <v>0.5</v>
      </c>
      <c r="U10" s="283">
        <v>0.75</v>
      </c>
      <c r="V10" s="283">
        <v>1</v>
      </c>
      <c r="W10" s="308">
        <v>0.25</v>
      </c>
      <c r="X10" s="350" t="s">
        <v>56</v>
      </c>
      <c r="Y10" s="354" t="s">
        <v>57</v>
      </c>
      <c r="Z10" s="284"/>
      <c r="AA10" s="285"/>
      <c r="AB10" s="285"/>
      <c r="AC10" s="284"/>
      <c r="AD10" s="285"/>
      <c r="AE10" s="285"/>
      <c r="AF10" s="284"/>
      <c r="AG10" s="285"/>
      <c r="AH10" s="285"/>
      <c r="AI10" s="286"/>
    </row>
    <row r="11" spans="1:35" ht="69.599999999999994" hidden="1" customHeight="1" outlineLevel="1" x14ac:dyDescent="0.2">
      <c r="A11" s="634"/>
      <c r="B11" s="546"/>
      <c r="C11" s="546"/>
      <c r="D11" s="680"/>
      <c r="E11" s="694"/>
      <c r="F11" s="694"/>
      <c r="G11" s="683"/>
      <c r="H11" s="2" t="s">
        <v>58</v>
      </c>
      <c r="I11" s="691"/>
      <c r="J11" s="257" t="s">
        <v>59</v>
      </c>
      <c r="K11" s="257" t="s">
        <v>52</v>
      </c>
      <c r="L11" s="257"/>
      <c r="M11" s="280">
        <v>44593</v>
      </c>
      <c r="N11" s="280">
        <v>44925</v>
      </c>
      <c r="O11" s="280">
        <v>44652</v>
      </c>
      <c r="P11" s="281">
        <f t="shared" si="0"/>
        <v>0.17771084337349397</v>
      </c>
      <c r="Q11" s="281">
        <f t="shared" si="1"/>
        <v>0.17771084337349397</v>
      </c>
      <c r="R11" s="282">
        <v>1</v>
      </c>
      <c r="S11" s="283">
        <v>0.25</v>
      </c>
      <c r="T11" s="283">
        <v>0.5</v>
      </c>
      <c r="U11" s="283">
        <v>0.75</v>
      </c>
      <c r="V11" s="283">
        <v>1</v>
      </c>
      <c r="W11" s="308">
        <v>0.25</v>
      </c>
      <c r="X11" s="350" t="s">
        <v>60</v>
      </c>
      <c r="Y11" s="354" t="s">
        <v>61</v>
      </c>
      <c r="Z11" s="284"/>
      <c r="AA11" s="285"/>
      <c r="AB11" s="285"/>
      <c r="AC11" s="284"/>
      <c r="AD11" s="285"/>
      <c r="AE11" s="285"/>
      <c r="AF11" s="284"/>
      <c r="AG11" s="285"/>
      <c r="AH11" s="285"/>
      <c r="AI11" s="286"/>
    </row>
    <row r="12" spans="1:35" ht="69.599999999999994" hidden="1" customHeight="1" outlineLevel="1" x14ac:dyDescent="0.2">
      <c r="A12" s="634"/>
      <c r="B12" s="546"/>
      <c r="C12" s="546"/>
      <c r="D12" s="680"/>
      <c r="E12" s="694"/>
      <c r="F12" s="694"/>
      <c r="G12" s="683"/>
      <c r="H12" s="2" t="s">
        <v>62</v>
      </c>
      <c r="I12" s="691"/>
      <c r="J12" s="257" t="s">
        <v>63</v>
      </c>
      <c r="K12" s="257" t="s">
        <v>52</v>
      </c>
      <c r="L12" s="257"/>
      <c r="M12" s="280">
        <v>44593</v>
      </c>
      <c r="N12" s="280">
        <v>44925</v>
      </c>
      <c r="O12" s="280">
        <v>44652</v>
      </c>
      <c r="P12" s="281">
        <f t="shared" si="0"/>
        <v>0.17771084337349397</v>
      </c>
      <c r="Q12" s="281">
        <f t="shared" si="1"/>
        <v>0.17771084337349397</v>
      </c>
      <c r="R12" s="282">
        <v>1</v>
      </c>
      <c r="S12" s="283">
        <v>0.25</v>
      </c>
      <c r="T12" s="283">
        <v>0.5</v>
      </c>
      <c r="U12" s="283">
        <v>0.75</v>
      </c>
      <c r="V12" s="283">
        <v>1</v>
      </c>
      <c r="W12" s="308">
        <v>0</v>
      </c>
      <c r="X12" s="350" t="s">
        <v>64</v>
      </c>
      <c r="Y12" s="352" t="s">
        <v>52</v>
      </c>
      <c r="Z12" s="284"/>
      <c r="AA12" s="285"/>
      <c r="AB12" s="285"/>
      <c r="AC12" s="284"/>
      <c r="AD12" s="285"/>
      <c r="AE12" s="285"/>
      <c r="AF12" s="284"/>
      <c r="AG12" s="285"/>
      <c r="AH12" s="285"/>
      <c r="AI12" s="286"/>
    </row>
    <row r="13" spans="1:35" ht="69.599999999999994" hidden="1" customHeight="1" outlineLevel="1" x14ac:dyDescent="0.2">
      <c r="A13" s="634"/>
      <c r="B13" s="546"/>
      <c r="C13" s="546"/>
      <c r="D13" s="680"/>
      <c r="E13" s="694"/>
      <c r="F13" s="694"/>
      <c r="G13" s="683"/>
      <c r="H13" s="2" t="s">
        <v>65</v>
      </c>
      <c r="I13" s="691"/>
      <c r="J13" s="257" t="s">
        <v>66</v>
      </c>
      <c r="K13" s="257" t="s">
        <v>52</v>
      </c>
      <c r="L13" s="257"/>
      <c r="M13" s="280">
        <v>44593</v>
      </c>
      <c r="N13" s="280">
        <v>44925</v>
      </c>
      <c r="O13" s="280">
        <v>44652</v>
      </c>
      <c r="P13" s="281">
        <f t="shared" si="0"/>
        <v>0.17771084337349397</v>
      </c>
      <c r="Q13" s="281">
        <f t="shared" si="1"/>
        <v>0.17771084337349397</v>
      </c>
      <c r="R13" s="282">
        <v>1</v>
      </c>
      <c r="S13" s="283">
        <v>0.25</v>
      </c>
      <c r="T13" s="283">
        <v>0.5</v>
      </c>
      <c r="U13" s="283">
        <v>0.75</v>
      </c>
      <c r="V13" s="283">
        <v>1</v>
      </c>
      <c r="W13" s="308">
        <v>0.25</v>
      </c>
      <c r="X13" s="350" t="s">
        <v>67</v>
      </c>
      <c r="Y13" s="354" t="s">
        <v>68</v>
      </c>
      <c r="Z13" s="284"/>
      <c r="AA13" s="285"/>
      <c r="AB13" s="285"/>
      <c r="AC13" s="284"/>
      <c r="AD13" s="285"/>
      <c r="AE13" s="285"/>
      <c r="AF13" s="284"/>
      <c r="AG13" s="285"/>
      <c r="AH13" s="285"/>
      <c r="AI13" s="286"/>
    </row>
    <row r="14" spans="1:35" ht="69.599999999999994" hidden="1" customHeight="1" outlineLevel="1" x14ac:dyDescent="0.2">
      <c r="A14" s="634"/>
      <c r="B14" s="547"/>
      <c r="C14" s="547"/>
      <c r="D14" s="681"/>
      <c r="E14" s="695"/>
      <c r="F14" s="695"/>
      <c r="G14" s="684"/>
      <c r="H14" s="2" t="s">
        <v>69</v>
      </c>
      <c r="I14" s="692"/>
      <c r="J14" s="257" t="s">
        <v>70</v>
      </c>
      <c r="K14" s="257" t="s">
        <v>52</v>
      </c>
      <c r="L14" s="257"/>
      <c r="M14" s="280">
        <v>44593</v>
      </c>
      <c r="N14" s="280">
        <v>44925</v>
      </c>
      <c r="O14" s="280">
        <v>44652</v>
      </c>
      <c r="P14" s="281">
        <f t="shared" si="0"/>
        <v>0.17771084337349397</v>
      </c>
      <c r="Q14" s="281">
        <f t="shared" si="1"/>
        <v>0.17771084337349397</v>
      </c>
      <c r="R14" s="282">
        <v>1</v>
      </c>
      <c r="S14" s="283">
        <v>0.25</v>
      </c>
      <c r="T14" s="283">
        <v>0.5</v>
      </c>
      <c r="U14" s="283">
        <v>0.75</v>
      </c>
      <c r="V14" s="283">
        <v>1</v>
      </c>
      <c r="W14" s="308">
        <v>0.25</v>
      </c>
      <c r="X14" s="350" t="s">
        <v>71</v>
      </c>
      <c r="Y14" s="352" t="s">
        <v>52</v>
      </c>
      <c r="Z14" s="284"/>
      <c r="AA14" s="285"/>
      <c r="AB14" s="285"/>
      <c r="AC14" s="284"/>
      <c r="AD14" s="285"/>
      <c r="AE14" s="285"/>
      <c r="AF14" s="284"/>
      <c r="AG14" s="285"/>
      <c r="AH14" s="285"/>
      <c r="AI14" s="286"/>
    </row>
    <row r="15" spans="1:35" ht="99.75" hidden="1" customHeight="1" outlineLevel="1" x14ac:dyDescent="0.2">
      <c r="A15" s="634"/>
      <c r="B15" s="546" t="s">
        <v>39</v>
      </c>
      <c r="C15" s="546" t="s">
        <v>72</v>
      </c>
      <c r="D15" s="603" t="s">
        <v>73</v>
      </c>
      <c r="E15" s="592" t="s">
        <v>74</v>
      </c>
      <c r="F15" s="592" t="s">
        <v>75</v>
      </c>
      <c r="G15" s="526" t="s">
        <v>76</v>
      </c>
      <c r="H15" s="304" t="s">
        <v>77</v>
      </c>
      <c r="I15" s="705" t="s">
        <v>78</v>
      </c>
      <c r="J15" s="257" t="s">
        <v>79</v>
      </c>
      <c r="K15" s="359">
        <v>27009430</v>
      </c>
      <c r="L15" s="359"/>
      <c r="M15" s="280">
        <v>44593</v>
      </c>
      <c r="N15" s="280">
        <v>44925</v>
      </c>
      <c r="O15" s="280">
        <v>44652</v>
      </c>
      <c r="P15" s="281">
        <f t="shared" si="0"/>
        <v>0.17771084337349397</v>
      </c>
      <c r="Q15" s="281">
        <f t="shared" si="1"/>
        <v>0.17771084337349397</v>
      </c>
      <c r="R15" s="282">
        <v>1</v>
      </c>
      <c r="S15" s="283">
        <v>0.25</v>
      </c>
      <c r="T15" s="283">
        <v>0.5</v>
      </c>
      <c r="U15" s="283">
        <v>0.75</v>
      </c>
      <c r="V15" s="283">
        <v>1</v>
      </c>
      <c r="W15" s="308">
        <v>0.35</v>
      </c>
      <c r="X15" s="283" t="s">
        <v>80</v>
      </c>
      <c r="Y15" s="352" t="s">
        <v>81</v>
      </c>
      <c r="Z15" s="284"/>
      <c r="AA15" s="285"/>
      <c r="AB15" s="285"/>
      <c r="AC15" s="284"/>
      <c r="AD15" s="285"/>
      <c r="AE15" s="285"/>
      <c r="AF15" s="284"/>
      <c r="AG15" s="285"/>
      <c r="AH15" s="285"/>
      <c r="AI15" s="286"/>
    </row>
    <row r="16" spans="1:35" ht="109.5" hidden="1" customHeight="1" outlineLevel="1" x14ac:dyDescent="0.2">
      <c r="A16" s="634"/>
      <c r="B16" s="546"/>
      <c r="C16" s="546"/>
      <c r="D16" s="603"/>
      <c r="E16" s="592"/>
      <c r="F16" s="592"/>
      <c r="G16" s="527"/>
      <c r="H16" s="304" t="s">
        <v>82</v>
      </c>
      <c r="I16" s="705"/>
      <c r="J16" s="257" t="s">
        <v>83</v>
      </c>
      <c r="K16" s="322" t="s">
        <v>84</v>
      </c>
      <c r="L16" s="322"/>
      <c r="M16" s="280">
        <v>44593</v>
      </c>
      <c r="N16" s="280">
        <v>44925</v>
      </c>
      <c r="O16" s="280">
        <v>44652</v>
      </c>
      <c r="P16" s="281">
        <f t="shared" si="0"/>
        <v>0.17771084337349397</v>
      </c>
      <c r="Q16" s="281">
        <f t="shared" si="1"/>
        <v>0.17771084337349397</v>
      </c>
      <c r="R16" s="282">
        <v>1</v>
      </c>
      <c r="S16" s="283">
        <v>0.25</v>
      </c>
      <c r="T16" s="283">
        <v>0.5</v>
      </c>
      <c r="U16" s="283">
        <v>0.75</v>
      </c>
      <c r="V16" s="283">
        <v>1</v>
      </c>
      <c r="W16" s="308">
        <v>0.5</v>
      </c>
      <c r="X16" s="283" t="s">
        <v>85</v>
      </c>
      <c r="Y16" s="352" t="s">
        <v>86</v>
      </c>
      <c r="Z16" s="284"/>
      <c r="AA16" s="285"/>
      <c r="AB16" s="285"/>
      <c r="AC16" s="284"/>
      <c r="AD16" s="285"/>
      <c r="AE16" s="285"/>
      <c r="AF16" s="284"/>
      <c r="AG16" s="285"/>
      <c r="AH16" s="285"/>
      <c r="AI16" s="286"/>
    </row>
    <row r="17" spans="1:36" ht="225" hidden="1" customHeight="1" outlineLevel="1" x14ac:dyDescent="0.2">
      <c r="A17" s="634"/>
      <c r="B17" s="546"/>
      <c r="C17" s="545" t="s">
        <v>87</v>
      </c>
      <c r="D17" s="603"/>
      <c r="E17" s="591" t="s">
        <v>88</v>
      </c>
      <c r="F17" s="591" t="s">
        <v>89</v>
      </c>
      <c r="G17" s="525" t="s">
        <v>44</v>
      </c>
      <c r="H17" s="304" t="s">
        <v>90</v>
      </c>
      <c r="I17" s="706" t="s">
        <v>91</v>
      </c>
      <c r="J17" s="257" t="s">
        <v>92</v>
      </c>
      <c r="K17" s="322">
        <v>14000000</v>
      </c>
      <c r="L17" s="322"/>
      <c r="M17" s="280">
        <v>44593</v>
      </c>
      <c r="N17" s="280">
        <v>44925</v>
      </c>
      <c r="O17" s="280">
        <v>44652</v>
      </c>
      <c r="P17" s="281">
        <f t="shared" si="0"/>
        <v>0.17771084337349397</v>
      </c>
      <c r="Q17" s="281">
        <f t="shared" si="1"/>
        <v>0.17771084337349397</v>
      </c>
      <c r="R17" s="282">
        <v>1</v>
      </c>
      <c r="S17" s="283">
        <v>0.25</v>
      </c>
      <c r="T17" s="283">
        <v>0.5</v>
      </c>
      <c r="U17" s="283">
        <v>0.75</v>
      </c>
      <c r="V17" s="283">
        <v>1</v>
      </c>
      <c r="W17" s="308">
        <v>0.15</v>
      </c>
      <c r="X17" s="283" t="s">
        <v>93</v>
      </c>
      <c r="Y17" s="352" t="s">
        <v>52</v>
      </c>
      <c r="Z17" s="284"/>
      <c r="AA17" s="285"/>
      <c r="AB17" s="285"/>
      <c r="AC17" s="284"/>
      <c r="AD17" s="285"/>
      <c r="AE17" s="285"/>
      <c r="AF17" s="284"/>
      <c r="AG17" s="285"/>
      <c r="AH17" s="285"/>
      <c r="AI17" s="286"/>
    </row>
    <row r="18" spans="1:36" ht="112.5" hidden="1" customHeight="1" outlineLevel="1" x14ac:dyDescent="0.2">
      <c r="A18" s="634"/>
      <c r="B18" s="546"/>
      <c r="C18" s="546"/>
      <c r="D18" s="603"/>
      <c r="E18" s="592"/>
      <c r="F18" s="592"/>
      <c r="G18" s="526"/>
      <c r="H18" s="304" t="s">
        <v>94</v>
      </c>
      <c r="I18" s="705"/>
      <c r="J18" s="257" t="s">
        <v>95</v>
      </c>
      <c r="K18" s="322">
        <v>8000000</v>
      </c>
      <c r="L18" s="322"/>
      <c r="M18" s="280">
        <v>44593</v>
      </c>
      <c r="N18" s="280">
        <v>44925</v>
      </c>
      <c r="O18" s="280">
        <v>44652</v>
      </c>
      <c r="P18" s="281">
        <f t="shared" si="0"/>
        <v>0.17771084337349397</v>
      </c>
      <c r="Q18" s="281">
        <f t="shared" si="1"/>
        <v>0.17771084337349397</v>
      </c>
      <c r="R18" s="282">
        <v>1</v>
      </c>
      <c r="S18" s="283">
        <v>0.25</v>
      </c>
      <c r="T18" s="283">
        <v>0.5</v>
      </c>
      <c r="U18" s="283">
        <v>0.75</v>
      </c>
      <c r="V18" s="283">
        <v>1</v>
      </c>
      <c r="W18" s="308">
        <v>0</v>
      </c>
      <c r="X18" s="283" t="s">
        <v>96</v>
      </c>
      <c r="Y18" s="352" t="s">
        <v>52</v>
      </c>
      <c r="Z18" s="284"/>
      <c r="AA18" s="285"/>
      <c r="AB18" s="285"/>
      <c r="AC18" s="284"/>
      <c r="AD18" s="285"/>
      <c r="AE18" s="285"/>
      <c r="AF18" s="284"/>
      <c r="AG18" s="285"/>
      <c r="AH18" s="285"/>
      <c r="AI18" s="286"/>
    </row>
    <row r="19" spans="1:36" ht="168.75" hidden="1" customHeight="1" outlineLevel="1" x14ac:dyDescent="0.2">
      <c r="A19" s="634"/>
      <c r="B19" s="547"/>
      <c r="C19" s="547"/>
      <c r="D19" s="538"/>
      <c r="E19" s="593"/>
      <c r="F19" s="593"/>
      <c r="G19" s="527"/>
      <c r="H19" s="304" t="s">
        <v>97</v>
      </c>
      <c r="I19" s="707"/>
      <c r="J19" s="257" t="s">
        <v>98</v>
      </c>
      <c r="K19" s="322">
        <v>4200000</v>
      </c>
      <c r="L19" s="322"/>
      <c r="M19" s="280">
        <v>44593</v>
      </c>
      <c r="N19" s="280">
        <v>44925</v>
      </c>
      <c r="O19" s="280">
        <v>44652</v>
      </c>
      <c r="P19" s="281">
        <f t="shared" si="0"/>
        <v>0.17771084337349397</v>
      </c>
      <c r="Q19" s="281">
        <f t="shared" si="1"/>
        <v>0.17771084337349397</v>
      </c>
      <c r="R19" s="282">
        <v>1</v>
      </c>
      <c r="S19" s="283">
        <v>0.25</v>
      </c>
      <c r="T19" s="283">
        <v>0.5</v>
      </c>
      <c r="U19" s="283">
        <v>0.75</v>
      </c>
      <c r="V19" s="283">
        <v>1</v>
      </c>
      <c r="W19" s="308">
        <v>0</v>
      </c>
      <c r="X19" s="283" t="s">
        <v>96</v>
      </c>
      <c r="Y19" s="352" t="s">
        <v>52</v>
      </c>
      <c r="Z19" s="284"/>
      <c r="AA19" s="285"/>
      <c r="AB19" s="285"/>
      <c r="AC19" s="284"/>
      <c r="AD19" s="285"/>
      <c r="AE19" s="285"/>
      <c r="AF19" s="284"/>
      <c r="AG19" s="285"/>
      <c r="AH19" s="285"/>
      <c r="AI19" s="286"/>
    </row>
    <row r="20" spans="1:36" ht="63" hidden="1" customHeight="1" outlineLevel="1" x14ac:dyDescent="0.2">
      <c r="A20" s="634"/>
      <c r="B20" s="444" t="s">
        <v>39</v>
      </c>
      <c r="C20" s="444" t="s">
        <v>99</v>
      </c>
      <c r="D20" s="764" t="s">
        <v>100</v>
      </c>
      <c r="E20" s="764" t="s">
        <v>101</v>
      </c>
      <c r="F20" s="764" t="s">
        <v>102</v>
      </c>
      <c r="G20" s="767" t="s">
        <v>44</v>
      </c>
      <c r="H20" s="460" t="s">
        <v>103</v>
      </c>
      <c r="I20" s="702" t="s">
        <v>104</v>
      </c>
      <c r="J20" s="257" t="s">
        <v>105</v>
      </c>
      <c r="K20" s="322">
        <v>24000000</v>
      </c>
      <c r="L20" s="322"/>
      <c r="M20" s="280">
        <v>44593</v>
      </c>
      <c r="N20" s="280">
        <v>44925</v>
      </c>
      <c r="O20" s="280">
        <v>44652</v>
      </c>
      <c r="P20" s="281">
        <f t="shared" si="0"/>
        <v>0.17771084337349397</v>
      </c>
      <c r="Q20" s="281">
        <f t="shared" si="1"/>
        <v>0.17771084337349397</v>
      </c>
      <c r="R20" s="282">
        <v>0.6</v>
      </c>
      <c r="S20" s="283">
        <v>0.45</v>
      </c>
      <c r="T20" s="283">
        <v>0.5</v>
      </c>
      <c r="U20" s="283">
        <v>0.55000000000000004</v>
      </c>
      <c r="V20" s="283">
        <v>0.6</v>
      </c>
      <c r="W20" s="308">
        <v>0.25</v>
      </c>
      <c r="X20" s="283" t="s">
        <v>106</v>
      </c>
      <c r="Y20" s="352" t="s">
        <v>107</v>
      </c>
      <c r="Z20" s="284"/>
      <c r="AA20" s="285"/>
      <c r="AB20" s="285"/>
      <c r="AC20" s="284"/>
      <c r="AD20" s="285"/>
      <c r="AE20" s="285"/>
      <c r="AF20" s="284"/>
      <c r="AG20" s="285"/>
      <c r="AH20" s="285"/>
      <c r="AI20" s="286"/>
    </row>
    <row r="21" spans="1:36" ht="131.25" hidden="1" customHeight="1" outlineLevel="1" x14ac:dyDescent="0.2">
      <c r="A21" s="634"/>
      <c r="B21" s="445"/>
      <c r="C21" s="445"/>
      <c r="D21" s="765"/>
      <c r="E21" s="765"/>
      <c r="F21" s="765"/>
      <c r="G21" s="768"/>
      <c r="H21" s="461" t="s">
        <v>108</v>
      </c>
      <c r="I21" s="703"/>
      <c r="J21" s="257" t="s">
        <v>109</v>
      </c>
      <c r="K21" s="257"/>
      <c r="L21" s="257"/>
      <c r="M21" s="280"/>
      <c r="N21" s="280"/>
      <c r="O21" s="280"/>
      <c r="P21" s="281"/>
      <c r="Q21" s="281"/>
      <c r="R21" s="282"/>
      <c r="S21" s="283"/>
      <c r="T21" s="283"/>
      <c r="U21" s="283"/>
      <c r="V21" s="283"/>
      <c r="W21" s="308">
        <v>0.25</v>
      </c>
      <c r="X21" s="283" t="s">
        <v>110</v>
      </c>
      <c r="Y21" s="352" t="s">
        <v>107</v>
      </c>
      <c r="Z21" s="284"/>
      <c r="AA21" s="285"/>
      <c r="AB21" s="285"/>
      <c r="AC21" s="284"/>
      <c r="AD21" s="285"/>
      <c r="AE21" s="285"/>
      <c r="AF21" s="284"/>
      <c r="AG21" s="285"/>
      <c r="AH21" s="285"/>
      <c r="AI21" s="286"/>
    </row>
    <row r="22" spans="1:36" ht="131.25" hidden="1" customHeight="1" outlineLevel="1" x14ac:dyDescent="0.2">
      <c r="A22" s="634"/>
      <c r="B22" s="445"/>
      <c r="C22" s="445"/>
      <c r="D22" s="766"/>
      <c r="E22" s="766"/>
      <c r="F22" s="766"/>
      <c r="G22" s="769"/>
      <c r="H22" s="461" t="s">
        <v>111</v>
      </c>
      <c r="I22" s="704"/>
      <c r="J22" s="257" t="s">
        <v>109</v>
      </c>
      <c r="K22" s="257"/>
      <c r="L22" s="257"/>
      <c r="M22" s="280"/>
      <c r="N22" s="280"/>
      <c r="O22" s="280"/>
      <c r="P22" s="281"/>
      <c r="Q22" s="281"/>
      <c r="R22" s="282"/>
      <c r="S22" s="283"/>
      <c r="T22" s="283"/>
      <c r="U22" s="283"/>
      <c r="V22" s="283"/>
      <c r="W22" s="308">
        <v>0.25</v>
      </c>
      <c r="X22" s="283" t="s">
        <v>112</v>
      </c>
      <c r="Y22" s="352" t="s">
        <v>107</v>
      </c>
      <c r="Z22" s="284"/>
      <c r="AA22" s="285"/>
      <c r="AB22" s="285"/>
      <c r="AC22" s="284"/>
      <c r="AD22" s="285"/>
      <c r="AE22" s="285"/>
      <c r="AF22" s="284"/>
      <c r="AG22" s="285"/>
      <c r="AH22" s="285"/>
      <c r="AI22" s="286"/>
    </row>
    <row r="23" spans="1:36" ht="198" hidden="1" customHeight="1" outlineLevel="1" x14ac:dyDescent="0.2">
      <c r="A23" s="634"/>
      <c r="B23" s="545" t="s">
        <v>39</v>
      </c>
      <c r="C23" s="545" t="s">
        <v>40</v>
      </c>
      <c r="D23" s="665" t="s">
        <v>113</v>
      </c>
      <c r="E23" s="672" t="s">
        <v>42</v>
      </c>
      <c r="F23" s="672" t="s">
        <v>43</v>
      </c>
      <c r="G23" s="708" t="s">
        <v>44</v>
      </c>
      <c r="H23" s="472" t="s">
        <v>114</v>
      </c>
      <c r="I23" s="696" t="s">
        <v>46</v>
      </c>
      <c r="J23" s="257" t="s">
        <v>115</v>
      </c>
      <c r="K23" s="257" t="s">
        <v>116</v>
      </c>
      <c r="L23" s="257"/>
      <c r="M23" s="280">
        <v>44593</v>
      </c>
      <c r="N23" s="280">
        <v>44925</v>
      </c>
      <c r="O23" s="280">
        <v>44652</v>
      </c>
      <c r="P23" s="281">
        <f t="shared" si="0"/>
        <v>0.17771084337349397</v>
      </c>
      <c r="Q23" s="281">
        <f t="shared" si="1"/>
        <v>0.17771084337349397</v>
      </c>
      <c r="R23" s="282">
        <v>1</v>
      </c>
      <c r="S23" s="283">
        <v>0.25</v>
      </c>
      <c r="T23" s="283">
        <v>0.5</v>
      </c>
      <c r="U23" s="283">
        <v>0.75</v>
      </c>
      <c r="V23" s="283">
        <v>1</v>
      </c>
      <c r="W23" s="308">
        <v>0.25</v>
      </c>
      <c r="X23" s="283" t="s">
        <v>117</v>
      </c>
      <c r="Y23" s="352" t="s">
        <v>118</v>
      </c>
      <c r="Z23" s="284"/>
      <c r="AA23" s="285"/>
      <c r="AB23" s="285"/>
      <c r="AC23" s="284"/>
      <c r="AD23" s="285"/>
      <c r="AE23" s="285"/>
      <c r="AF23" s="284"/>
      <c r="AG23" s="285"/>
      <c r="AH23" s="285"/>
      <c r="AI23" s="286"/>
    </row>
    <row r="24" spans="1:36" ht="161.25" hidden="1" customHeight="1" outlineLevel="1" x14ac:dyDescent="0.2">
      <c r="A24" s="634"/>
      <c r="B24" s="546"/>
      <c r="C24" s="546"/>
      <c r="D24" s="666"/>
      <c r="E24" s="672"/>
      <c r="F24" s="672"/>
      <c r="G24" s="708"/>
      <c r="H24" s="472" t="s">
        <v>119</v>
      </c>
      <c r="I24" s="696"/>
      <c r="J24" s="257" t="s">
        <v>120</v>
      </c>
      <c r="K24" s="257" t="s">
        <v>116</v>
      </c>
      <c r="L24" s="257"/>
      <c r="M24" s="280">
        <v>44593</v>
      </c>
      <c r="N24" s="280">
        <v>44925</v>
      </c>
      <c r="O24" s="280">
        <v>44652</v>
      </c>
      <c r="P24" s="281">
        <f t="shared" si="0"/>
        <v>0.17771084337349397</v>
      </c>
      <c r="Q24" s="281">
        <f t="shared" si="1"/>
        <v>0.17771084337349397</v>
      </c>
      <c r="R24" s="282">
        <v>1</v>
      </c>
      <c r="S24" s="283">
        <v>0.25</v>
      </c>
      <c r="T24" s="283">
        <v>0.5</v>
      </c>
      <c r="U24" s="283">
        <v>0.75</v>
      </c>
      <c r="V24" s="283">
        <v>1</v>
      </c>
      <c r="W24" s="308">
        <v>0.25</v>
      </c>
      <c r="X24" s="283" t="s">
        <v>121</v>
      </c>
      <c r="Y24" s="352" t="s">
        <v>122</v>
      </c>
      <c r="Z24" s="284"/>
      <c r="AA24" s="285"/>
      <c r="AB24" s="285"/>
      <c r="AC24" s="284"/>
      <c r="AD24" s="285"/>
      <c r="AE24" s="285"/>
      <c r="AF24" s="284"/>
      <c r="AG24" s="285"/>
      <c r="AH24" s="285"/>
      <c r="AI24" s="286"/>
    </row>
    <row r="25" spans="1:36" ht="75" hidden="1" customHeight="1" outlineLevel="1" x14ac:dyDescent="0.2">
      <c r="A25" s="634"/>
      <c r="B25" s="546"/>
      <c r="C25" s="546"/>
      <c r="D25" s="666"/>
      <c r="E25" s="672"/>
      <c r="F25" s="672"/>
      <c r="G25" s="708"/>
      <c r="H25" s="472" t="s">
        <v>123</v>
      </c>
      <c r="I25" s="696"/>
      <c r="J25" s="257" t="s">
        <v>124</v>
      </c>
      <c r="K25" s="257" t="s">
        <v>116</v>
      </c>
      <c r="L25" s="257"/>
      <c r="M25" s="280">
        <v>44593</v>
      </c>
      <c r="N25" s="280">
        <v>44925</v>
      </c>
      <c r="O25" s="280">
        <v>44652</v>
      </c>
      <c r="P25" s="281">
        <f t="shared" si="0"/>
        <v>0.17771084337349397</v>
      </c>
      <c r="Q25" s="281">
        <f t="shared" si="1"/>
        <v>0.17771084337349397</v>
      </c>
      <c r="R25" s="282">
        <v>1</v>
      </c>
      <c r="S25" s="283">
        <v>0.25</v>
      </c>
      <c r="T25" s="283">
        <v>0.5</v>
      </c>
      <c r="U25" s="283">
        <v>0.75</v>
      </c>
      <c r="V25" s="283">
        <v>1</v>
      </c>
      <c r="W25" s="308">
        <v>0.25</v>
      </c>
      <c r="X25" s="283" t="s">
        <v>125</v>
      </c>
      <c r="Y25" s="352" t="s">
        <v>126</v>
      </c>
      <c r="Z25" s="284"/>
      <c r="AA25" s="285"/>
      <c r="AB25" s="285"/>
      <c r="AC25" s="284"/>
      <c r="AD25" s="285"/>
      <c r="AE25" s="285"/>
      <c r="AF25" s="284"/>
      <c r="AG25" s="285"/>
      <c r="AH25" s="285"/>
      <c r="AI25" s="286"/>
    </row>
    <row r="26" spans="1:36" ht="77.25" hidden="1" customHeight="1" outlineLevel="1" x14ac:dyDescent="0.2">
      <c r="A26" s="634"/>
      <c r="B26" s="546"/>
      <c r="C26" s="546"/>
      <c r="D26" s="666"/>
      <c r="E26" s="672"/>
      <c r="F26" s="672"/>
      <c r="G26" s="708"/>
      <c r="H26" s="472" t="s">
        <v>127</v>
      </c>
      <c r="I26" s="696"/>
      <c r="J26" s="257" t="s">
        <v>128</v>
      </c>
      <c r="K26" s="257" t="s">
        <v>116</v>
      </c>
      <c r="L26" s="257"/>
      <c r="M26" s="280">
        <v>44593</v>
      </c>
      <c r="N26" s="280">
        <v>44925</v>
      </c>
      <c r="O26" s="280">
        <v>44652</v>
      </c>
      <c r="P26" s="281">
        <f t="shared" si="0"/>
        <v>0.17771084337349397</v>
      </c>
      <c r="Q26" s="281">
        <f t="shared" si="1"/>
        <v>0.17771084337349397</v>
      </c>
      <c r="R26" s="282">
        <v>1</v>
      </c>
      <c r="S26" s="283">
        <v>0.25</v>
      </c>
      <c r="T26" s="283">
        <v>0.5</v>
      </c>
      <c r="U26" s="283">
        <v>0.75</v>
      </c>
      <c r="V26" s="283">
        <v>1</v>
      </c>
      <c r="W26" s="308">
        <v>0.25</v>
      </c>
      <c r="X26" s="283" t="s">
        <v>129</v>
      </c>
      <c r="Y26" s="352" t="s">
        <v>130</v>
      </c>
      <c r="Z26" s="284"/>
      <c r="AA26" s="285"/>
      <c r="AB26" s="285"/>
      <c r="AC26" s="284"/>
      <c r="AD26" s="285"/>
      <c r="AE26" s="285"/>
      <c r="AF26" s="284"/>
      <c r="AG26" s="285"/>
      <c r="AH26" s="285"/>
      <c r="AI26" s="286"/>
    </row>
    <row r="27" spans="1:36" ht="89.25" hidden="1" customHeight="1" outlineLevel="1" x14ac:dyDescent="0.2">
      <c r="A27" s="634"/>
      <c r="B27" s="547"/>
      <c r="C27" s="547"/>
      <c r="D27" s="667"/>
      <c r="E27" s="672"/>
      <c r="F27" s="672"/>
      <c r="G27" s="708"/>
      <c r="H27" s="248" t="s">
        <v>131</v>
      </c>
      <c r="I27" s="696"/>
      <c r="J27" s="257" t="s">
        <v>132</v>
      </c>
      <c r="K27" s="257" t="s">
        <v>116</v>
      </c>
      <c r="L27" s="257"/>
      <c r="M27" s="280">
        <v>44593</v>
      </c>
      <c r="N27" s="280">
        <v>44925</v>
      </c>
      <c r="O27" s="280">
        <v>44652</v>
      </c>
      <c r="P27" s="281">
        <f t="shared" si="0"/>
        <v>0.17771084337349397</v>
      </c>
      <c r="Q27" s="281">
        <f t="shared" si="1"/>
        <v>0.17771084337349397</v>
      </c>
      <c r="R27" s="282">
        <v>1</v>
      </c>
      <c r="S27" s="283">
        <v>0.25</v>
      </c>
      <c r="T27" s="283">
        <v>0.5</v>
      </c>
      <c r="U27" s="283">
        <v>0.75</v>
      </c>
      <c r="V27" s="283">
        <v>1</v>
      </c>
      <c r="W27" s="308">
        <v>0.25</v>
      </c>
      <c r="X27" s="283" t="s">
        <v>133</v>
      </c>
      <c r="Y27" s="352" t="s">
        <v>52</v>
      </c>
      <c r="Z27" s="284"/>
      <c r="AA27" s="285"/>
      <c r="AB27" s="285"/>
      <c r="AC27" s="284"/>
      <c r="AD27" s="285"/>
      <c r="AE27" s="285"/>
      <c r="AF27" s="284"/>
      <c r="AG27" s="285"/>
      <c r="AH27" s="285"/>
      <c r="AI27" s="287"/>
      <c r="AJ27" s="263"/>
    </row>
    <row r="28" spans="1:36" ht="90.75" hidden="1" customHeight="1" outlineLevel="1" x14ac:dyDescent="0.2">
      <c r="A28" s="634"/>
      <c r="B28" s="546" t="s">
        <v>39</v>
      </c>
      <c r="C28" s="546" t="s">
        <v>40</v>
      </c>
      <c r="D28" s="515" t="s">
        <v>134</v>
      </c>
      <c r="E28" s="518" t="s">
        <v>42</v>
      </c>
      <c r="F28" s="518" t="s">
        <v>43</v>
      </c>
      <c r="G28" s="669" t="s">
        <v>135</v>
      </c>
      <c r="H28" s="267" t="s">
        <v>136</v>
      </c>
      <c r="I28" s="669" t="s">
        <v>43</v>
      </c>
      <c r="J28" s="257" t="s">
        <v>137</v>
      </c>
      <c r="K28" s="322">
        <v>32600000</v>
      </c>
      <c r="L28" s="322"/>
      <c r="M28" s="280">
        <v>44593</v>
      </c>
      <c r="N28" s="280">
        <v>44925</v>
      </c>
      <c r="O28" s="280">
        <v>44652</v>
      </c>
      <c r="P28" s="281">
        <f t="shared" si="0"/>
        <v>0.17771084337349397</v>
      </c>
      <c r="Q28" s="281">
        <f t="shared" si="1"/>
        <v>0.17771084337349397</v>
      </c>
      <c r="R28" s="282">
        <v>1</v>
      </c>
      <c r="S28" s="283">
        <v>0.25</v>
      </c>
      <c r="T28" s="283">
        <v>0.5</v>
      </c>
      <c r="U28" s="283">
        <v>0.75</v>
      </c>
      <c r="V28" s="283">
        <v>1</v>
      </c>
      <c r="W28" s="308">
        <v>0.25</v>
      </c>
      <c r="X28" s="283" t="s">
        <v>138</v>
      </c>
      <c r="Y28" s="352" t="s">
        <v>139</v>
      </c>
      <c r="Z28" s="284"/>
      <c r="AA28" s="386" t="s">
        <v>140</v>
      </c>
      <c r="AB28" s="285"/>
      <c r="AC28" s="284"/>
      <c r="AD28" s="285"/>
      <c r="AE28" s="285"/>
      <c r="AF28" s="284"/>
      <c r="AG28" s="285"/>
      <c r="AH28" s="285"/>
      <c r="AI28" s="286"/>
    </row>
    <row r="29" spans="1:36" ht="56.25" hidden="1" customHeight="1" outlineLevel="1" x14ac:dyDescent="0.2">
      <c r="A29" s="634"/>
      <c r="B29" s="546"/>
      <c r="C29" s="546"/>
      <c r="D29" s="516"/>
      <c r="E29" s="519"/>
      <c r="F29" s="519"/>
      <c r="G29" s="670"/>
      <c r="H29" s="267" t="s">
        <v>141</v>
      </c>
      <c r="I29" s="670"/>
      <c r="J29" s="257" t="s">
        <v>137</v>
      </c>
      <c r="K29" s="322" t="s">
        <v>52</v>
      </c>
      <c r="L29" s="322"/>
      <c r="M29" s="280">
        <v>44593</v>
      </c>
      <c r="N29" s="280">
        <v>44925</v>
      </c>
      <c r="O29" s="280">
        <v>44652</v>
      </c>
      <c r="P29" s="281">
        <f t="shared" si="0"/>
        <v>0.17771084337349397</v>
      </c>
      <c r="Q29" s="281">
        <f t="shared" si="1"/>
        <v>0.17771084337349397</v>
      </c>
      <c r="R29" s="282">
        <v>1</v>
      </c>
      <c r="S29" s="283">
        <v>0.25</v>
      </c>
      <c r="T29" s="283">
        <v>0.5</v>
      </c>
      <c r="U29" s="283">
        <v>0.75</v>
      </c>
      <c r="V29" s="283">
        <v>1</v>
      </c>
      <c r="W29" s="308">
        <v>0.1</v>
      </c>
      <c r="X29" s="283" t="s">
        <v>142</v>
      </c>
      <c r="Y29" s="352" t="s">
        <v>139</v>
      </c>
      <c r="Z29" s="284"/>
      <c r="AA29" s="285"/>
      <c r="AB29" s="285"/>
      <c r="AC29" s="284"/>
      <c r="AD29" s="285"/>
      <c r="AE29" s="285"/>
      <c r="AF29" s="284"/>
      <c r="AG29" s="285"/>
      <c r="AH29" s="285"/>
      <c r="AI29" s="286"/>
    </row>
    <row r="30" spans="1:36" ht="144.75" hidden="1" customHeight="1" outlineLevel="1" x14ac:dyDescent="0.2">
      <c r="A30" s="634"/>
      <c r="B30" s="546"/>
      <c r="C30" s="546"/>
      <c r="D30" s="516"/>
      <c r="E30" s="519"/>
      <c r="F30" s="519"/>
      <c r="G30" s="670"/>
      <c r="H30" s="267" t="s">
        <v>143</v>
      </c>
      <c r="I30" s="670"/>
      <c r="J30" s="257" t="s">
        <v>144</v>
      </c>
      <c r="K30" s="257" t="s">
        <v>52</v>
      </c>
      <c r="L30" s="257"/>
      <c r="M30" s="280">
        <v>44593</v>
      </c>
      <c r="N30" s="280">
        <v>44925</v>
      </c>
      <c r="O30" s="280">
        <v>44652</v>
      </c>
      <c r="P30" s="281">
        <f t="shared" si="0"/>
        <v>0.17771084337349397</v>
      </c>
      <c r="Q30" s="281">
        <f t="shared" si="1"/>
        <v>0.17771084337349397</v>
      </c>
      <c r="R30" s="282">
        <v>1</v>
      </c>
      <c r="S30" s="283">
        <v>0.25</v>
      </c>
      <c r="T30" s="283">
        <v>0.5</v>
      </c>
      <c r="U30" s="283">
        <v>0.75</v>
      </c>
      <c r="V30" s="283">
        <v>1</v>
      </c>
      <c r="W30" s="308">
        <v>0.25</v>
      </c>
      <c r="X30" s="283" t="s">
        <v>145</v>
      </c>
      <c r="Y30" s="352" t="s">
        <v>146</v>
      </c>
      <c r="Z30" s="284"/>
      <c r="AA30" s="285"/>
      <c r="AB30" s="285"/>
      <c r="AC30" s="284"/>
      <c r="AD30" s="285"/>
      <c r="AE30" s="285"/>
      <c r="AF30" s="284"/>
      <c r="AG30" s="285"/>
      <c r="AH30" s="285"/>
      <c r="AI30" s="286"/>
    </row>
    <row r="31" spans="1:36" ht="56.25" hidden="1" customHeight="1" outlineLevel="1" x14ac:dyDescent="0.2">
      <c r="A31" s="634"/>
      <c r="B31" s="546"/>
      <c r="C31" s="546"/>
      <c r="D31" s="516"/>
      <c r="E31" s="519"/>
      <c r="F31" s="519"/>
      <c r="G31" s="670"/>
      <c r="H31" s="267" t="s">
        <v>147</v>
      </c>
      <c r="I31" s="670"/>
      <c r="J31" s="257" t="s">
        <v>148</v>
      </c>
      <c r="K31" s="322">
        <v>41800000</v>
      </c>
      <c r="L31" s="322"/>
      <c r="M31" s="280">
        <v>44593</v>
      </c>
      <c r="N31" s="280">
        <v>44925</v>
      </c>
      <c r="O31" s="280">
        <v>44652</v>
      </c>
      <c r="P31" s="281">
        <f t="shared" si="0"/>
        <v>0.17771084337349397</v>
      </c>
      <c r="Q31" s="281">
        <f t="shared" si="1"/>
        <v>0.17771084337349397</v>
      </c>
      <c r="R31" s="282">
        <v>1</v>
      </c>
      <c r="S31" s="283">
        <v>0.25</v>
      </c>
      <c r="T31" s="283">
        <v>0.5</v>
      </c>
      <c r="U31" s="283">
        <v>0.75</v>
      </c>
      <c r="V31" s="283">
        <v>1</v>
      </c>
      <c r="W31" s="308">
        <v>0.05</v>
      </c>
      <c r="X31" s="283" t="s">
        <v>149</v>
      </c>
      <c r="Y31" s="354" t="s">
        <v>150</v>
      </c>
      <c r="Z31" s="284"/>
      <c r="AA31" s="285"/>
      <c r="AB31" s="285"/>
      <c r="AC31" s="284"/>
      <c r="AD31" s="285"/>
      <c r="AE31" s="285"/>
      <c r="AF31" s="284"/>
      <c r="AG31" s="285"/>
      <c r="AH31" s="285"/>
      <c r="AI31" s="286"/>
    </row>
    <row r="32" spans="1:36" ht="79.5" hidden="1" customHeight="1" outlineLevel="1" x14ac:dyDescent="0.2">
      <c r="A32" s="634"/>
      <c r="B32" s="546"/>
      <c r="C32" s="546"/>
      <c r="D32" s="516"/>
      <c r="E32" s="519"/>
      <c r="F32" s="519"/>
      <c r="G32" s="670"/>
      <c r="H32" s="267" t="s">
        <v>151</v>
      </c>
      <c r="I32" s="670"/>
      <c r="J32" s="257" t="s">
        <v>152</v>
      </c>
      <c r="K32" s="257" t="s">
        <v>52</v>
      </c>
      <c r="L32" s="257"/>
      <c r="M32" s="280">
        <v>44593</v>
      </c>
      <c r="N32" s="280">
        <v>44925</v>
      </c>
      <c r="O32" s="280">
        <v>44652</v>
      </c>
      <c r="P32" s="281">
        <f t="shared" si="0"/>
        <v>0.17771084337349397</v>
      </c>
      <c r="Q32" s="281">
        <f t="shared" si="1"/>
        <v>0.17771084337349397</v>
      </c>
      <c r="R32" s="282">
        <v>1</v>
      </c>
      <c r="S32" s="283">
        <v>0.25</v>
      </c>
      <c r="T32" s="283">
        <v>0.5</v>
      </c>
      <c r="U32" s="283">
        <v>0.75</v>
      </c>
      <c r="V32" s="283">
        <v>1</v>
      </c>
      <c r="W32" s="308">
        <v>0.25</v>
      </c>
      <c r="X32" s="283" t="s">
        <v>153</v>
      </c>
      <c r="Y32" s="352" t="s">
        <v>154</v>
      </c>
      <c r="Z32" s="284"/>
      <c r="AA32" s="285"/>
      <c r="AB32" s="285"/>
      <c r="AC32" s="284"/>
      <c r="AD32" s="285"/>
      <c r="AE32" s="285"/>
      <c r="AF32" s="284"/>
      <c r="AG32" s="285"/>
      <c r="AH32" s="285"/>
      <c r="AI32" s="286"/>
    </row>
    <row r="33" spans="1:35" ht="56.25" hidden="1" customHeight="1" outlineLevel="1" x14ac:dyDescent="0.2">
      <c r="A33" s="634"/>
      <c r="B33" s="546"/>
      <c r="C33" s="546"/>
      <c r="D33" s="516"/>
      <c r="E33" s="519"/>
      <c r="F33" s="520"/>
      <c r="G33" s="671"/>
      <c r="H33" s="267" t="s">
        <v>155</v>
      </c>
      <c r="I33" s="671"/>
      <c r="J33" s="257" t="s">
        <v>156</v>
      </c>
      <c r="K33" s="257" t="s">
        <v>52</v>
      </c>
      <c r="L33" s="257"/>
      <c r="M33" s="280">
        <v>44593</v>
      </c>
      <c r="N33" s="280">
        <v>44925</v>
      </c>
      <c r="O33" s="280">
        <v>44652</v>
      </c>
      <c r="P33" s="281">
        <f t="shared" si="0"/>
        <v>0.17771084337349397</v>
      </c>
      <c r="Q33" s="281">
        <f t="shared" si="1"/>
        <v>0.17771084337349397</v>
      </c>
      <c r="R33" s="282">
        <v>1</v>
      </c>
      <c r="S33" s="283">
        <v>0.25</v>
      </c>
      <c r="T33" s="283">
        <v>0.5</v>
      </c>
      <c r="U33" s="283">
        <v>0.75</v>
      </c>
      <c r="V33" s="283">
        <v>1</v>
      </c>
      <c r="W33" s="308">
        <v>0.25</v>
      </c>
      <c r="X33" s="387" t="s">
        <v>157</v>
      </c>
      <c r="Y33" s="388" t="s">
        <v>158</v>
      </c>
      <c r="Z33" s="284"/>
      <c r="AA33" s="285"/>
      <c r="AB33" s="285"/>
      <c r="AC33" s="284"/>
      <c r="AD33" s="285"/>
      <c r="AE33" s="285"/>
      <c r="AF33" s="284"/>
      <c r="AG33" s="285"/>
      <c r="AH33" s="285"/>
      <c r="AI33" s="286"/>
    </row>
    <row r="34" spans="1:35" ht="131.25" hidden="1" customHeight="1" outlineLevel="1" x14ac:dyDescent="0.2">
      <c r="A34" s="634"/>
      <c r="B34" s="546"/>
      <c r="C34" s="546"/>
      <c r="D34" s="516"/>
      <c r="E34" s="519"/>
      <c r="F34" s="435" t="s">
        <v>159</v>
      </c>
      <c r="G34" s="245" t="s">
        <v>160</v>
      </c>
      <c r="H34" s="245" t="s">
        <v>161</v>
      </c>
      <c r="I34" s="245" t="s">
        <v>162</v>
      </c>
      <c r="J34" s="257" t="s">
        <v>163</v>
      </c>
      <c r="K34" s="257" t="s">
        <v>52</v>
      </c>
      <c r="L34" s="257"/>
      <c r="M34" s="280">
        <v>44593</v>
      </c>
      <c r="N34" s="280">
        <v>44925</v>
      </c>
      <c r="O34" s="280">
        <v>44652</v>
      </c>
      <c r="P34" s="281">
        <f t="shared" si="0"/>
        <v>0.17771084337349397</v>
      </c>
      <c r="Q34" s="281">
        <f t="shared" si="1"/>
        <v>0.17771084337349397</v>
      </c>
      <c r="R34" s="282">
        <v>0.15</v>
      </c>
      <c r="S34" s="283">
        <v>9.5000000000000001E-2</v>
      </c>
      <c r="T34" s="283">
        <v>0.11</v>
      </c>
      <c r="U34" s="283">
        <v>0.13</v>
      </c>
      <c r="V34" s="283">
        <v>0.15</v>
      </c>
      <c r="W34" s="308">
        <v>0.1</v>
      </c>
      <c r="X34" s="283" t="s">
        <v>164</v>
      </c>
      <c r="Y34" s="352" t="s">
        <v>165</v>
      </c>
      <c r="Z34" s="284"/>
      <c r="AA34" s="285"/>
      <c r="AB34" s="285"/>
      <c r="AC34" s="284"/>
      <c r="AD34" s="285"/>
      <c r="AE34" s="285"/>
      <c r="AF34" s="284"/>
      <c r="AG34" s="285"/>
      <c r="AH34" s="285"/>
      <c r="AI34" s="286"/>
    </row>
    <row r="35" spans="1:35" ht="75" hidden="1" customHeight="1" outlineLevel="1" x14ac:dyDescent="0.2">
      <c r="A35" s="634"/>
      <c r="B35" s="546"/>
      <c r="C35" s="546"/>
      <c r="D35" s="516"/>
      <c r="E35" s="519"/>
      <c r="F35" s="518" t="s">
        <v>166</v>
      </c>
      <c r="G35" s="245" t="s">
        <v>167</v>
      </c>
      <c r="H35" s="245" t="s">
        <v>168</v>
      </c>
      <c r="I35" s="688" t="s">
        <v>169</v>
      </c>
      <c r="J35" s="257" t="s">
        <v>170</v>
      </c>
      <c r="K35" s="322">
        <v>60000000</v>
      </c>
      <c r="L35" s="322"/>
      <c r="M35" s="280">
        <v>44593</v>
      </c>
      <c r="N35" s="280">
        <v>44925</v>
      </c>
      <c r="O35" s="280">
        <v>44652</v>
      </c>
      <c r="P35" s="281">
        <f t="shared" si="0"/>
        <v>0.17771084337349397</v>
      </c>
      <c r="Q35" s="281">
        <f t="shared" si="1"/>
        <v>0.17771084337349397</v>
      </c>
      <c r="R35" s="282">
        <v>0.5</v>
      </c>
      <c r="S35" s="283">
        <v>0.2</v>
      </c>
      <c r="T35" s="283">
        <v>0.3</v>
      </c>
      <c r="U35" s="283">
        <v>0.4</v>
      </c>
      <c r="V35" s="283">
        <v>0.5</v>
      </c>
      <c r="W35" s="308">
        <v>0</v>
      </c>
      <c r="X35" s="283" t="s">
        <v>171</v>
      </c>
      <c r="Y35" s="352" t="s">
        <v>52</v>
      </c>
      <c r="Z35" s="284"/>
      <c r="AA35" s="285"/>
      <c r="AB35" s="285"/>
      <c r="AC35" s="284"/>
      <c r="AD35" s="285"/>
      <c r="AE35" s="285"/>
      <c r="AF35" s="284"/>
      <c r="AG35" s="285"/>
      <c r="AH35" s="285"/>
      <c r="AI35" s="286"/>
    </row>
    <row r="36" spans="1:35" ht="46.5" hidden="1" customHeight="1" outlineLevel="1" x14ac:dyDescent="0.2">
      <c r="A36" s="634"/>
      <c r="B36" s="546"/>
      <c r="C36" s="546"/>
      <c r="D36" s="516"/>
      <c r="E36" s="519"/>
      <c r="F36" s="520"/>
      <c r="G36" s="245" t="s">
        <v>172</v>
      </c>
      <c r="H36" s="245" t="s">
        <v>173</v>
      </c>
      <c r="I36" s="689"/>
      <c r="J36" s="257" t="s">
        <v>174</v>
      </c>
      <c r="K36" s="257" t="s">
        <v>52</v>
      </c>
      <c r="L36" s="257"/>
      <c r="M36" s="280">
        <v>44593</v>
      </c>
      <c r="N36" s="280">
        <v>44925</v>
      </c>
      <c r="O36" s="280">
        <v>44652</v>
      </c>
      <c r="P36" s="281">
        <f t="shared" si="0"/>
        <v>0.17771084337349397</v>
      </c>
      <c r="Q36" s="281">
        <f t="shared" si="1"/>
        <v>0.17771084337349397</v>
      </c>
      <c r="R36" s="282">
        <v>1</v>
      </c>
      <c r="S36" s="283">
        <v>0.25</v>
      </c>
      <c r="T36" s="283">
        <v>0.5</v>
      </c>
      <c r="U36" s="283">
        <v>0.75</v>
      </c>
      <c r="V36" s="283">
        <v>1</v>
      </c>
      <c r="W36" s="308">
        <v>0</v>
      </c>
      <c r="X36" s="283" t="s">
        <v>171</v>
      </c>
      <c r="Y36" s="352" t="s">
        <v>52</v>
      </c>
      <c r="Z36" s="284"/>
      <c r="AA36" s="285"/>
      <c r="AB36" s="285"/>
      <c r="AC36" s="284"/>
      <c r="AD36" s="285"/>
      <c r="AE36" s="285"/>
      <c r="AF36" s="284"/>
      <c r="AG36" s="285"/>
      <c r="AH36" s="285"/>
      <c r="AI36" s="286"/>
    </row>
    <row r="37" spans="1:35" ht="112.5" hidden="1" customHeight="1" outlineLevel="1" x14ac:dyDescent="0.2">
      <c r="A37" s="634"/>
      <c r="B37" s="547"/>
      <c r="C37" s="547"/>
      <c r="D37" s="517"/>
      <c r="E37" s="520"/>
      <c r="F37" s="440" t="s">
        <v>43</v>
      </c>
      <c r="G37" s="254" t="s">
        <v>175</v>
      </c>
      <c r="H37" s="245" t="s">
        <v>176</v>
      </c>
      <c r="I37" s="254" t="s">
        <v>46</v>
      </c>
      <c r="J37" s="257" t="s">
        <v>177</v>
      </c>
      <c r="K37" s="257" t="s">
        <v>52</v>
      </c>
      <c r="L37" s="257"/>
      <c r="M37" s="280">
        <v>44593</v>
      </c>
      <c r="N37" s="280">
        <v>44925</v>
      </c>
      <c r="O37" s="280">
        <v>44652</v>
      </c>
      <c r="P37" s="281">
        <f t="shared" si="0"/>
        <v>0.17771084337349397</v>
      </c>
      <c r="Q37" s="281">
        <f t="shared" si="1"/>
        <v>0.17771084337349397</v>
      </c>
      <c r="R37" s="282">
        <v>0.87</v>
      </c>
      <c r="S37" s="283">
        <v>0.87</v>
      </c>
      <c r="T37" s="283">
        <v>0.87</v>
      </c>
      <c r="U37" s="283">
        <v>0.87</v>
      </c>
      <c r="V37" s="283">
        <v>0.87</v>
      </c>
      <c r="W37" s="308">
        <v>0.25</v>
      </c>
      <c r="X37" s="283" t="s">
        <v>178</v>
      </c>
      <c r="Y37" s="352" t="s">
        <v>154</v>
      </c>
      <c r="Z37" s="284"/>
      <c r="AA37" s="285"/>
      <c r="AB37" s="285"/>
      <c r="AC37" s="284"/>
      <c r="AD37" s="285"/>
      <c r="AE37" s="285"/>
      <c r="AF37" s="284"/>
      <c r="AG37" s="285"/>
      <c r="AH37" s="285"/>
      <c r="AI37" s="286"/>
    </row>
    <row r="38" spans="1:35" ht="90" hidden="1" customHeight="1" outlineLevel="1" x14ac:dyDescent="0.2">
      <c r="A38" s="634"/>
      <c r="B38" s="545" t="s">
        <v>39</v>
      </c>
      <c r="C38" s="545" t="s">
        <v>40</v>
      </c>
      <c r="D38" s="588" t="s">
        <v>179</v>
      </c>
      <c r="E38" s="549" t="s">
        <v>180</v>
      </c>
      <c r="F38" s="549" t="s">
        <v>181</v>
      </c>
      <c r="G38" s="664" t="s">
        <v>182</v>
      </c>
      <c r="H38" s="3" t="s">
        <v>183</v>
      </c>
      <c r="I38" s="685" t="s">
        <v>184</v>
      </c>
      <c r="J38" s="257" t="s">
        <v>185</v>
      </c>
      <c r="K38" s="322">
        <v>26600000</v>
      </c>
      <c r="L38" s="322"/>
      <c r="M38" s="280">
        <v>44593</v>
      </c>
      <c r="N38" s="280">
        <v>44925</v>
      </c>
      <c r="O38" s="280">
        <v>44652</v>
      </c>
      <c r="P38" s="281">
        <f t="shared" si="0"/>
        <v>0.17771084337349397</v>
      </c>
      <c r="Q38" s="281">
        <f t="shared" si="1"/>
        <v>0.17771084337349397</v>
      </c>
      <c r="R38" s="282">
        <v>1</v>
      </c>
      <c r="S38" s="283">
        <v>0.25</v>
      </c>
      <c r="T38" s="283">
        <v>0.5</v>
      </c>
      <c r="U38" s="283">
        <v>0.75</v>
      </c>
      <c r="V38" s="283">
        <v>1</v>
      </c>
      <c r="W38" s="308">
        <v>0.25</v>
      </c>
      <c r="X38" s="283" t="s">
        <v>186</v>
      </c>
      <c r="Y38" s="352" t="s">
        <v>187</v>
      </c>
      <c r="Z38" s="284"/>
      <c r="AA38" s="285"/>
      <c r="AB38" s="285"/>
      <c r="AC38" s="284"/>
      <c r="AD38" s="285"/>
      <c r="AE38" s="285"/>
      <c r="AF38" s="284"/>
      <c r="AG38" s="285"/>
      <c r="AH38" s="285"/>
      <c r="AI38" s="286"/>
    </row>
    <row r="39" spans="1:35" ht="182.25" hidden="1" customHeight="1" outlineLevel="1" x14ac:dyDescent="0.2">
      <c r="A39" s="634"/>
      <c r="B39" s="546"/>
      <c r="C39" s="546"/>
      <c r="D39" s="589"/>
      <c r="E39" s="585"/>
      <c r="F39" s="585"/>
      <c r="G39" s="557"/>
      <c r="H39" s="3" t="s">
        <v>188</v>
      </c>
      <c r="I39" s="686"/>
      <c r="J39" s="257" t="s">
        <v>189</v>
      </c>
      <c r="K39" s="322">
        <v>3000000</v>
      </c>
      <c r="L39" s="322"/>
      <c r="M39" s="280">
        <v>44593</v>
      </c>
      <c r="N39" s="280">
        <v>44925</v>
      </c>
      <c r="O39" s="280">
        <v>44652</v>
      </c>
      <c r="P39" s="281">
        <f t="shared" si="0"/>
        <v>0.17771084337349397</v>
      </c>
      <c r="Q39" s="281">
        <f t="shared" si="1"/>
        <v>0.17771084337349397</v>
      </c>
      <c r="R39" s="282">
        <v>1</v>
      </c>
      <c r="S39" s="283">
        <v>0.25</v>
      </c>
      <c r="T39" s="283">
        <v>0.5</v>
      </c>
      <c r="U39" s="283">
        <v>0.75</v>
      </c>
      <c r="V39" s="283">
        <v>1</v>
      </c>
      <c r="W39" s="308">
        <v>0.25</v>
      </c>
      <c r="X39" s="283" t="s">
        <v>190</v>
      </c>
      <c r="Y39" s="352" t="s">
        <v>191</v>
      </c>
      <c r="Z39" s="284"/>
      <c r="AA39" s="285"/>
      <c r="AB39" s="285"/>
      <c r="AC39" s="284"/>
      <c r="AD39" s="285"/>
      <c r="AE39" s="285"/>
      <c r="AF39" s="284"/>
      <c r="AG39" s="285"/>
      <c r="AH39" s="285"/>
      <c r="AI39" s="286"/>
    </row>
    <row r="40" spans="1:35" ht="112.5" hidden="1" customHeight="1" outlineLevel="1" x14ac:dyDescent="0.2">
      <c r="A40" s="634"/>
      <c r="B40" s="546"/>
      <c r="C40" s="546"/>
      <c r="D40" s="589"/>
      <c r="E40" s="585"/>
      <c r="F40" s="585"/>
      <c r="G40" s="557"/>
      <c r="H40" s="3" t="s">
        <v>192</v>
      </c>
      <c r="I40" s="686"/>
      <c r="J40" s="257" t="s">
        <v>193</v>
      </c>
      <c r="K40" s="257" t="s">
        <v>52</v>
      </c>
      <c r="L40" s="257"/>
      <c r="M40" s="280">
        <v>44593</v>
      </c>
      <c r="N40" s="280">
        <v>44925</v>
      </c>
      <c r="O40" s="280">
        <v>44652</v>
      </c>
      <c r="P40" s="281">
        <f t="shared" si="0"/>
        <v>0.17771084337349397</v>
      </c>
      <c r="Q40" s="281">
        <f t="shared" si="1"/>
        <v>0.17771084337349397</v>
      </c>
      <c r="R40" s="282">
        <v>1</v>
      </c>
      <c r="S40" s="283">
        <v>0.25</v>
      </c>
      <c r="T40" s="283">
        <v>0.5</v>
      </c>
      <c r="U40" s="283">
        <v>0.75</v>
      </c>
      <c r="V40" s="283">
        <v>1</v>
      </c>
      <c r="W40" s="308">
        <v>0.25</v>
      </c>
      <c r="X40" s="283" t="s">
        <v>194</v>
      </c>
      <c r="Y40" s="352" t="s">
        <v>195</v>
      </c>
      <c r="Z40" s="284"/>
      <c r="AA40" s="285"/>
      <c r="AB40" s="285"/>
      <c r="AC40" s="284"/>
      <c r="AD40" s="285"/>
      <c r="AE40" s="285"/>
      <c r="AF40" s="284"/>
      <c r="AG40" s="285"/>
      <c r="AH40" s="285"/>
      <c r="AI40" s="286"/>
    </row>
    <row r="41" spans="1:35" ht="89.25" hidden="1" customHeight="1" outlineLevel="1" x14ac:dyDescent="0.2">
      <c r="A41" s="634"/>
      <c r="B41" s="546"/>
      <c r="C41" s="546"/>
      <c r="D41" s="589"/>
      <c r="E41" s="585"/>
      <c r="F41" s="585"/>
      <c r="G41" s="557"/>
      <c r="H41" s="3" t="s">
        <v>196</v>
      </c>
      <c r="I41" s="686"/>
      <c r="J41" s="257" t="s">
        <v>197</v>
      </c>
      <c r="K41" s="257" t="s">
        <v>52</v>
      </c>
      <c r="L41" s="257"/>
      <c r="M41" s="280">
        <v>44593</v>
      </c>
      <c r="N41" s="280">
        <v>44925</v>
      </c>
      <c r="O41" s="280">
        <v>44652</v>
      </c>
      <c r="P41" s="281">
        <f t="shared" si="0"/>
        <v>0.17771084337349397</v>
      </c>
      <c r="Q41" s="281">
        <f t="shared" si="1"/>
        <v>0.17771084337349397</v>
      </c>
      <c r="R41" s="282">
        <v>1</v>
      </c>
      <c r="S41" s="283">
        <v>0.25</v>
      </c>
      <c r="T41" s="283">
        <v>0.5</v>
      </c>
      <c r="U41" s="283">
        <v>0.75</v>
      </c>
      <c r="V41" s="283">
        <v>1</v>
      </c>
      <c r="W41" s="308">
        <v>0.25</v>
      </c>
      <c r="X41" s="283" t="s">
        <v>198</v>
      </c>
      <c r="Y41" s="352" t="s">
        <v>199</v>
      </c>
      <c r="Z41" s="284"/>
      <c r="AA41" s="285"/>
      <c r="AB41" s="285"/>
      <c r="AC41" s="284"/>
      <c r="AD41" s="285"/>
      <c r="AE41" s="285"/>
      <c r="AF41" s="284"/>
      <c r="AG41" s="285"/>
      <c r="AH41" s="285"/>
      <c r="AI41" s="286"/>
    </row>
    <row r="42" spans="1:35" ht="56.25" hidden="1" customHeight="1" outlineLevel="1" x14ac:dyDescent="0.2">
      <c r="A42" s="634"/>
      <c r="B42" s="547"/>
      <c r="C42" s="547"/>
      <c r="D42" s="668"/>
      <c r="E42" s="550"/>
      <c r="F42" s="550"/>
      <c r="G42" s="558"/>
      <c r="H42" s="3" t="s">
        <v>200</v>
      </c>
      <c r="I42" s="687"/>
      <c r="J42" s="257" t="s">
        <v>201</v>
      </c>
      <c r="K42" s="257" t="s">
        <v>52</v>
      </c>
      <c r="L42" s="257"/>
      <c r="M42" s="280">
        <v>44593</v>
      </c>
      <c r="N42" s="280">
        <v>44925</v>
      </c>
      <c r="O42" s="280">
        <v>44652</v>
      </c>
      <c r="P42" s="281">
        <f t="shared" si="0"/>
        <v>0.17771084337349397</v>
      </c>
      <c r="Q42" s="281">
        <f t="shared" si="1"/>
        <v>0.17771084337349397</v>
      </c>
      <c r="R42" s="282">
        <v>1</v>
      </c>
      <c r="S42" s="283">
        <v>0.25</v>
      </c>
      <c r="T42" s="283">
        <v>0.5</v>
      </c>
      <c r="U42" s="283">
        <v>0.75</v>
      </c>
      <c r="V42" s="283">
        <v>1</v>
      </c>
      <c r="W42" s="308">
        <v>0.25</v>
      </c>
      <c r="X42" s="283" t="s">
        <v>202</v>
      </c>
      <c r="Y42" s="354" t="s">
        <v>203</v>
      </c>
      <c r="Z42" s="284"/>
      <c r="AA42" s="285"/>
      <c r="AB42" s="285"/>
      <c r="AC42" s="284"/>
      <c r="AD42" s="285"/>
      <c r="AE42" s="285"/>
      <c r="AF42" s="284"/>
      <c r="AG42" s="285"/>
      <c r="AH42" s="285"/>
      <c r="AI42" s="286"/>
    </row>
    <row r="43" spans="1:35" ht="90" hidden="1" customHeight="1" outlineLevel="1" x14ac:dyDescent="0.2">
      <c r="A43" s="634"/>
      <c r="B43" s="545" t="s">
        <v>39</v>
      </c>
      <c r="C43" s="545" t="s">
        <v>40</v>
      </c>
      <c r="D43" s="537" t="s">
        <v>204</v>
      </c>
      <c r="E43" s="537" t="s">
        <v>180</v>
      </c>
      <c r="F43" s="537" t="s">
        <v>181</v>
      </c>
      <c r="G43" s="739" t="s">
        <v>205</v>
      </c>
      <c r="H43" s="246" t="s">
        <v>206</v>
      </c>
      <c r="I43" s="742" t="s">
        <v>184</v>
      </c>
      <c r="J43" s="257" t="s">
        <v>207</v>
      </c>
      <c r="K43" s="323">
        <v>47000000</v>
      </c>
      <c r="L43" s="323"/>
      <c r="M43" s="280">
        <v>44593</v>
      </c>
      <c r="N43" s="280">
        <v>44925</v>
      </c>
      <c r="O43" s="280">
        <v>44652</v>
      </c>
      <c r="P43" s="281">
        <f t="shared" si="0"/>
        <v>0.17771084337349397</v>
      </c>
      <c r="Q43" s="281">
        <f t="shared" si="1"/>
        <v>0.17771084337349397</v>
      </c>
      <c r="R43" s="282">
        <v>1</v>
      </c>
      <c r="S43" s="283">
        <v>0.25</v>
      </c>
      <c r="T43" s="283">
        <v>0.5</v>
      </c>
      <c r="U43" s="283">
        <v>0.75</v>
      </c>
      <c r="V43" s="283">
        <v>1</v>
      </c>
      <c r="W43" s="308">
        <v>0.5</v>
      </c>
      <c r="X43" s="283" t="s">
        <v>208</v>
      </c>
      <c r="Y43" s="352" t="s">
        <v>209</v>
      </c>
      <c r="Z43" s="284"/>
      <c r="AA43" s="285"/>
      <c r="AB43" s="285"/>
      <c r="AC43" s="284"/>
      <c r="AD43" s="285"/>
      <c r="AE43" s="285"/>
      <c r="AF43" s="284"/>
      <c r="AG43" s="285"/>
      <c r="AH43" s="285"/>
      <c r="AI43" s="286"/>
    </row>
    <row r="44" spans="1:35" ht="56.25" hidden="1" customHeight="1" outlineLevel="1" x14ac:dyDescent="0.2">
      <c r="A44" s="634"/>
      <c r="B44" s="546"/>
      <c r="C44" s="546"/>
      <c r="D44" s="603"/>
      <c r="E44" s="603"/>
      <c r="F44" s="603"/>
      <c r="G44" s="740"/>
      <c r="H44" s="246" t="s">
        <v>210</v>
      </c>
      <c r="I44" s="743"/>
      <c r="J44" s="257" t="s">
        <v>207</v>
      </c>
      <c r="K44" s="268" t="s">
        <v>52</v>
      </c>
      <c r="L44" s="268"/>
      <c r="M44" s="280">
        <v>44593</v>
      </c>
      <c r="N44" s="280">
        <v>44925</v>
      </c>
      <c r="O44" s="280">
        <v>44652</v>
      </c>
      <c r="P44" s="281">
        <f t="shared" si="0"/>
        <v>0.17771084337349397</v>
      </c>
      <c r="Q44" s="281">
        <f t="shared" si="1"/>
        <v>0.17771084337349397</v>
      </c>
      <c r="R44" s="282">
        <v>1</v>
      </c>
      <c r="S44" s="283">
        <v>0.25</v>
      </c>
      <c r="T44" s="283">
        <v>0.5</v>
      </c>
      <c r="U44" s="283">
        <v>0.75</v>
      </c>
      <c r="V44" s="283">
        <v>1</v>
      </c>
      <c r="W44" s="308">
        <v>0</v>
      </c>
      <c r="X44" s="283" t="s">
        <v>211</v>
      </c>
      <c r="Y44" s="352" t="s">
        <v>52</v>
      </c>
      <c r="Z44" s="284"/>
      <c r="AA44" s="285"/>
      <c r="AB44" s="285"/>
      <c r="AC44" s="284"/>
      <c r="AD44" s="285"/>
      <c r="AE44" s="285"/>
      <c r="AF44" s="284"/>
      <c r="AG44" s="285"/>
      <c r="AH44" s="285"/>
      <c r="AI44" s="286"/>
    </row>
    <row r="45" spans="1:35" ht="56.25" hidden="1" customHeight="1" outlineLevel="1" x14ac:dyDescent="0.2">
      <c r="A45" s="634"/>
      <c r="B45" s="546"/>
      <c r="C45" s="546"/>
      <c r="D45" s="603"/>
      <c r="E45" s="603"/>
      <c r="F45" s="603"/>
      <c r="G45" s="740"/>
      <c r="H45" s="246" t="s">
        <v>212</v>
      </c>
      <c r="I45" s="743"/>
      <c r="J45" s="257" t="s">
        <v>213</v>
      </c>
      <c r="K45" s="268" t="s">
        <v>52</v>
      </c>
      <c r="L45" s="268"/>
      <c r="M45" s="280">
        <v>44593</v>
      </c>
      <c r="N45" s="280">
        <v>44925</v>
      </c>
      <c r="O45" s="280">
        <v>44652</v>
      </c>
      <c r="P45" s="281">
        <f t="shared" si="0"/>
        <v>0.17771084337349397</v>
      </c>
      <c r="Q45" s="281">
        <f t="shared" si="1"/>
        <v>0.17771084337349397</v>
      </c>
      <c r="R45" s="282">
        <v>1</v>
      </c>
      <c r="S45" s="283">
        <v>0.25</v>
      </c>
      <c r="T45" s="283">
        <v>0.5</v>
      </c>
      <c r="U45" s="283">
        <v>0.75</v>
      </c>
      <c r="V45" s="283">
        <v>1</v>
      </c>
      <c r="W45" s="308">
        <v>0</v>
      </c>
      <c r="X45" s="283" t="s">
        <v>211</v>
      </c>
      <c r="Y45" s="352" t="s">
        <v>52</v>
      </c>
      <c r="Z45" s="284"/>
      <c r="AA45" s="285"/>
      <c r="AB45" s="285"/>
      <c r="AC45" s="284"/>
      <c r="AD45" s="285"/>
      <c r="AE45" s="285"/>
      <c r="AF45" s="284"/>
      <c r="AG45" s="285"/>
      <c r="AH45" s="285"/>
      <c r="AI45" s="286"/>
    </row>
    <row r="46" spans="1:35" ht="80.25" hidden="1" customHeight="1" outlineLevel="1" x14ac:dyDescent="0.2">
      <c r="A46" s="634"/>
      <c r="B46" s="546"/>
      <c r="C46" s="546"/>
      <c r="D46" s="603"/>
      <c r="E46" s="603"/>
      <c r="F46" s="603"/>
      <c r="G46" s="740"/>
      <c r="H46" s="246" t="s">
        <v>214</v>
      </c>
      <c r="I46" s="743"/>
      <c r="J46" s="257" t="s">
        <v>215</v>
      </c>
      <c r="K46" s="268" t="s">
        <v>52</v>
      </c>
      <c r="L46" s="268"/>
      <c r="M46" s="280">
        <v>44593</v>
      </c>
      <c r="N46" s="280">
        <v>44925</v>
      </c>
      <c r="O46" s="280">
        <v>44652</v>
      </c>
      <c r="P46" s="281">
        <f t="shared" si="0"/>
        <v>0.17771084337349397</v>
      </c>
      <c r="Q46" s="281">
        <f t="shared" si="1"/>
        <v>0.17771084337349397</v>
      </c>
      <c r="R46" s="282">
        <v>1</v>
      </c>
      <c r="S46" s="283">
        <v>0.25</v>
      </c>
      <c r="T46" s="283">
        <v>0.5</v>
      </c>
      <c r="U46" s="283">
        <v>0.75</v>
      </c>
      <c r="V46" s="283">
        <v>1</v>
      </c>
      <c r="W46" s="308">
        <v>0.15</v>
      </c>
      <c r="X46" s="283" t="s">
        <v>216</v>
      </c>
      <c r="Y46" s="352" t="s">
        <v>217</v>
      </c>
      <c r="Z46" s="284"/>
      <c r="AA46" s="285"/>
      <c r="AB46" s="285"/>
      <c r="AC46" s="284"/>
      <c r="AD46" s="285"/>
      <c r="AE46" s="285"/>
      <c r="AF46" s="284"/>
      <c r="AG46" s="285"/>
      <c r="AH46" s="285"/>
      <c r="AI46" s="286"/>
    </row>
    <row r="47" spans="1:35" ht="115.5" hidden="1" customHeight="1" outlineLevel="1" x14ac:dyDescent="0.2">
      <c r="A47" s="634"/>
      <c r="B47" s="546"/>
      <c r="C47" s="546"/>
      <c r="D47" s="603"/>
      <c r="E47" s="603"/>
      <c r="F47" s="603"/>
      <c r="G47" s="740"/>
      <c r="H47" s="246" t="s">
        <v>218</v>
      </c>
      <c r="I47" s="743"/>
      <c r="J47" s="257" t="s">
        <v>219</v>
      </c>
      <c r="K47" s="268" t="s">
        <v>52</v>
      </c>
      <c r="L47" s="268"/>
      <c r="M47" s="280">
        <v>44593</v>
      </c>
      <c r="N47" s="280">
        <v>44925</v>
      </c>
      <c r="O47" s="280">
        <v>44652</v>
      </c>
      <c r="P47" s="281">
        <f t="shared" si="0"/>
        <v>0.17771084337349397</v>
      </c>
      <c r="Q47" s="281">
        <f t="shared" si="1"/>
        <v>0.17771084337349397</v>
      </c>
      <c r="R47" s="282">
        <v>1</v>
      </c>
      <c r="S47" s="283">
        <v>0.25</v>
      </c>
      <c r="T47" s="283">
        <v>0.5</v>
      </c>
      <c r="U47" s="283">
        <v>0.75</v>
      </c>
      <c r="V47" s="283">
        <v>1</v>
      </c>
      <c r="W47" s="308">
        <v>0.25</v>
      </c>
      <c r="X47" s="283" t="s">
        <v>220</v>
      </c>
      <c r="Y47" s="352" t="s">
        <v>52</v>
      </c>
      <c r="Z47" s="284"/>
      <c r="AA47" s="285"/>
      <c r="AB47" s="285"/>
      <c r="AC47" s="284"/>
      <c r="AD47" s="285"/>
      <c r="AE47" s="285"/>
      <c r="AF47" s="284"/>
      <c r="AG47" s="285"/>
      <c r="AH47" s="285"/>
      <c r="AI47" s="286"/>
    </row>
    <row r="48" spans="1:35" ht="151.5" hidden="1" customHeight="1" outlineLevel="1" x14ac:dyDescent="0.2">
      <c r="A48" s="634"/>
      <c r="B48" s="546"/>
      <c r="C48" s="546"/>
      <c r="D48" s="603"/>
      <c r="E48" s="603"/>
      <c r="F48" s="603"/>
      <c r="G48" s="740"/>
      <c r="H48" s="246" t="s">
        <v>221</v>
      </c>
      <c r="I48" s="743"/>
      <c r="J48" s="280" t="s">
        <v>222</v>
      </c>
      <c r="K48" s="268" t="s">
        <v>52</v>
      </c>
      <c r="L48" s="268"/>
      <c r="M48" s="280">
        <v>44593</v>
      </c>
      <c r="N48" s="280">
        <v>44925</v>
      </c>
      <c r="O48" s="280">
        <v>44652</v>
      </c>
      <c r="P48" s="281">
        <f t="shared" si="0"/>
        <v>0.17771084337349397</v>
      </c>
      <c r="Q48" s="281">
        <f t="shared" si="1"/>
        <v>0.17771084337349397</v>
      </c>
      <c r="R48" s="282">
        <v>1</v>
      </c>
      <c r="S48" s="283">
        <v>0.25</v>
      </c>
      <c r="T48" s="283">
        <v>0.5</v>
      </c>
      <c r="U48" s="283">
        <v>0.75</v>
      </c>
      <c r="V48" s="283">
        <v>1</v>
      </c>
      <c r="W48" s="308">
        <v>0.5</v>
      </c>
      <c r="X48" s="283" t="s">
        <v>223</v>
      </c>
      <c r="Y48" s="352" t="s">
        <v>52</v>
      </c>
      <c r="Z48" s="284"/>
      <c r="AA48" s="285"/>
      <c r="AB48" s="285"/>
      <c r="AC48" s="284"/>
      <c r="AD48" s="285"/>
      <c r="AE48" s="285"/>
      <c r="AF48" s="284"/>
      <c r="AG48" s="285"/>
      <c r="AH48" s="285"/>
      <c r="AI48" s="286"/>
    </row>
    <row r="49" spans="1:35" ht="75" hidden="1" customHeight="1" outlineLevel="1" x14ac:dyDescent="0.2">
      <c r="A49" s="634"/>
      <c r="B49" s="546"/>
      <c r="C49" s="546"/>
      <c r="D49" s="603"/>
      <c r="E49" s="603"/>
      <c r="F49" s="603"/>
      <c r="G49" s="741"/>
      <c r="H49" s="246" t="s">
        <v>224</v>
      </c>
      <c r="I49" s="744"/>
      <c r="J49" s="280" t="s">
        <v>225</v>
      </c>
      <c r="K49" s="268" t="s">
        <v>52</v>
      </c>
      <c r="L49" s="268"/>
      <c r="M49" s="280">
        <v>44593</v>
      </c>
      <c r="N49" s="280">
        <v>44925</v>
      </c>
      <c r="O49" s="280">
        <v>44652</v>
      </c>
      <c r="P49" s="281">
        <f t="shared" si="0"/>
        <v>0.17771084337349397</v>
      </c>
      <c r="Q49" s="281">
        <f t="shared" si="1"/>
        <v>0.17771084337349397</v>
      </c>
      <c r="R49" s="282">
        <v>1</v>
      </c>
      <c r="S49" s="283">
        <v>0.25</v>
      </c>
      <c r="T49" s="283">
        <v>0.5</v>
      </c>
      <c r="U49" s="283">
        <v>0.75</v>
      </c>
      <c r="V49" s="283">
        <v>1</v>
      </c>
      <c r="W49" s="283">
        <v>0.5</v>
      </c>
      <c r="X49" s="283" t="s">
        <v>226</v>
      </c>
      <c r="Y49" s="352" t="s">
        <v>52</v>
      </c>
      <c r="Z49" s="284"/>
      <c r="AA49" s="285"/>
      <c r="AB49" s="285"/>
      <c r="AC49" s="284"/>
      <c r="AD49" s="285"/>
      <c r="AE49" s="285"/>
      <c r="AF49" s="284"/>
      <c r="AG49" s="285"/>
      <c r="AH49" s="285"/>
      <c r="AI49" s="286"/>
    </row>
    <row r="50" spans="1:35" ht="123.75" hidden="1" customHeight="1" outlineLevel="1" x14ac:dyDescent="0.2">
      <c r="A50" s="634"/>
      <c r="B50" s="547"/>
      <c r="C50" s="547"/>
      <c r="D50" s="603"/>
      <c r="E50" s="538"/>
      <c r="F50" s="538"/>
      <c r="G50" s="5" t="s">
        <v>227</v>
      </c>
      <c r="H50" s="247" t="s">
        <v>228</v>
      </c>
      <c r="I50" s="247" t="s">
        <v>184</v>
      </c>
      <c r="J50" s="257" t="s">
        <v>229</v>
      </c>
      <c r="K50" s="268" t="s">
        <v>52</v>
      </c>
      <c r="L50" s="268"/>
      <c r="M50" s="280">
        <v>44593</v>
      </c>
      <c r="N50" s="280">
        <v>44925</v>
      </c>
      <c r="O50" s="280">
        <v>44652</v>
      </c>
      <c r="P50" s="281">
        <f t="shared" si="0"/>
        <v>0.17771084337349397</v>
      </c>
      <c r="Q50" s="281">
        <f t="shared" si="1"/>
        <v>0.17771084337349397</v>
      </c>
      <c r="R50" s="282">
        <v>0.7</v>
      </c>
      <c r="S50" s="283">
        <v>0.55000000000000004</v>
      </c>
      <c r="T50" s="283">
        <v>0.6</v>
      </c>
      <c r="U50" s="283">
        <v>0.65</v>
      </c>
      <c r="V50" s="283">
        <v>0.7</v>
      </c>
      <c r="W50" s="308">
        <v>0.25</v>
      </c>
      <c r="X50" s="370" t="s">
        <v>230</v>
      </c>
      <c r="Y50" s="352" t="s">
        <v>231</v>
      </c>
      <c r="Z50" s="284"/>
      <c r="AA50" s="285"/>
      <c r="AB50" s="285"/>
      <c r="AC50" s="284"/>
      <c r="AD50" s="285"/>
      <c r="AE50" s="285"/>
      <c r="AF50" s="284"/>
      <c r="AG50" s="285"/>
      <c r="AH50" s="285"/>
      <c r="AI50" s="286"/>
    </row>
    <row r="51" spans="1:35" ht="163.5" hidden="1" customHeight="1" outlineLevel="1" x14ac:dyDescent="0.2">
      <c r="A51" s="634"/>
      <c r="B51" s="669" t="s">
        <v>39</v>
      </c>
      <c r="C51" s="669" t="s">
        <v>232</v>
      </c>
      <c r="D51" s="720" t="s">
        <v>233</v>
      </c>
      <c r="E51" s="673" t="s">
        <v>234</v>
      </c>
      <c r="F51" s="673" t="s">
        <v>235</v>
      </c>
      <c r="G51" s="690"/>
      <c r="H51" s="267" t="s">
        <v>236</v>
      </c>
      <c r="I51" s="676" t="s">
        <v>184</v>
      </c>
      <c r="J51" s="257" t="s">
        <v>237</v>
      </c>
      <c r="K51" s="268" t="s">
        <v>52</v>
      </c>
      <c r="L51" s="268"/>
      <c r="M51" s="280">
        <v>44593</v>
      </c>
      <c r="N51" s="280">
        <v>44925</v>
      </c>
      <c r="O51" s="280">
        <v>44652</v>
      </c>
      <c r="P51" s="281">
        <f t="shared" si="0"/>
        <v>0.17771084337349397</v>
      </c>
      <c r="Q51" s="281">
        <f t="shared" si="1"/>
        <v>0.17771084337349397</v>
      </c>
      <c r="R51" s="282">
        <v>1</v>
      </c>
      <c r="S51" s="283">
        <v>0.25</v>
      </c>
      <c r="T51" s="283">
        <v>0.5</v>
      </c>
      <c r="U51" s="283">
        <v>0.75</v>
      </c>
      <c r="V51" s="283">
        <v>1</v>
      </c>
      <c r="W51" s="308">
        <v>0.8</v>
      </c>
      <c r="X51" s="283" t="s">
        <v>238</v>
      </c>
      <c r="Y51" s="352" t="s">
        <v>239</v>
      </c>
      <c r="Z51" s="284"/>
      <c r="AA51" s="285"/>
      <c r="AB51" s="285"/>
      <c r="AC51" s="284"/>
      <c r="AD51" s="285"/>
      <c r="AE51" s="285"/>
      <c r="AF51" s="284"/>
      <c r="AG51" s="285"/>
      <c r="AH51" s="285"/>
      <c r="AI51" s="286"/>
    </row>
    <row r="52" spans="1:35" ht="126" hidden="1" customHeight="1" outlineLevel="1" x14ac:dyDescent="0.2">
      <c r="A52" s="634"/>
      <c r="B52" s="670"/>
      <c r="C52" s="670"/>
      <c r="D52" s="720"/>
      <c r="E52" s="674"/>
      <c r="F52" s="674"/>
      <c r="G52" s="691"/>
      <c r="H52" s="267" t="s">
        <v>240</v>
      </c>
      <c r="I52" s="677"/>
      <c r="J52" s="257" t="s">
        <v>1860</v>
      </c>
      <c r="K52" s="268" t="s">
        <v>52</v>
      </c>
      <c r="L52" s="268"/>
      <c r="M52" s="280">
        <v>44593</v>
      </c>
      <c r="N52" s="280">
        <v>44925</v>
      </c>
      <c r="O52" s="280">
        <v>44652</v>
      </c>
      <c r="P52" s="281">
        <f t="shared" si="0"/>
        <v>0.17771084337349397</v>
      </c>
      <c r="Q52" s="281">
        <f t="shared" si="1"/>
        <v>0.17771084337349397</v>
      </c>
      <c r="R52" s="282">
        <v>1</v>
      </c>
      <c r="S52" s="283">
        <v>0.25</v>
      </c>
      <c r="T52" s="283">
        <v>0.5</v>
      </c>
      <c r="U52" s="283">
        <v>0.75</v>
      </c>
      <c r="V52" s="283">
        <v>1</v>
      </c>
      <c r="W52" s="308">
        <v>0.13</v>
      </c>
      <c r="X52" s="283" t="s">
        <v>241</v>
      </c>
      <c r="Y52" s="352" t="s">
        <v>242</v>
      </c>
      <c r="Z52" s="284"/>
      <c r="AA52" s="285"/>
      <c r="AB52" s="285"/>
      <c r="AC52" s="284"/>
      <c r="AD52" s="285"/>
      <c r="AE52" s="285"/>
      <c r="AF52" s="284"/>
      <c r="AG52" s="285"/>
      <c r="AH52" s="285"/>
      <c r="AI52" s="286"/>
    </row>
    <row r="53" spans="1:35" ht="56.25" hidden="1" customHeight="1" outlineLevel="1" x14ac:dyDescent="0.2">
      <c r="A53" s="634"/>
      <c r="B53" s="670"/>
      <c r="C53" s="670"/>
      <c r="D53" s="720"/>
      <c r="E53" s="674"/>
      <c r="F53" s="674"/>
      <c r="G53" s="691"/>
      <c r="H53" s="267" t="s">
        <v>243</v>
      </c>
      <c r="I53" s="677"/>
      <c r="J53" s="257" t="s">
        <v>237</v>
      </c>
      <c r="K53" s="268" t="s">
        <v>52</v>
      </c>
      <c r="L53" s="268"/>
      <c r="M53" s="280">
        <v>44593</v>
      </c>
      <c r="N53" s="280">
        <v>44925</v>
      </c>
      <c r="O53" s="280">
        <v>44652</v>
      </c>
      <c r="P53" s="281">
        <f t="shared" si="0"/>
        <v>0.17771084337349397</v>
      </c>
      <c r="Q53" s="281">
        <f t="shared" si="1"/>
        <v>0.17771084337349397</v>
      </c>
      <c r="R53" s="282">
        <v>1</v>
      </c>
      <c r="S53" s="283">
        <v>0.25</v>
      </c>
      <c r="T53" s="283">
        <v>0.5</v>
      </c>
      <c r="U53" s="283">
        <v>0.75</v>
      </c>
      <c r="V53" s="283">
        <v>1</v>
      </c>
      <c r="W53" s="308">
        <v>0</v>
      </c>
      <c r="X53" s="283" t="s">
        <v>244</v>
      </c>
      <c r="Y53" s="352" t="s">
        <v>52</v>
      </c>
      <c r="Z53" s="284"/>
      <c r="AA53" s="285"/>
      <c r="AB53" s="285"/>
      <c r="AC53" s="284"/>
      <c r="AD53" s="285"/>
      <c r="AE53" s="285"/>
      <c r="AF53" s="284"/>
      <c r="AG53" s="285"/>
      <c r="AH53" s="285"/>
      <c r="AI53" s="286"/>
    </row>
    <row r="54" spans="1:35" ht="112.5" hidden="1" customHeight="1" outlineLevel="1" x14ac:dyDescent="0.2">
      <c r="A54" s="634"/>
      <c r="B54" s="670"/>
      <c r="C54" s="670"/>
      <c r="D54" s="720"/>
      <c r="E54" s="674"/>
      <c r="F54" s="674"/>
      <c r="G54" s="691"/>
      <c r="H54" s="267" t="s">
        <v>245</v>
      </c>
      <c r="I54" s="677"/>
      <c r="J54" s="257" t="s">
        <v>237</v>
      </c>
      <c r="K54" s="268" t="s">
        <v>52</v>
      </c>
      <c r="L54" s="268"/>
      <c r="M54" s="280">
        <v>44593</v>
      </c>
      <c r="N54" s="280">
        <v>44925</v>
      </c>
      <c r="O54" s="280">
        <v>44652</v>
      </c>
      <c r="P54" s="281">
        <f t="shared" si="0"/>
        <v>0.17771084337349397</v>
      </c>
      <c r="Q54" s="281">
        <f t="shared" si="1"/>
        <v>0.17771084337349397</v>
      </c>
      <c r="R54" s="282">
        <v>1</v>
      </c>
      <c r="S54" s="283">
        <v>0.25</v>
      </c>
      <c r="T54" s="283">
        <v>0.5</v>
      </c>
      <c r="U54" s="283">
        <v>0.75</v>
      </c>
      <c r="V54" s="283">
        <v>1</v>
      </c>
      <c r="W54" s="308">
        <v>0.2</v>
      </c>
      <c r="X54" s="283" t="s">
        <v>246</v>
      </c>
      <c r="Y54" s="352" t="s">
        <v>247</v>
      </c>
      <c r="Z54" s="284"/>
      <c r="AA54" s="285"/>
      <c r="AB54" s="285"/>
      <c r="AC54" s="284"/>
      <c r="AD54" s="285"/>
      <c r="AE54" s="285"/>
      <c r="AF54" s="284"/>
      <c r="AG54" s="285"/>
      <c r="AH54" s="285"/>
      <c r="AI54" s="286"/>
    </row>
    <row r="55" spans="1:35" ht="56.25" hidden="1" customHeight="1" outlineLevel="1" x14ac:dyDescent="0.2">
      <c r="A55" s="634"/>
      <c r="B55" s="671"/>
      <c r="C55" s="671"/>
      <c r="D55" s="720"/>
      <c r="E55" s="674"/>
      <c r="F55" s="674"/>
      <c r="G55" s="691"/>
      <c r="H55" s="267" t="s">
        <v>248</v>
      </c>
      <c r="I55" s="677"/>
      <c r="J55" s="257" t="s">
        <v>237</v>
      </c>
      <c r="K55" s="268" t="s">
        <v>52</v>
      </c>
      <c r="L55" s="268"/>
      <c r="M55" s="280">
        <v>44593</v>
      </c>
      <c r="N55" s="280">
        <v>44925</v>
      </c>
      <c r="O55" s="280">
        <v>44652</v>
      </c>
      <c r="P55" s="281">
        <f t="shared" si="0"/>
        <v>0.17771084337349397</v>
      </c>
      <c r="Q55" s="281">
        <f t="shared" si="1"/>
        <v>0.17771084337349397</v>
      </c>
      <c r="R55" s="282">
        <v>1</v>
      </c>
      <c r="S55" s="283">
        <v>0.25</v>
      </c>
      <c r="T55" s="283">
        <v>0.5</v>
      </c>
      <c r="U55" s="283">
        <v>0.75</v>
      </c>
      <c r="V55" s="283">
        <v>1</v>
      </c>
      <c r="W55" s="308">
        <v>0.8</v>
      </c>
      <c r="X55" s="283" t="s">
        <v>249</v>
      </c>
      <c r="Y55" s="352" t="s">
        <v>250</v>
      </c>
      <c r="Z55" s="284"/>
      <c r="AA55" s="285"/>
      <c r="AB55" s="285"/>
      <c r="AC55" s="284"/>
      <c r="AD55" s="285"/>
      <c r="AE55" s="285"/>
      <c r="AF55" s="284"/>
      <c r="AG55" s="285"/>
      <c r="AH55" s="285"/>
      <c r="AI55" s="286"/>
    </row>
    <row r="56" spans="1:35" ht="56.25" hidden="1" customHeight="1" outlineLevel="1" x14ac:dyDescent="0.2">
      <c r="A56" s="634"/>
      <c r="B56" s="510"/>
      <c r="C56" s="510"/>
      <c r="D56" s="720"/>
      <c r="E56" s="674"/>
      <c r="F56" s="674"/>
      <c r="G56" s="691"/>
      <c r="H56" s="267" t="s">
        <v>1861</v>
      </c>
      <c r="I56" s="677"/>
      <c r="J56" s="257" t="s">
        <v>1863</v>
      </c>
      <c r="K56" s="268" t="s">
        <v>116</v>
      </c>
      <c r="L56" s="268"/>
      <c r="M56" s="280"/>
      <c r="N56" s="280"/>
      <c r="O56" s="280"/>
      <c r="P56" s="281"/>
      <c r="Q56" s="281"/>
      <c r="R56" s="282"/>
      <c r="S56" s="283"/>
      <c r="T56" s="283"/>
      <c r="U56" s="283"/>
      <c r="V56" s="283"/>
      <c r="W56" s="308">
        <v>0.25</v>
      </c>
      <c r="X56" s="283" t="s">
        <v>52</v>
      </c>
      <c r="Y56" s="352" t="s">
        <v>52</v>
      </c>
      <c r="Z56" s="284"/>
      <c r="AA56" s="285"/>
      <c r="AB56" s="285"/>
      <c r="AC56" s="284"/>
      <c r="AD56" s="285"/>
      <c r="AE56" s="285"/>
      <c r="AF56" s="284"/>
      <c r="AG56" s="285"/>
      <c r="AH56" s="285"/>
      <c r="AI56" s="286"/>
    </row>
    <row r="57" spans="1:35" ht="56.25" hidden="1" customHeight="1" outlineLevel="1" x14ac:dyDescent="0.2">
      <c r="A57" s="634"/>
      <c r="B57" s="510"/>
      <c r="C57" s="510"/>
      <c r="D57" s="720"/>
      <c r="E57" s="675"/>
      <c r="F57" s="675"/>
      <c r="G57" s="691"/>
      <c r="H57" s="267" t="s">
        <v>1862</v>
      </c>
      <c r="I57" s="678"/>
      <c r="J57" s="257" t="s">
        <v>1863</v>
      </c>
      <c r="K57" s="268" t="s">
        <v>116</v>
      </c>
      <c r="L57" s="268"/>
      <c r="M57" s="280"/>
      <c r="N57" s="280"/>
      <c r="O57" s="280"/>
      <c r="P57" s="281"/>
      <c r="Q57" s="281"/>
      <c r="R57" s="282"/>
      <c r="S57" s="283"/>
      <c r="T57" s="283"/>
      <c r="U57" s="283"/>
      <c r="V57" s="283"/>
      <c r="W57" s="308">
        <v>0.5</v>
      </c>
      <c r="X57" s="283" t="s">
        <v>52</v>
      </c>
      <c r="Y57" s="352" t="s">
        <v>52</v>
      </c>
      <c r="Z57" s="284"/>
      <c r="AA57" s="285"/>
      <c r="AB57" s="285"/>
      <c r="AC57" s="284"/>
      <c r="AD57" s="285"/>
      <c r="AE57" s="285"/>
      <c r="AF57" s="284"/>
      <c r="AG57" s="285"/>
      <c r="AH57" s="285"/>
      <c r="AI57" s="286"/>
    </row>
    <row r="58" spans="1:35" ht="104.25" hidden="1" customHeight="1" outlineLevel="1" x14ac:dyDescent="0.2">
      <c r="A58" s="634"/>
      <c r="B58" s="669" t="s">
        <v>251</v>
      </c>
      <c r="C58" s="669" t="s">
        <v>252</v>
      </c>
      <c r="D58" s="720"/>
      <c r="E58" s="699" t="s">
        <v>253</v>
      </c>
      <c r="F58" s="699" t="s">
        <v>254</v>
      </c>
      <c r="G58" s="691"/>
      <c r="H58" s="267" t="s">
        <v>255</v>
      </c>
      <c r="I58" s="715" t="s">
        <v>256</v>
      </c>
      <c r="J58" s="257" t="s">
        <v>237</v>
      </c>
      <c r="K58" s="268" t="s">
        <v>52</v>
      </c>
      <c r="L58" s="268"/>
      <c r="M58" s="280">
        <v>44593</v>
      </c>
      <c r="N58" s="280">
        <v>44925</v>
      </c>
      <c r="O58" s="280">
        <v>44652</v>
      </c>
      <c r="P58" s="281">
        <f t="shared" si="0"/>
        <v>0.17771084337349397</v>
      </c>
      <c r="Q58" s="281">
        <f t="shared" si="1"/>
        <v>0.17771084337349397</v>
      </c>
      <c r="R58" s="282">
        <v>1</v>
      </c>
      <c r="S58" s="283">
        <v>0.25</v>
      </c>
      <c r="T58" s="283">
        <v>0.5</v>
      </c>
      <c r="U58" s="283">
        <v>0.75</v>
      </c>
      <c r="V58" s="283">
        <v>1</v>
      </c>
      <c r="W58" s="308">
        <v>0.95</v>
      </c>
      <c r="X58" s="283" t="s">
        <v>257</v>
      </c>
      <c r="Y58" s="352" t="s">
        <v>258</v>
      </c>
      <c r="Z58" s="284"/>
      <c r="AA58" s="285"/>
      <c r="AB58" s="285"/>
      <c r="AC58" s="284"/>
      <c r="AD58" s="285"/>
      <c r="AE58" s="285"/>
      <c r="AF58" s="284"/>
      <c r="AG58" s="285"/>
      <c r="AH58" s="285"/>
      <c r="AI58" s="286"/>
    </row>
    <row r="59" spans="1:35" ht="135" hidden="1" customHeight="1" outlineLevel="1" x14ac:dyDescent="0.2">
      <c r="A59" s="634"/>
      <c r="B59" s="670"/>
      <c r="C59" s="670"/>
      <c r="D59" s="720"/>
      <c r="E59" s="700"/>
      <c r="F59" s="700"/>
      <c r="G59" s="691"/>
      <c r="H59" s="267" t="s">
        <v>259</v>
      </c>
      <c r="I59" s="716"/>
      <c r="J59" s="257" t="s">
        <v>237</v>
      </c>
      <c r="K59" s="268" t="s">
        <v>52</v>
      </c>
      <c r="L59" s="268"/>
      <c r="M59" s="280">
        <v>44593</v>
      </c>
      <c r="N59" s="280">
        <v>44925</v>
      </c>
      <c r="O59" s="280">
        <v>44652</v>
      </c>
      <c r="P59" s="281">
        <f t="shared" si="0"/>
        <v>0.17771084337349397</v>
      </c>
      <c r="Q59" s="281">
        <f t="shared" si="1"/>
        <v>0.17771084337349397</v>
      </c>
      <c r="R59" s="282">
        <v>1</v>
      </c>
      <c r="S59" s="283">
        <v>0.25</v>
      </c>
      <c r="T59" s="283">
        <v>0.5</v>
      </c>
      <c r="U59" s="283">
        <v>0.75</v>
      </c>
      <c r="V59" s="283">
        <v>1</v>
      </c>
      <c r="W59" s="308">
        <v>0.8</v>
      </c>
      <c r="X59" s="283" t="s">
        <v>260</v>
      </c>
      <c r="Y59" s="352" t="s">
        <v>261</v>
      </c>
      <c r="Z59" s="284"/>
      <c r="AA59" s="285"/>
      <c r="AB59" s="285"/>
      <c r="AC59" s="284"/>
      <c r="AD59" s="285"/>
      <c r="AE59" s="285"/>
      <c r="AF59" s="284"/>
      <c r="AG59" s="285"/>
      <c r="AH59" s="285"/>
      <c r="AI59" s="286"/>
    </row>
    <row r="60" spans="1:35" ht="206.25" hidden="1" customHeight="1" outlineLevel="1" x14ac:dyDescent="0.2">
      <c r="A60" s="634"/>
      <c r="B60" s="670"/>
      <c r="C60" s="670"/>
      <c r="D60" s="720"/>
      <c r="E60" s="700"/>
      <c r="F60" s="701"/>
      <c r="G60" s="691"/>
      <c r="H60" s="267" t="s">
        <v>262</v>
      </c>
      <c r="I60" s="716"/>
      <c r="J60" s="257" t="s">
        <v>237</v>
      </c>
      <c r="K60" s="268" t="s">
        <v>52</v>
      </c>
      <c r="L60" s="268"/>
      <c r="M60" s="280">
        <v>44593</v>
      </c>
      <c r="N60" s="280">
        <v>44925</v>
      </c>
      <c r="O60" s="280">
        <v>44652</v>
      </c>
      <c r="P60" s="281">
        <f t="shared" si="0"/>
        <v>0.17771084337349397</v>
      </c>
      <c r="Q60" s="281">
        <f t="shared" si="1"/>
        <v>0.17771084337349397</v>
      </c>
      <c r="R60" s="282">
        <v>1</v>
      </c>
      <c r="S60" s="283">
        <v>0.25</v>
      </c>
      <c r="T60" s="283">
        <v>0.5</v>
      </c>
      <c r="U60" s="283">
        <v>0.75</v>
      </c>
      <c r="V60" s="283">
        <v>1</v>
      </c>
      <c r="W60" s="308">
        <v>0.8</v>
      </c>
      <c r="X60" s="283" t="s">
        <v>263</v>
      </c>
      <c r="Y60" s="352" t="s">
        <v>52</v>
      </c>
      <c r="Z60" s="284"/>
      <c r="AA60" s="285"/>
      <c r="AB60" s="285"/>
      <c r="AC60" s="284"/>
      <c r="AD60" s="285"/>
      <c r="AE60" s="285"/>
      <c r="AF60" s="284"/>
      <c r="AG60" s="285"/>
      <c r="AH60" s="285"/>
      <c r="AI60" s="286"/>
    </row>
    <row r="61" spans="1:35" ht="118.5" hidden="1" customHeight="1" outlineLevel="1" x14ac:dyDescent="0.2">
      <c r="A61" s="634"/>
      <c r="B61" s="671"/>
      <c r="C61" s="671"/>
      <c r="D61" s="720"/>
      <c r="E61" s="701"/>
      <c r="F61" s="317" t="s">
        <v>264</v>
      </c>
      <c r="G61" s="691"/>
      <c r="H61" s="267" t="s">
        <v>265</v>
      </c>
      <c r="I61" s="717"/>
      <c r="J61" s="257" t="s">
        <v>237</v>
      </c>
      <c r="K61" s="268" t="s">
        <v>52</v>
      </c>
      <c r="L61" s="268"/>
      <c r="M61" s="280">
        <v>44593</v>
      </c>
      <c r="N61" s="280">
        <v>44925</v>
      </c>
      <c r="O61" s="280">
        <v>44652</v>
      </c>
      <c r="P61" s="281">
        <f t="shared" si="0"/>
        <v>0.17771084337349397</v>
      </c>
      <c r="Q61" s="281">
        <f t="shared" si="1"/>
        <v>0.17771084337349397</v>
      </c>
      <c r="R61" s="282">
        <v>1</v>
      </c>
      <c r="S61" s="283">
        <v>0.25</v>
      </c>
      <c r="T61" s="283">
        <v>0.5</v>
      </c>
      <c r="U61" s="283">
        <v>0.75</v>
      </c>
      <c r="V61" s="283">
        <v>1</v>
      </c>
      <c r="W61" s="308">
        <v>0.1</v>
      </c>
      <c r="X61" s="283" t="s">
        <v>266</v>
      </c>
      <c r="Y61" s="352" t="s">
        <v>52</v>
      </c>
      <c r="Z61" s="284"/>
      <c r="AA61" s="285"/>
      <c r="AB61" s="285"/>
      <c r="AC61" s="284"/>
      <c r="AD61" s="285"/>
      <c r="AE61" s="285"/>
      <c r="AF61" s="284"/>
      <c r="AG61" s="285"/>
      <c r="AH61" s="285"/>
      <c r="AI61" s="286"/>
    </row>
    <row r="62" spans="1:35" ht="142.5" hidden="1" customHeight="1" outlineLevel="1" x14ac:dyDescent="0.2">
      <c r="A62" s="634"/>
      <c r="B62" s="669" t="s">
        <v>267</v>
      </c>
      <c r="C62" s="669" t="s">
        <v>268</v>
      </c>
      <c r="D62" s="720"/>
      <c r="E62" s="699" t="s">
        <v>269</v>
      </c>
      <c r="F62" s="317" t="s">
        <v>270</v>
      </c>
      <c r="G62" s="691"/>
      <c r="H62" s="267" t="s">
        <v>271</v>
      </c>
      <c r="I62" s="715" t="s">
        <v>272</v>
      </c>
      <c r="J62" s="257" t="s">
        <v>237</v>
      </c>
      <c r="K62" s="268" t="s">
        <v>52</v>
      </c>
      <c r="L62" s="268"/>
      <c r="M62" s="280">
        <v>44593</v>
      </c>
      <c r="N62" s="280">
        <v>44925</v>
      </c>
      <c r="O62" s="280">
        <v>44652</v>
      </c>
      <c r="P62" s="281">
        <f t="shared" si="0"/>
        <v>0.17771084337349397</v>
      </c>
      <c r="Q62" s="281">
        <f t="shared" si="1"/>
        <v>0.17771084337349397</v>
      </c>
      <c r="R62" s="282">
        <v>1</v>
      </c>
      <c r="S62" s="283">
        <v>0.25</v>
      </c>
      <c r="T62" s="283">
        <v>0.5</v>
      </c>
      <c r="U62" s="283">
        <v>0.75</v>
      </c>
      <c r="V62" s="283">
        <v>1</v>
      </c>
      <c r="W62" s="308">
        <v>1</v>
      </c>
      <c r="X62" s="283" t="s">
        <v>273</v>
      </c>
      <c r="Y62" s="352" t="s">
        <v>274</v>
      </c>
      <c r="Z62" s="284"/>
      <c r="AA62" s="285"/>
      <c r="AB62" s="285"/>
      <c r="AC62" s="284"/>
      <c r="AD62" s="285"/>
      <c r="AE62" s="285"/>
      <c r="AF62" s="284"/>
      <c r="AG62" s="285"/>
      <c r="AH62" s="285"/>
      <c r="AI62" s="286"/>
    </row>
    <row r="63" spans="1:35" ht="131.25" hidden="1" customHeight="1" outlineLevel="1" x14ac:dyDescent="0.2">
      <c r="A63" s="634"/>
      <c r="B63" s="670"/>
      <c r="C63" s="670"/>
      <c r="D63" s="720"/>
      <c r="E63" s="700"/>
      <c r="F63" s="317" t="s">
        <v>275</v>
      </c>
      <c r="G63" s="691"/>
      <c r="H63" s="267" t="s">
        <v>271</v>
      </c>
      <c r="I63" s="716"/>
      <c r="J63" s="257" t="s">
        <v>237</v>
      </c>
      <c r="K63" s="268" t="s">
        <v>52</v>
      </c>
      <c r="L63" s="268"/>
      <c r="M63" s="280">
        <v>44593</v>
      </c>
      <c r="N63" s="280">
        <v>44925</v>
      </c>
      <c r="O63" s="280">
        <v>44652</v>
      </c>
      <c r="P63" s="281">
        <f t="shared" si="0"/>
        <v>0.17771084337349397</v>
      </c>
      <c r="Q63" s="281">
        <f t="shared" si="1"/>
        <v>0.17771084337349397</v>
      </c>
      <c r="R63" s="282">
        <v>1</v>
      </c>
      <c r="S63" s="283">
        <v>0.25</v>
      </c>
      <c r="T63" s="283">
        <v>0.5</v>
      </c>
      <c r="U63" s="283">
        <v>0.75</v>
      </c>
      <c r="V63" s="283">
        <v>1</v>
      </c>
      <c r="W63" s="308">
        <v>0</v>
      </c>
      <c r="X63" s="283" t="s">
        <v>276</v>
      </c>
      <c r="Y63" s="352" t="s">
        <v>52</v>
      </c>
      <c r="Z63" s="284"/>
      <c r="AA63" s="285"/>
      <c r="AB63" s="285"/>
      <c r="AC63" s="284"/>
      <c r="AD63" s="285"/>
      <c r="AE63" s="285"/>
      <c r="AF63" s="284"/>
      <c r="AG63" s="285"/>
      <c r="AH63" s="285"/>
      <c r="AI63" s="286"/>
    </row>
    <row r="64" spans="1:35" ht="131.25" hidden="1" customHeight="1" outlineLevel="1" x14ac:dyDescent="0.2">
      <c r="A64" s="634"/>
      <c r="B64" s="671"/>
      <c r="C64" s="671"/>
      <c r="D64" s="720"/>
      <c r="E64" s="701"/>
      <c r="F64" s="317" t="s">
        <v>277</v>
      </c>
      <c r="G64" s="692"/>
      <c r="H64" s="267" t="s">
        <v>271</v>
      </c>
      <c r="I64" s="717"/>
      <c r="J64" s="257" t="s">
        <v>237</v>
      </c>
      <c r="K64" s="268" t="s">
        <v>52</v>
      </c>
      <c r="L64" s="268"/>
      <c r="M64" s="280">
        <v>44593</v>
      </c>
      <c r="N64" s="280">
        <v>44925</v>
      </c>
      <c r="O64" s="280">
        <v>44652</v>
      </c>
      <c r="P64" s="281">
        <f t="shared" si="0"/>
        <v>0.17771084337349397</v>
      </c>
      <c r="Q64" s="281">
        <f t="shared" si="1"/>
        <v>0.17771084337349397</v>
      </c>
      <c r="R64" s="282">
        <v>1</v>
      </c>
      <c r="S64" s="283">
        <v>0.25</v>
      </c>
      <c r="T64" s="283">
        <v>0.5</v>
      </c>
      <c r="U64" s="283">
        <v>0.75</v>
      </c>
      <c r="V64" s="283">
        <v>1</v>
      </c>
      <c r="W64" s="308">
        <v>0</v>
      </c>
      <c r="X64" s="283" t="s">
        <v>276</v>
      </c>
      <c r="Y64" s="352" t="s">
        <v>52</v>
      </c>
      <c r="Z64" s="284"/>
      <c r="AA64" s="285"/>
      <c r="AB64" s="285"/>
      <c r="AC64" s="284"/>
      <c r="AD64" s="285"/>
      <c r="AE64" s="285"/>
      <c r="AF64" s="284"/>
      <c r="AG64" s="285"/>
      <c r="AH64" s="285"/>
      <c r="AI64" s="286"/>
    </row>
    <row r="65" spans="1:35" ht="148.5" hidden="1" customHeight="1" outlineLevel="1" x14ac:dyDescent="0.2">
      <c r="A65" s="634"/>
      <c r="B65" s="545" t="s">
        <v>267</v>
      </c>
      <c r="C65" s="545" t="s">
        <v>278</v>
      </c>
      <c r="D65" s="727" t="s">
        <v>279</v>
      </c>
      <c r="E65" s="661" t="s">
        <v>280</v>
      </c>
      <c r="F65" s="661" t="s">
        <v>281</v>
      </c>
      <c r="G65" s="203" t="s">
        <v>282</v>
      </c>
      <c r="H65" s="6" t="s">
        <v>283</v>
      </c>
      <c r="I65" s="709" t="s">
        <v>284</v>
      </c>
      <c r="J65" s="268" t="s">
        <v>285</v>
      </c>
      <c r="K65" s="268" t="s">
        <v>52</v>
      </c>
      <c r="L65" s="268"/>
      <c r="M65" s="280">
        <v>44593</v>
      </c>
      <c r="N65" s="280">
        <v>44925</v>
      </c>
      <c r="O65" s="280">
        <v>44652</v>
      </c>
      <c r="P65" s="281">
        <f t="shared" si="0"/>
        <v>0.17771084337349397</v>
      </c>
      <c r="Q65" s="281">
        <f t="shared" si="1"/>
        <v>0.17771084337349397</v>
      </c>
      <c r="R65" s="282">
        <v>0.8</v>
      </c>
      <c r="S65" s="283">
        <v>0.72</v>
      </c>
      <c r="T65" s="283">
        <v>0.74</v>
      </c>
      <c r="U65" s="283">
        <v>0.76</v>
      </c>
      <c r="V65" s="283">
        <v>0.8</v>
      </c>
      <c r="W65" s="308">
        <v>0.35</v>
      </c>
      <c r="X65" s="283" t="s">
        <v>286</v>
      </c>
      <c r="Y65" s="352" t="s">
        <v>242</v>
      </c>
      <c r="Z65" s="284"/>
      <c r="AA65" s="285"/>
      <c r="AB65" s="285"/>
      <c r="AC65" s="284"/>
      <c r="AD65" s="285"/>
      <c r="AE65" s="285"/>
      <c r="AF65" s="284"/>
      <c r="AG65" s="285"/>
      <c r="AH65" s="285"/>
      <c r="AI65" s="286"/>
    </row>
    <row r="66" spans="1:35" ht="93.6" hidden="1" customHeight="1" outlineLevel="1" x14ac:dyDescent="0.2">
      <c r="A66" s="634"/>
      <c r="B66" s="546"/>
      <c r="C66" s="546"/>
      <c r="D66" s="728"/>
      <c r="E66" s="662"/>
      <c r="F66" s="662"/>
      <c r="G66" s="203" t="s">
        <v>287</v>
      </c>
      <c r="H66" s="7" t="s">
        <v>288</v>
      </c>
      <c r="I66" s="710"/>
      <c r="J66" s="268" t="s">
        <v>289</v>
      </c>
      <c r="K66" s="323">
        <v>5000000</v>
      </c>
      <c r="L66" s="323"/>
      <c r="M66" s="280">
        <v>44593</v>
      </c>
      <c r="N66" s="280">
        <v>44925</v>
      </c>
      <c r="O66" s="280">
        <v>44652</v>
      </c>
      <c r="P66" s="281">
        <f t="shared" si="0"/>
        <v>0.17771084337349397</v>
      </c>
      <c r="Q66" s="281">
        <f t="shared" si="1"/>
        <v>0.17771084337349397</v>
      </c>
      <c r="R66" s="282">
        <v>1</v>
      </c>
      <c r="S66" s="283">
        <v>0.25</v>
      </c>
      <c r="T66" s="283">
        <v>0.5</v>
      </c>
      <c r="U66" s="283">
        <v>0.75</v>
      </c>
      <c r="V66" s="283">
        <v>1</v>
      </c>
      <c r="W66" s="308">
        <v>0</v>
      </c>
      <c r="X66" s="283" t="s">
        <v>290</v>
      </c>
      <c r="Y66" s="268" t="s">
        <v>52</v>
      </c>
      <c r="Z66" s="284"/>
      <c r="AA66" s="285"/>
      <c r="AB66" s="285"/>
      <c r="AC66" s="284"/>
      <c r="AD66" s="285"/>
      <c r="AE66" s="285"/>
      <c r="AF66" s="284"/>
      <c r="AG66" s="285"/>
      <c r="AH66" s="285"/>
      <c r="AI66" s="286"/>
    </row>
    <row r="67" spans="1:35" ht="70.150000000000006" hidden="1" customHeight="1" outlineLevel="1" x14ac:dyDescent="0.2">
      <c r="A67" s="634"/>
      <c r="B67" s="546"/>
      <c r="C67" s="546"/>
      <c r="D67" s="728"/>
      <c r="E67" s="662"/>
      <c r="F67" s="662"/>
      <c r="G67" s="203" t="s">
        <v>291</v>
      </c>
      <c r="H67" s="6" t="s">
        <v>292</v>
      </c>
      <c r="I67" s="710"/>
      <c r="J67" s="268" t="s">
        <v>293</v>
      </c>
      <c r="K67" s="268" t="s">
        <v>52</v>
      </c>
      <c r="L67" s="268"/>
      <c r="M67" s="280">
        <v>44593</v>
      </c>
      <c r="N67" s="280">
        <v>44925</v>
      </c>
      <c r="O67" s="280">
        <v>44652</v>
      </c>
      <c r="P67" s="281">
        <f t="shared" si="0"/>
        <v>0.17771084337349397</v>
      </c>
      <c r="Q67" s="281">
        <f t="shared" si="1"/>
        <v>0.17771084337349397</v>
      </c>
      <c r="R67" s="282">
        <v>1</v>
      </c>
      <c r="S67" s="283">
        <v>0.25</v>
      </c>
      <c r="T67" s="283">
        <v>0.5</v>
      </c>
      <c r="U67" s="283">
        <v>0.75</v>
      </c>
      <c r="V67" s="283">
        <v>1</v>
      </c>
      <c r="W67" s="308">
        <v>0</v>
      </c>
      <c r="X67" s="283" t="s">
        <v>290</v>
      </c>
      <c r="Y67" s="268" t="s">
        <v>52</v>
      </c>
      <c r="Z67" s="284"/>
      <c r="AA67" s="285"/>
      <c r="AB67" s="285"/>
      <c r="AC67" s="284"/>
      <c r="AD67" s="285"/>
      <c r="AE67" s="285"/>
      <c r="AF67" s="284"/>
      <c r="AG67" s="285"/>
      <c r="AH67" s="285"/>
      <c r="AI67" s="286"/>
    </row>
    <row r="68" spans="1:35" ht="70.150000000000006" hidden="1" customHeight="1" outlineLevel="1" x14ac:dyDescent="0.2">
      <c r="A68" s="634"/>
      <c r="B68" s="546"/>
      <c r="C68" s="546"/>
      <c r="D68" s="728"/>
      <c r="E68" s="662"/>
      <c r="F68" s="662"/>
      <c r="G68" s="473" t="s">
        <v>294</v>
      </c>
      <c r="H68" s="6" t="s">
        <v>295</v>
      </c>
      <c r="I68" s="710"/>
      <c r="J68" s="268" t="s">
        <v>296</v>
      </c>
      <c r="K68" s="323">
        <v>600000</v>
      </c>
      <c r="L68" s="323"/>
      <c r="M68" s="280">
        <v>44593</v>
      </c>
      <c r="N68" s="280">
        <v>44925</v>
      </c>
      <c r="O68" s="280">
        <v>44652</v>
      </c>
      <c r="P68" s="281">
        <f t="shared" si="0"/>
        <v>0.17771084337349397</v>
      </c>
      <c r="Q68" s="281">
        <f t="shared" si="1"/>
        <v>0.17771084337349397</v>
      </c>
      <c r="R68" s="282">
        <v>1</v>
      </c>
      <c r="S68" s="283">
        <v>0.25</v>
      </c>
      <c r="T68" s="283">
        <v>0.5</v>
      </c>
      <c r="U68" s="283">
        <v>0.75</v>
      </c>
      <c r="V68" s="283">
        <v>1</v>
      </c>
      <c r="W68" s="308">
        <v>0.25</v>
      </c>
      <c r="X68" s="283" t="s">
        <v>297</v>
      </c>
      <c r="Y68" s="268" t="s">
        <v>52</v>
      </c>
      <c r="Z68" s="284"/>
      <c r="AA68" s="285"/>
      <c r="AB68" s="285"/>
      <c r="AC68" s="284"/>
      <c r="AD68" s="285"/>
      <c r="AE68" s="285"/>
      <c r="AF68" s="284"/>
      <c r="AG68" s="285"/>
      <c r="AH68" s="285"/>
      <c r="AI68" s="286"/>
    </row>
    <row r="69" spans="1:35" ht="84" hidden="1" customHeight="1" outlineLevel="1" x14ac:dyDescent="0.2">
      <c r="A69" s="634"/>
      <c r="B69" s="546"/>
      <c r="C69" s="546"/>
      <c r="D69" s="728"/>
      <c r="E69" s="662"/>
      <c r="F69" s="662"/>
      <c r="G69" s="473" t="s">
        <v>298</v>
      </c>
      <c r="H69" s="6" t="s">
        <v>299</v>
      </c>
      <c r="I69" s="710"/>
      <c r="J69" s="268" t="s">
        <v>300</v>
      </c>
      <c r="K69" s="323">
        <v>10000000</v>
      </c>
      <c r="L69" s="323"/>
      <c r="M69" s="280">
        <v>44593</v>
      </c>
      <c r="N69" s="280">
        <v>44925</v>
      </c>
      <c r="O69" s="280">
        <v>44652</v>
      </c>
      <c r="P69" s="281">
        <f t="shared" si="0"/>
        <v>0.17771084337349397</v>
      </c>
      <c r="Q69" s="281">
        <f t="shared" si="1"/>
        <v>0.17771084337349397</v>
      </c>
      <c r="R69" s="282">
        <v>1</v>
      </c>
      <c r="S69" s="283">
        <v>0.25</v>
      </c>
      <c r="T69" s="283">
        <v>0.5</v>
      </c>
      <c r="U69" s="283">
        <v>0.75</v>
      </c>
      <c r="V69" s="283">
        <v>1</v>
      </c>
      <c r="W69" s="308">
        <v>0.25</v>
      </c>
      <c r="X69" s="283" t="s">
        <v>301</v>
      </c>
      <c r="Y69" s="268" t="s">
        <v>52</v>
      </c>
      <c r="Z69" s="284"/>
      <c r="AA69" s="285"/>
      <c r="AB69" s="285"/>
      <c r="AC69" s="284"/>
      <c r="AD69" s="285"/>
      <c r="AE69" s="285"/>
      <c r="AF69" s="284"/>
      <c r="AG69" s="285"/>
      <c r="AH69" s="285"/>
      <c r="AI69" s="286"/>
    </row>
    <row r="70" spans="1:35" ht="70.150000000000006" hidden="1" customHeight="1" outlineLevel="1" x14ac:dyDescent="0.2">
      <c r="A70" s="634"/>
      <c r="B70" s="546"/>
      <c r="C70" s="546"/>
      <c r="D70" s="728"/>
      <c r="E70" s="662"/>
      <c r="F70" s="662"/>
      <c r="G70" s="697" t="s">
        <v>302</v>
      </c>
      <c r="H70" s="6" t="s">
        <v>303</v>
      </c>
      <c r="I70" s="710"/>
      <c r="J70" s="268" t="s">
        <v>304</v>
      </c>
      <c r="K70" s="323">
        <v>33000000</v>
      </c>
      <c r="L70" s="323"/>
      <c r="M70" s="280">
        <v>44593</v>
      </c>
      <c r="N70" s="280">
        <v>44925</v>
      </c>
      <c r="O70" s="280">
        <v>44652</v>
      </c>
      <c r="P70" s="281">
        <f t="shared" si="0"/>
        <v>0.17771084337349397</v>
      </c>
      <c r="Q70" s="281">
        <f t="shared" si="1"/>
        <v>0.17771084337349397</v>
      </c>
      <c r="R70" s="282">
        <v>1</v>
      </c>
      <c r="S70" s="283">
        <v>0.25</v>
      </c>
      <c r="T70" s="283">
        <v>0.5</v>
      </c>
      <c r="U70" s="283">
        <v>0.75</v>
      </c>
      <c r="V70" s="283">
        <v>1</v>
      </c>
      <c r="W70" s="308">
        <v>0.25</v>
      </c>
      <c r="X70" s="283" t="s">
        <v>305</v>
      </c>
      <c r="Y70" s="352" t="s">
        <v>306</v>
      </c>
      <c r="Z70" s="284"/>
      <c r="AA70" s="285"/>
      <c r="AB70" s="285"/>
      <c r="AC70" s="284"/>
      <c r="AD70" s="285"/>
      <c r="AE70" s="285"/>
      <c r="AF70" s="284"/>
      <c r="AG70" s="285"/>
      <c r="AH70" s="285"/>
      <c r="AI70" s="286"/>
    </row>
    <row r="71" spans="1:35" ht="70.150000000000006" hidden="1" customHeight="1" outlineLevel="1" x14ac:dyDescent="0.2">
      <c r="A71" s="634"/>
      <c r="B71" s="546"/>
      <c r="C71" s="546"/>
      <c r="D71" s="728"/>
      <c r="E71" s="662"/>
      <c r="F71" s="662"/>
      <c r="G71" s="698"/>
      <c r="H71" s="6" t="s">
        <v>307</v>
      </c>
      <c r="I71" s="710"/>
      <c r="J71" s="268" t="s">
        <v>304</v>
      </c>
      <c r="K71" s="323">
        <f>1800000*11</f>
        <v>19800000</v>
      </c>
      <c r="L71" s="323"/>
      <c r="M71" s="280">
        <v>44593</v>
      </c>
      <c r="N71" s="280">
        <v>44925</v>
      </c>
      <c r="O71" s="280">
        <v>44652</v>
      </c>
      <c r="P71" s="281">
        <f t="shared" si="0"/>
        <v>0.17771084337349397</v>
      </c>
      <c r="Q71" s="281">
        <f t="shared" si="1"/>
        <v>0.17771084337349397</v>
      </c>
      <c r="R71" s="282">
        <v>1</v>
      </c>
      <c r="S71" s="283">
        <v>0.25</v>
      </c>
      <c r="T71" s="283">
        <v>0.5</v>
      </c>
      <c r="U71" s="283">
        <v>0.75</v>
      </c>
      <c r="V71" s="283">
        <v>1</v>
      </c>
      <c r="W71" s="308">
        <v>0</v>
      </c>
      <c r="X71" s="283" t="s">
        <v>308</v>
      </c>
      <c r="Y71" s="268" t="s">
        <v>52</v>
      </c>
      <c r="Z71" s="284"/>
      <c r="AA71" s="285"/>
      <c r="AB71" s="285"/>
      <c r="AC71" s="284"/>
      <c r="AD71" s="285"/>
      <c r="AE71" s="285"/>
      <c r="AF71" s="284"/>
      <c r="AG71" s="285"/>
      <c r="AH71" s="285"/>
      <c r="AI71" s="286"/>
    </row>
    <row r="72" spans="1:35" ht="99" hidden="1" customHeight="1" outlineLevel="1" x14ac:dyDescent="0.2">
      <c r="A72" s="634"/>
      <c r="B72" s="546"/>
      <c r="C72" s="546"/>
      <c r="D72" s="728"/>
      <c r="E72" s="662"/>
      <c r="F72" s="662"/>
      <c r="G72" s="709" t="s">
        <v>309</v>
      </c>
      <c r="H72" s="6" t="s">
        <v>310</v>
      </c>
      <c r="I72" s="710"/>
      <c r="J72" s="268" t="s">
        <v>311</v>
      </c>
      <c r="K72" s="268" t="s">
        <v>116</v>
      </c>
      <c r="L72" s="268"/>
      <c r="M72" s="280">
        <v>44593</v>
      </c>
      <c r="N72" s="280">
        <v>44925</v>
      </c>
      <c r="O72" s="280">
        <v>44652</v>
      </c>
      <c r="P72" s="281">
        <f t="shared" si="0"/>
        <v>0.17771084337349397</v>
      </c>
      <c r="Q72" s="281">
        <f t="shared" si="1"/>
        <v>0.17771084337349397</v>
      </c>
      <c r="R72" s="282">
        <v>1</v>
      </c>
      <c r="S72" s="283">
        <v>0.25</v>
      </c>
      <c r="T72" s="283">
        <v>0.5</v>
      </c>
      <c r="U72" s="283">
        <v>0.75</v>
      </c>
      <c r="V72" s="283">
        <v>1</v>
      </c>
      <c r="W72" s="308">
        <v>0.8</v>
      </c>
      <c r="X72" s="283" t="s">
        <v>312</v>
      </c>
      <c r="Y72" s="352" t="s">
        <v>313</v>
      </c>
      <c r="Z72" s="284"/>
      <c r="AA72" s="285"/>
      <c r="AB72" s="285"/>
      <c r="AC72" s="284"/>
      <c r="AD72" s="285"/>
      <c r="AE72" s="285"/>
      <c r="AF72" s="284"/>
      <c r="AG72" s="285"/>
      <c r="AH72" s="285"/>
      <c r="AI72" s="286"/>
    </row>
    <row r="73" spans="1:35" ht="94.5" hidden="1" customHeight="1" outlineLevel="1" x14ac:dyDescent="0.2">
      <c r="A73" s="634"/>
      <c r="B73" s="546"/>
      <c r="C73" s="546"/>
      <c r="D73" s="728"/>
      <c r="E73" s="662"/>
      <c r="F73" s="662"/>
      <c r="G73" s="710"/>
      <c r="H73" s="6" t="s">
        <v>314</v>
      </c>
      <c r="I73" s="710"/>
      <c r="J73" s="268" t="s">
        <v>315</v>
      </c>
      <c r="K73" s="268" t="s">
        <v>116</v>
      </c>
      <c r="L73" s="268"/>
      <c r="M73" s="280">
        <v>44593</v>
      </c>
      <c r="N73" s="280">
        <v>44925</v>
      </c>
      <c r="O73" s="280">
        <v>44652</v>
      </c>
      <c r="P73" s="281">
        <f t="shared" si="0"/>
        <v>0.17771084337349397</v>
      </c>
      <c r="Q73" s="281">
        <f t="shared" si="1"/>
        <v>0.17771084337349397</v>
      </c>
      <c r="R73" s="282">
        <v>1</v>
      </c>
      <c r="S73" s="283">
        <v>0.25</v>
      </c>
      <c r="T73" s="283">
        <v>0.5</v>
      </c>
      <c r="U73" s="283">
        <v>0.75</v>
      </c>
      <c r="V73" s="283">
        <v>1</v>
      </c>
      <c r="W73" s="308">
        <v>0.25</v>
      </c>
      <c r="X73" s="283" t="s">
        <v>316</v>
      </c>
      <c r="Y73" s="268" t="s">
        <v>52</v>
      </c>
      <c r="Z73" s="284"/>
      <c r="AA73" s="285"/>
      <c r="AB73" s="285"/>
      <c r="AC73" s="284"/>
      <c r="AD73" s="285"/>
      <c r="AE73" s="285"/>
      <c r="AF73" s="284"/>
      <c r="AG73" s="285"/>
      <c r="AH73" s="285"/>
      <c r="AI73" s="286"/>
    </row>
    <row r="74" spans="1:35" ht="56.25" hidden="1" customHeight="1" outlineLevel="1" x14ac:dyDescent="0.2">
      <c r="A74" s="634"/>
      <c r="B74" s="546"/>
      <c r="C74" s="546"/>
      <c r="D74" s="728"/>
      <c r="E74" s="662"/>
      <c r="F74" s="662"/>
      <c r="G74" s="711"/>
      <c r="H74" s="6" t="s">
        <v>317</v>
      </c>
      <c r="I74" s="710"/>
      <c r="J74" s="268" t="s">
        <v>318</v>
      </c>
      <c r="K74" s="268" t="s">
        <v>116</v>
      </c>
      <c r="L74" s="268"/>
      <c r="M74" s="280">
        <v>44593</v>
      </c>
      <c r="N74" s="280">
        <v>44925</v>
      </c>
      <c r="O74" s="280">
        <v>44652</v>
      </c>
      <c r="P74" s="281">
        <f t="shared" si="0"/>
        <v>0.17771084337349397</v>
      </c>
      <c r="Q74" s="281">
        <f t="shared" si="1"/>
        <v>0.17771084337349397</v>
      </c>
      <c r="R74" s="282">
        <v>1</v>
      </c>
      <c r="S74" s="283">
        <v>0.25</v>
      </c>
      <c r="T74" s="283">
        <v>0.5</v>
      </c>
      <c r="U74" s="283">
        <v>0.75</v>
      </c>
      <c r="V74" s="283">
        <v>1</v>
      </c>
      <c r="W74" s="308">
        <v>0.25</v>
      </c>
      <c r="X74" s="283" t="s">
        <v>319</v>
      </c>
      <c r="Y74" s="352" t="s">
        <v>320</v>
      </c>
      <c r="Z74" s="284"/>
      <c r="AA74" s="285"/>
      <c r="AB74" s="285"/>
      <c r="AC74" s="284"/>
      <c r="AD74" s="285"/>
      <c r="AE74" s="285"/>
      <c r="AF74" s="284"/>
      <c r="AG74" s="285"/>
      <c r="AH74" s="285"/>
      <c r="AI74" s="286"/>
    </row>
    <row r="75" spans="1:35" ht="75" hidden="1" customHeight="1" outlineLevel="1" x14ac:dyDescent="0.2">
      <c r="A75" s="634"/>
      <c r="B75" s="546"/>
      <c r="C75" s="546"/>
      <c r="D75" s="728"/>
      <c r="E75" s="662"/>
      <c r="F75" s="662"/>
      <c r="G75" s="6" t="s">
        <v>321</v>
      </c>
      <c r="H75" s="6" t="s">
        <v>322</v>
      </c>
      <c r="I75" s="710"/>
      <c r="J75" s="288" t="s">
        <v>323</v>
      </c>
      <c r="K75" s="322">
        <v>2500000</v>
      </c>
      <c r="L75" s="322"/>
      <c r="M75" s="280">
        <v>44593</v>
      </c>
      <c r="N75" s="280">
        <v>44925</v>
      </c>
      <c r="O75" s="280">
        <v>44652</v>
      </c>
      <c r="P75" s="281">
        <f t="shared" si="0"/>
        <v>0.17771084337349397</v>
      </c>
      <c r="Q75" s="281">
        <f t="shared" si="1"/>
        <v>0.17771084337349397</v>
      </c>
      <c r="R75" s="282">
        <v>1</v>
      </c>
      <c r="S75" s="283">
        <v>0.25</v>
      </c>
      <c r="T75" s="283">
        <v>0.5</v>
      </c>
      <c r="U75" s="283">
        <v>0.75</v>
      </c>
      <c r="V75" s="283">
        <v>1</v>
      </c>
      <c r="W75" s="308">
        <v>0.3</v>
      </c>
      <c r="X75" s="283" t="s">
        <v>324</v>
      </c>
      <c r="Y75" s="352" t="s">
        <v>325</v>
      </c>
      <c r="Z75" s="284"/>
      <c r="AA75" s="285"/>
      <c r="AB75" s="285"/>
      <c r="AC75" s="284"/>
      <c r="AD75" s="285"/>
      <c r="AE75" s="285"/>
      <c r="AF75" s="284"/>
      <c r="AG75" s="285"/>
      <c r="AH75" s="285"/>
      <c r="AI75" s="286"/>
    </row>
    <row r="76" spans="1:35" ht="56.25" hidden="1" customHeight="1" outlineLevel="1" x14ac:dyDescent="0.2">
      <c r="A76" s="634"/>
      <c r="B76" s="546"/>
      <c r="C76" s="546"/>
      <c r="D76" s="728"/>
      <c r="E76" s="662"/>
      <c r="F76" s="662"/>
      <c r="G76" s="709" t="s">
        <v>326</v>
      </c>
      <c r="H76" s="6" t="s">
        <v>327</v>
      </c>
      <c r="I76" s="710"/>
      <c r="J76" s="268" t="s">
        <v>328</v>
      </c>
      <c r="K76" s="268" t="s">
        <v>52</v>
      </c>
      <c r="L76" s="268"/>
      <c r="M76" s="280">
        <v>44593</v>
      </c>
      <c r="N76" s="280">
        <v>44925</v>
      </c>
      <c r="O76" s="280">
        <v>44652</v>
      </c>
      <c r="P76" s="281">
        <f t="shared" si="0"/>
        <v>0.17771084337349397</v>
      </c>
      <c r="Q76" s="281">
        <f t="shared" si="1"/>
        <v>0.17771084337349397</v>
      </c>
      <c r="R76" s="282">
        <v>1</v>
      </c>
      <c r="S76" s="283">
        <v>0.25</v>
      </c>
      <c r="T76" s="283">
        <v>0.5</v>
      </c>
      <c r="U76" s="283">
        <v>0.75</v>
      </c>
      <c r="V76" s="283">
        <v>1</v>
      </c>
      <c r="W76" s="308">
        <v>0</v>
      </c>
      <c r="X76" s="283" t="s">
        <v>329</v>
      </c>
      <c r="Y76" s="352" t="s">
        <v>52</v>
      </c>
      <c r="Z76" s="284"/>
      <c r="AA76" s="285"/>
      <c r="AB76" s="285"/>
      <c r="AC76" s="284"/>
      <c r="AD76" s="285"/>
      <c r="AE76" s="285"/>
      <c r="AF76" s="284"/>
      <c r="AG76" s="285"/>
      <c r="AH76" s="285"/>
      <c r="AI76" s="286"/>
    </row>
    <row r="77" spans="1:35" ht="56.25" hidden="1" customHeight="1" outlineLevel="1" x14ac:dyDescent="0.2">
      <c r="A77" s="634"/>
      <c r="B77" s="546"/>
      <c r="C77" s="546"/>
      <c r="D77" s="728"/>
      <c r="E77" s="662"/>
      <c r="F77" s="662"/>
      <c r="G77" s="711"/>
      <c r="H77" s="6" t="s">
        <v>330</v>
      </c>
      <c r="I77" s="710"/>
      <c r="J77" s="268" t="s">
        <v>331</v>
      </c>
      <c r="K77" s="268" t="s">
        <v>52</v>
      </c>
      <c r="L77" s="268"/>
      <c r="M77" s="280">
        <v>44593</v>
      </c>
      <c r="N77" s="280">
        <v>44925</v>
      </c>
      <c r="O77" s="280">
        <v>44652</v>
      </c>
      <c r="P77" s="281">
        <f t="shared" si="0"/>
        <v>0.17771084337349397</v>
      </c>
      <c r="Q77" s="281">
        <f t="shared" si="1"/>
        <v>0.17771084337349397</v>
      </c>
      <c r="R77" s="282">
        <v>1</v>
      </c>
      <c r="S77" s="283">
        <v>0.25</v>
      </c>
      <c r="T77" s="283">
        <v>0.5</v>
      </c>
      <c r="U77" s="283">
        <v>0.75</v>
      </c>
      <c r="V77" s="283">
        <v>1</v>
      </c>
      <c r="W77" s="308">
        <v>0</v>
      </c>
      <c r="X77" s="283" t="s">
        <v>329</v>
      </c>
      <c r="Y77" s="352" t="s">
        <v>52</v>
      </c>
      <c r="Z77" s="284"/>
      <c r="AA77" s="285"/>
      <c r="AB77" s="285"/>
      <c r="AC77" s="284"/>
      <c r="AD77" s="285"/>
      <c r="AE77" s="285"/>
      <c r="AF77" s="284"/>
      <c r="AG77" s="285"/>
      <c r="AH77" s="285"/>
      <c r="AI77" s="286"/>
    </row>
    <row r="78" spans="1:35" ht="96" hidden="1" customHeight="1" outlineLevel="1" x14ac:dyDescent="0.2">
      <c r="A78" s="634"/>
      <c r="B78" s="546"/>
      <c r="C78" s="546"/>
      <c r="D78" s="728"/>
      <c r="E78" s="662"/>
      <c r="F78" s="662"/>
      <c r="G78" s="204" t="s">
        <v>332</v>
      </c>
      <c r="H78" s="6" t="s">
        <v>333</v>
      </c>
      <c r="I78" s="710"/>
      <c r="J78" s="611" t="s">
        <v>334</v>
      </c>
      <c r="K78" s="322">
        <v>10000000</v>
      </c>
      <c r="L78" s="322"/>
      <c r="M78" s="280">
        <v>44593</v>
      </c>
      <c r="N78" s="280">
        <v>44925</v>
      </c>
      <c r="O78" s="280">
        <v>44652</v>
      </c>
      <c r="P78" s="281">
        <f t="shared" si="0"/>
        <v>0.17771084337349397</v>
      </c>
      <c r="Q78" s="281">
        <f t="shared" si="1"/>
        <v>0.17771084337349397</v>
      </c>
      <c r="R78" s="282">
        <v>1</v>
      </c>
      <c r="S78" s="283">
        <v>0.25</v>
      </c>
      <c r="T78" s="283">
        <v>0.5</v>
      </c>
      <c r="U78" s="283">
        <v>0.75</v>
      </c>
      <c r="V78" s="283">
        <v>1</v>
      </c>
      <c r="W78" s="308">
        <v>0.3</v>
      </c>
      <c r="X78" s="283" t="s">
        <v>335</v>
      </c>
      <c r="Y78" s="352" t="s">
        <v>52</v>
      </c>
      <c r="Z78" s="284"/>
      <c r="AA78" s="285"/>
      <c r="AB78" s="285"/>
      <c r="AC78" s="284"/>
      <c r="AD78" s="285"/>
      <c r="AE78" s="285"/>
      <c r="AF78" s="284"/>
      <c r="AG78" s="285"/>
      <c r="AH78" s="285"/>
      <c r="AI78" s="286"/>
    </row>
    <row r="79" spans="1:35" ht="46.5" hidden="1" customHeight="1" outlineLevel="1" x14ac:dyDescent="0.2">
      <c r="A79" s="634"/>
      <c r="B79" s="546"/>
      <c r="C79" s="546"/>
      <c r="D79" s="728"/>
      <c r="E79" s="662"/>
      <c r="F79" s="662"/>
      <c r="G79" s="204" t="s">
        <v>336</v>
      </c>
      <c r="H79" s="6" t="s">
        <v>337</v>
      </c>
      <c r="I79" s="710"/>
      <c r="J79" s="613"/>
      <c r="K79" s="322">
        <v>10000000</v>
      </c>
      <c r="L79" s="322"/>
      <c r="M79" s="280">
        <v>44593</v>
      </c>
      <c r="N79" s="280">
        <v>44925</v>
      </c>
      <c r="O79" s="280">
        <v>44652</v>
      </c>
      <c r="P79" s="281">
        <f t="shared" si="0"/>
        <v>0.17771084337349397</v>
      </c>
      <c r="Q79" s="281">
        <f t="shared" si="1"/>
        <v>0.17771084337349397</v>
      </c>
      <c r="R79" s="282">
        <v>1</v>
      </c>
      <c r="S79" s="283">
        <v>0.25</v>
      </c>
      <c r="T79" s="283">
        <v>0.5</v>
      </c>
      <c r="U79" s="283">
        <v>0.75</v>
      </c>
      <c r="V79" s="283">
        <v>1</v>
      </c>
      <c r="W79" s="308">
        <v>0</v>
      </c>
      <c r="X79" s="283" t="s">
        <v>338</v>
      </c>
      <c r="Y79" s="352" t="s">
        <v>52</v>
      </c>
      <c r="Z79" s="284"/>
      <c r="AA79" s="285"/>
      <c r="AB79" s="285"/>
      <c r="AC79" s="284"/>
      <c r="AD79" s="285"/>
      <c r="AE79" s="285"/>
      <c r="AF79" s="284"/>
      <c r="AG79" s="285"/>
      <c r="AH79" s="285"/>
      <c r="AI79" s="286"/>
    </row>
    <row r="80" spans="1:35" ht="75" hidden="1" customHeight="1" outlineLevel="1" x14ac:dyDescent="0.2">
      <c r="A80" s="634"/>
      <c r="B80" s="546"/>
      <c r="C80" s="546"/>
      <c r="D80" s="728"/>
      <c r="E80" s="662"/>
      <c r="F80" s="662"/>
      <c r="G80" s="6" t="s">
        <v>339</v>
      </c>
      <c r="H80" s="6" t="s">
        <v>340</v>
      </c>
      <c r="I80" s="710"/>
      <c r="J80" s="257" t="s">
        <v>341</v>
      </c>
      <c r="K80" s="322">
        <v>22000000</v>
      </c>
      <c r="L80" s="322"/>
      <c r="M80" s="280">
        <v>44593</v>
      </c>
      <c r="N80" s="280">
        <v>44925</v>
      </c>
      <c r="O80" s="280">
        <v>44652</v>
      </c>
      <c r="P80" s="281">
        <f t="shared" si="0"/>
        <v>0.17771084337349397</v>
      </c>
      <c r="Q80" s="281">
        <f t="shared" si="1"/>
        <v>0.17771084337349397</v>
      </c>
      <c r="R80" s="282">
        <v>1</v>
      </c>
      <c r="S80" s="283">
        <v>0.25</v>
      </c>
      <c r="T80" s="283">
        <v>0.5</v>
      </c>
      <c r="U80" s="283">
        <v>0.75</v>
      </c>
      <c r="V80" s="283">
        <v>1</v>
      </c>
      <c r="W80" s="308">
        <v>0.1</v>
      </c>
      <c r="X80" s="283" t="s">
        <v>342</v>
      </c>
      <c r="Y80" s="352" t="s">
        <v>52</v>
      </c>
      <c r="Z80" s="284"/>
      <c r="AA80" s="285"/>
      <c r="AB80" s="285"/>
      <c r="AC80" s="284"/>
      <c r="AD80" s="285"/>
      <c r="AE80" s="285"/>
      <c r="AF80" s="284"/>
      <c r="AG80" s="285"/>
      <c r="AH80" s="285"/>
      <c r="AI80" s="286"/>
    </row>
    <row r="81" spans="1:35" ht="75" hidden="1" customHeight="1" outlineLevel="1" x14ac:dyDescent="0.2">
      <c r="A81" s="634"/>
      <c r="B81" s="546"/>
      <c r="C81" s="546"/>
      <c r="D81" s="728"/>
      <c r="E81" s="662"/>
      <c r="F81" s="662"/>
      <c r="G81" s="6" t="s">
        <v>343</v>
      </c>
      <c r="H81" s="7" t="s">
        <v>344</v>
      </c>
      <c r="I81" s="710"/>
      <c r="J81" s="434" t="s">
        <v>345</v>
      </c>
      <c r="K81" s="322">
        <v>10000000</v>
      </c>
      <c r="L81" s="322"/>
      <c r="M81" s="280">
        <v>44593</v>
      </c>
      <c r="N81" s="280">
        <v>44925</v>
      </c>
      <c r="O81" s="280">
        <v>44652</v>
      </c>
      <c r="P81" s="281">
        <f t="shared" si="0"/>
        <v>0.17771084337349397</v>
      </c>
      <c r="Q81" s="281">
        <f t="shared" si="1"/>
        <v>0.17771084337349397</v>
      </c>
      <c r="R81" s="282">
        <v>1</v>
      </c>
      <c r="S81" s="283">
        <v>0.25</v>
      </c>
      <c r="T81" s="283">
        <v>0.5</v>
      </c>
      <c r="U81" s="283">
        <v>0.75</v>
      </c>
      <c r="V81" s="283">
        <v>1</v>
      </c>
      <c r="W81" s="308">
        <v>0</v>
      </c>
      <c r="X81" s="283" t="s">
        <v>346</v>
      </c>
      <c r="Y81" s="352" t="s">
        <v>52</v>
      </c>
      <c r="Z81" s="284"/>
      <c r="AA81" s="285"/>
      <c r="AB81" s="285"/>
      <c r="AC81" s="284"/>
      <c r="AD81" s="285"/>
      <c r="AE81" s="285"/>
      <c r="AF81" s="284"/>
      <c r="AG81" s="285"/>
      <c r="AH81" s="285"/>
      <c r="AI81" s="286"/>
    </row>
    <row r="82" spans="1:35" ht="56.25" hidden="1" customHeight="1" outlineLevel="1" x14ac:dyDescent="0.2">
      <c r="A82" s="634"/>
      <c r="B82" s="546"/>
      <c r="C82" s="546"/>
      <c r="D82" s="728"/>
      <c r="E82" s="662"/>
      <c r="F82" s="662"/>
      <c r="G82" s="6" t="s">
        <v>347</v>
      </c>
      <c r="H82" s="6" t="s">
        <v>348</v>
      </c>
      <c r="I82" s="710"/>
      <c r="J82" s="434" t="s">
        <v>349</v>
      </c>
      <c r="K82" s="268" t="s">
        <v>52</v>
      </c>
      <c r="L82" s="268"/>
      <c r="M82" s="280">
        <v>44593</v>
      </c>
      <c r="N82" s="280">
        <v>44925</v>
      </c>
      <c r="O82" s="280">
        <v>44652</v>
      </c>
      <c r="P82" s="281">
        <f t="shared" si="0"/>
        <v>0.17771084337349397</v>
      </c>
      <c r="Q82" s="281">
        <f t="shared" si="1"/>
        <v>0.17771084337349397</v>
      </c>
      <c r="R82" s="282">
        <v>1</v>
      </c>
      <c r="S82" s="283">
        <v>0.25</v>
      </c>
      <c r="T82" s="283">
        <v>0.5</v>
      </c>
      <c r="U82" s="283">
        <v>0.75</v>
      </c>
      <c r="V82" s="283">
        <v>1</v>
      </c>
      <c r="W82" s="308">
        <v>0</v>
      </c>
      <c r="X82" s="283" t="s">
        <v>346</v>
      </c>
      <c r="Y82" s="352" t="s">
        <v>52</v>
      </c>
      <c r="Z82" s="284"/>
      <c r="AA82" s="285"/>
      <c r="AB82" s="285"/>
      <c r="AC82" s="284"/>
      <c r="AD82" s="285"/>
      <c r="AE82" s="285"/>
      <c r="AF82" s="284"/>
      <c r="AG82" s="285"/>
      <c r="AH82" s="285"/>
      <c r="AI82" s="286"/>
    </row>
    <row r="83" spans="1:35" ht="56.25" hidden="1" customHeight="1" outlineLevel="1" x14ac:dyDescent="0.2">
      <c r="A83" s="634"/>
      <c r="B83" s="546"/>
      <c r="C83" s="546"/>
      <c r="D83" s="728"/>
      <c r="E83" s="663"/>
      <c r="F83" s="663"/>
      <c r="G83" s="6" t="s">
        <v>350</v>
      </c>
      <c r="H83" s="6" t="s">
        <v>351</v>
      </c>
      <c r="I83" s="711"/>
      <c r="J83" s="434" t="s">
        <v>352</v>
      </c>
      <c r="K83" s="322">
        <v>12000000</v>
      </c>
      <c r="L83" s="322"/>
      <c r="M83" s="280">
        <v>44593</v>
      </c>
      <c r="N83" s="280">
        <v>44925</v>
      </c>
      <c r="O83" s="280">
        <v>44652</v>
      </c>
      <c r="P83" s="281">
        <f t="shared" si="0"/>
        <v>0.17771084337349397</v>
      </c>
      <c r="Q83" s="281">
        <f t="shared" si="1"/>
        <v>0.17771084337349397</v>
      </c>
      <c r="R83" s="282">
        <v>1</v>
      </c>
      <c r="S83" s="283">
        <v>0.25</v>
      </c>
      <c r="T83" s="283">
        <v>0.5</v>
      </c>
      <c r="U83" s="283">
        <v>0.75</v>
      </c>
      <c r="V83" s="283">
        <v>1</v>
      </c>
      <c r="W83" s="308">
        <v>0</v>
      </c>
      <c r="X83" s="283" t="s">
        <v>346</v>
      </c>
      <c r="Y83" s="352" t="s">
        <v>52</v>
      </c>
      <c r="Z83" s="284"/>
      <c r="AA83" s="285"/>
      <c r="AB83" s="285"/>
      <c r="AC83" s="284"/>
      <c r="AD83" s="285"/>
      <c r="AE83" s="285"/>
      <c r="AF83" s="284"/>
      <c r="AG83" s="285"/>
      <c r="AH83" s="285"/>
      <c r="AI83" s="286"/>
    </row>
    <row r="84" spans="1:35" ht="56.25" hidden="1" customHeight="1" outlineLevel="1" x14ac:dyDescent="0.2">
      <c r="A84" s="634"/>
      <c r="B84" s="546"/>
      <c r="C84" s="546"/>
      <c r="D84" s="728"/>
      <c r="E84" s="661" t="s">
        <v>353</v>
      </c>
      <c r="F84" s="661" t="s">
        <v>354</v>
      </c>
      <c r="G84" s="204" t="s">
        <v>355</v>
      </c>
      <c r="H84" s="6" t="s">
        <v>356</v>
      </c>
      <c r="I84" s="709" t="s">
        <v>357</v>
      </c>
      <c r="J84" s="257" t="s">
        <v>341</v>
      </c>
      <c r="K84" s="268" t="s">
        <v>52</v>
      </c>
      <c r="L84" s="268"/>
      <c r="M84" s="280">
        <v>44593</v>
      </c>
      <c r="N84" s="280">
        <v>44925</v>
      </c>
      <c r="O84" s="280">
        <v>44652</v>
      </c>
      <c r="P84" s="281">
        <f t="shared" si="0"/>
        <v>0.17771084337349397</v>
      </c>
      <c r="Q84" s="281">
        <f t="shared" si="1"/>
        <v>0.17771084337349397</v>
      </c>
      <c r="R84" s="282">
        <v>0.9</v>
      </c>
      <c r="S84" s="283">
        <v>0.86</v>
      </c>
      <c r="T84" s="283">
        <v>0.87</v>
      </c>
      <c r="U84" s="283">
        <v>0.88</v>
      </c>
      <c r="V84" s="283">
        <v>0.9</v>
      </c>
      <c r="W84" s="308">
        <v>0.1</v>
      </c>
      <c r="X84" s="283" t="s">
        <v>358</v>
      </c>
      <c r="Y84" s="352" t="s">
        <v>52</v>
      </c>
      <c r="Z84" s="284"/>
      <c r="AA84" s="285"/>
      <c r="AB84" s="285"/>
      <c r="AC84" s="284"/>
      <c r="AD84" s="285"/>
      <c r="AE84" s="285"/>
      <c r="AF84" s="284"/>
      <c r="AG84" s="285"/>
      <c r="AH84" s="285"/>
      <c r="AI84" s="286"/>
    </row>
    <row r="85" spans="1:35" ht="75" hidden="1" customHeight="1" outlineLevel="1" x14ac:dyDescent="0.2">
      <c r="A85" s="634"/>
      <c r="B85" s="546"/>
      <c r="C85" s="546"/>
      <c r="D85" s="728"/>
      <c r="E85" s="662"/>
      <c r="F85" s="662"/>
      <c r="G85" s="204" t="s">
        <v>359</v>
      </c>
      <c r="H85" s="6" t="s">
        <v>360</v>
      </c>
      <c r="I85" s="710"/>
      <c r="J85" s="257" t="s">
        <v>361</v>
      </c>
      <c r="K85" s="322">
        <f>(6*1670000)+2340000+930000+2820021</f>
        <v>16110021</v>
      </c>
      <c r="L85" s="322"/>
      <c r="M85" s="280">
        <v>44593</v>
      </c>
      <c r="N85" s="280">
        <v>44925</v>
      </c>
      <c r="O85" s="280">
        <v>44652</v>
      </c>
      <c r="P85" s="281">
        <f t="shared" si="0"/>
        <v>0.17771084337349397</v>
      </c>
      <c r="Q85" s="281">
        <f t="shared" si="1"/>
        <v>0.17771084337349397</v>
      </c>
      <c r="R85" s="282">
        <v>1</v>
      </c>
      <c r="S85" s="283">
        <v>0.25</v>
      </c>
      <c r="T85" s="283">
        <v>0.5</v>
      </c>
      <c r="U85" s="283">
        <v>0.75</v>
      </c>
      <c r="V85" s="283">
        <v>1</v>
      </c>
      <c r="W85" s="308">
        <v>0</v>
      </c>
      <c r="X85" s="283" t="s">
        <v>362</v>
      </c>
      <c r="Y85" s="352" t="s">
        <v>52</v>
      </c>
      <c r="Z85" s="284"/>
      <c r="AA85" s="285"/>
      <c r="AB85" s="285"/>
      <c r="AC85" s="284"/>
      <c r="AD85" s="285"/>
      <c r="AE85" s="285"/>
      <c r="AF85" s="284"/>
      <c r="AG85" s="285"/>
      <c r="AH85" s="285"/>
      <c r="AI85" s="286"/>
    </row>
    <row r="86" spans="1:35" ht="46.5" hidden="1" customHeight="1" outlineLevel="1" x14ac:dyDescent="0.2">
      <c r="A86" s="634"/>
      <c r="B86" s="546"/>
      <c r="C86" s="546"/>
      <c r="D86" s="728"/>
      <c r="E86" s="662"/>
      <c r="F86" s="662"/>
      <c r="G86" s="204" t="s">
        <v>363</v>
      </c>
      <c r="H86" s="7" t="s">
        <v>364</v>
      </c>
      <c r="I86" s="710"/>
      <c r="J86" s="257" t="s">
        <v>365</v>
      </c>
      <c r="K86" s="268" t="s">
        <v>52</v>
      </c>
      <c r="L86" s="268"/>
      <c r="M86" s="280">
        <v>44593</v>
      </c>
      <c r="N86" s="280">
        <v>44925</v>
      </c>
      <c r="O86" s="280">
        <v>44652</v>
      </c>
      <c r="P86" s="281">
        <f t="shared" si="0"/>
        <v>0.17771084337349397</v>
      </c>
      <c r="Q86" s="281">
        <f t="shared" si="1"/>
        <v>0.17771084337349397</v>
      </c>
      <c r="R86" s="282">
        <v>1</v>
      </c>
      <c r="S86" s="283">
        <v>0.25</v>
      </c>
      <c r="T86" s="283">
        <v>0.5</v>
      </c>
      <c r="U86" s="283">
        <v>0.75</v>
      </c>
      <c r="V86" s="283">
        <v>1</v>
      </c>
      <c r="W86" s="308">
        <v>0</v>
      </c>
      <c r="X86" s="283" t="s">
        <v>366</v>
      </c>
      <c r="Y86" s="352" t="s">
        <v>52</v>
      </c>
      <c r="Z86" s="284"/>
      <c r="AA86" s="285"/>
      <c r="AB86" s="285"/>
      <c r="AC86" s="284"/>
      <c r="AD86" s="285"/>
      <c r="AE86" s="285"/>
      <c r="AF86" s="284"/>
      <c r="AG86" s="285"/>
      <c r="AH86" s="285"/>
      <c r="AI86" s="286"/>
    </row>
    <row r="87" spans="1:35" ht="56.25" hidden="1" customHeight="1" outlineLevel="1" x14ac:dyDescent="0.2">
      <c r="A87" s="634"/>
      <c r="B87" s="546"/>
      <c r="C87" s="546"/>
      <c r="D87" s="728"/>
      <c r="E87" s="662"/>
      <c r="F87" s="662"/>
      <c r="G87" s="6" t="s">
        <v>367</v>
      </c>
      <c r="H87" s="6" t="s">
        <v>368</v>
      </c>
      <c r="I87" s="710"/>
      <c r="J87" s="257" t="s">
        <v>369</v>
      </c>
      <c r="K87" s="268" t="s">
        <v>52</v>
      </c>
      <c r="L87" s="268"/>
      <c r="M87" s="280">
        <v>44593</v>
      </c>
      <c r="N87" s="280">
        <v>44925</v>
      </c>
      <c r="O87" s="280">
        <v>44652</v>
      </c>
      <c r="P87" s="281">
        <f t="shared" si="0"/>
        <v>0.17771084337349397</v>
      </c>
      <c r="Q87" s="281">
        <f t="shared" si="1"/>
        <v>0.17771084337349397</v>
      </c>
      <c r="R87" s="282">
        <v>1</v>
      </c>
      <c r="S87" s="283">
        <v>0.25</v>
      </c>
      <c r="T87" s="283">
        <v>0.5</v>
      </c>
      <c r="U87" s="283">
        <v>0.75</v>
      </c>
      <c r="V87" s="283">
        <v>1</v>
      </c>
      <c r="W87" s="308">
        <v>0.9</v>
      </c>
      <c r="X87" s="283" t="s">
        <v>370</v>
      </c>
      <c r="Y87" s="352" t="s">
        <v>371</v>
      </c>
      <c r="Z87" s="284"/>
      <c r="AA87" s="285"/>
      <c r="AB87" s="285"/>
      <c r="AC87" s="284"/>
      <c r="AD87" s="285"/>
      <c r="AE87" s="285"/>
      <c r="AF87" s="284"/>
      <c r="AG87" s="285"/>
      <c r="AH87" s="285"/>
      <c r="AI87" s="286"/>
    </row>
    <row r="88" spans="1:35" ht="75" hidden="1" customHeight="1" outlineLevel="1" x14ac:dyDescent="0.2">
      <c r="A88" s="634"/>
      <c r="B88" s="546"/>
      <c r="C88" s="546"/>
      <c r="D88" s="728"/>
      <c r="E88" s="662"/>
      <c r="F88" s="662"/>
      <c r="G88" s="6" t="s">
        <v>372</v>
      </c>
      <c r="H88" s="7" t="s">
        <v>373</v>
      </c>
      <c r="I88" s="710"/>
      <c r="J88" s="257" t="s">
        <v>374</v>
      </c>
      <c r="K88" s="324">
        <v>15000000</v>
      </c>
      <c r="L88" s="325"/>
      <c r="M88" s="280">
        <v>44593</v>
      </c>
      <c r="N88" s="280">
        <v>44925</v>
      </c>
      <c r="O88" s="280">
        <v>44652</v>
      </c>
      <c r="P88" s="281">
        <f t="shared" si="0"/>
        <v>0.17771084337349397</v>
      </c>
      <c r="Q88" s="281">
        <f t="shared" si="1"/>
        <v>0.17771084337349397</v>
      </c>
      <c r="R88" s="282">
        <v>1</v>
      </c>
      <c r="S88" s="283">
        <v>0.25</v>
      </c>
      <c r="T88" s="283">
        <v>0.5</v>
      </c>
      <c r="U88" s="283">
        <v>0.75</v>
      </c>
      <c r="V88" s="283">
        <v>1</v>
      </c>
      <c r="W88" s="308">
        <v>0</v>
      </c>
      <c r="X88" s="283" t="s">
        <v>375</v>
      </c>
      <c r="Y88" s="352" t="s">
        <v>52</v>
      </c>
      <c r="Z88" s="284"/>
      <c r="AA88" s="285"/>
      <c r="AB88" s="285"/>
      <c r="AC88" s="284"/>
      <c r="AD88" s="285"/>
      <c r="AE88" s="285"/>
      <c r="AF88" s="284"/>
      <c r="AG88" s="285"/>
      <c r="AH88" s="285"/>
      <c r="AI88" s="286"/>
    </row>
    <row r="89" spans="1:35" ht="98.25" hidden="1" customHeight="1" outlineLevel="1" x14ac:dyDescent="0.2">
      <c r="A89" s="634"/>
      <c r="B89" s="546"/>
      <c r="C89" s="546"/>
      <c r="D89" s="728"/>
      <c r="E89" s="662"/>
      <c r="F89" s="662"/>
      <c r="G89" s="204" t="s">
        <v>376</v>
      </c>
      <c r="H89" s="7" t="s">
        <v>377</v>
      </c>
      <c r="I89" s="710"/>
      <c r="J89" s="257" t="s">
        <v>369</v>
      </c>
      <c r="K89" s="268" t="s">
        <v>52</v>
      </c>
      <c r="L89" s="268"/>
      <c r="M89" s="280">
        <v>44593</v>
      </c>
      <c r="N89" s="280">
        <v>44925</v>
      </c>
      <c r="O89" s="280">
        <v>44652</v>
      </c>
      <c r="P89" s="281">
        <f t="shared" si="0"/>
        <v>0.17771084337349397</v>
      </c>
      <c r="Q89" s="281">
        <f t="shared" si="1"/>
        <v>0.17771084337349397</v>
      </c>
      <c r="R89" s="282">
        <v>1</v>
      </c>
      <c r="S89" s="283">
        <v>0.25</v>
      </c>
      <c r="T89" s="283">
        <v>0.5</v>
      </c>
      <c r="U89" s="283">
        <v>0.75</v>
      </c>
      <c r="V89" s="283">
        <v>1</v>
      </c>
      <c r="W89" s="308">
        <v>1</v>
      </c>
      <c r="X89" s="283" t="s">
        <v>378</v>
      </c>
      <c r="Y89" s="352" t="s">
        <v>379</v>
      </c>
      <c r="Z89" s="284"/>
      <c r="AA89" s="285"/>
      <c r="AB89" s="285"/>
      <c r="AC89" s="284"/>
      <c r="AD89" s="285"/>
      <c r="AE89" s="285"/>
      <c r="AF89" s="284"/>
      <c r="AG89" s="285"/>
      <c r="AH89" s="285"/>
      <c r="AI89" s="286"/>
    </row>
    <row r="90" spans="1:35" ht="93.75" hidden="1" customHeight="1" outlineLevel="1" x14ac:dyDescent="0.2">
      <c r="A90" s="634"/>
      <c r="B90" s="546"/>
      <c r="C90" s="546"/>
      <c r="D90" s="728"/>
      <c r="E90" s="662"/>
      <c r="F90" s="662"/>
      <c r="G90" s="204" t="s">
        <v>380</v>
      </c>
      <c r="H90" s="7" t="s">
        <v>381</v>
      </c>
      <c r="I90" s="710"/>
      <c r="J90" s="288" t="s">
        <v>382</v>
      </c>
      <c r="K90" s="324">
        <v>6000000</v>
      </c>
      <c r="L90" s="325"/>
      <c r="M90" s="280">
        <v>44593</v>
      </c>
      <c r="N90" s="280">
        <v>44925</v>
      </c>
      <c r="O90" s="280">
        <v>44652</v>
      </c>
      <c r="P90" s="281">
        <f t="shared" si="0"/>
        <v>0.17771084337349397</v>
      </c>
      <c r="Q90" s="281">
        <f t="shared" si="1"/>
        <v>0.17771084337349397</v>
      </c>
      <c r="R90" s="282">
        <v>1</v>
      </c>
      <c r="S90" s="283">
        <v>0.25</v>
      </c>
      <c r="T90" s="283">
        <v>0.5</v>
      </c>
      <c r="U90" s="283">
        <v>0.75</v>
      </c>
      <c r="V90" s="283">
        <v>1</v>
      </c>
      <c r="W90" s="308">
        <v>0.8</v>
      </c>
      <c r="X90" s="283" t="s">
        <v>383</v>
      </c>
      <c r="Y90" s="352" t="s">
        <v>52</v>
      </c>
      <c r="Z90" s="284"/>
      <c r="AA90" s="285"/>
      <c r="AB90" s="285"/>
      <c r="AC90" s="284"/>
      <c r="AD90" s="285"/>
      <c r="AE90" s="285"/>
      <c r="AF90" s="284"/>
      <c r="AG90" s="285"/>
      <c r="AH90" s="285"/>
      <c r="AI90" s="286"/>
    </row>
    <row r="91" spans="1:35" ht="86.25" hidden="1" customHeight="1" outlineLevel="1" x14ac:dyDescent="0.2">
      <c r="A91" s="634"/>
      <c r="B91" s="546"/>
      <c r="C91" s="546"/>
      <c r="D91" s="728"/>
      <c r="E91" s="662"/>
      <c r="F91" s="663"/>
      <c r="G91" s="204" t="s">
        <v>363</v>
      </c>
      <c r="H91" s="7" t="s">
        <v>384</v>
      </c>
      <c r="I91" s="711"/>
      <c r="J91" s="257" t="s">
        <v>385</v>
      </c>
      <c r="K91" s="268" t="s">
        <v>52</v>
      </c>
      <c r="L91" s="268"/>
      <c r="M91" s="280">
        <v>44593</v>
      </c>
      <c r="N91" s="280">
        <v>44925</v>
      </c>
      <c r="O91" s="280">
        <v>44652</v>
      </c>
      <c r="P91" s="281">
        <f t="shared" si="0"/>
        <v>0.17771084337349397</v>
      </c>
      <c r="Q91" s="281">
        <f t="shared" si="1"/>
        <v>0.17771084337349397</v>
      </c>
      <c r="R91" s="282">
        <v>1</v>
      </c>
      <c r="S91" s="283">
        <v>0.25</v>
      </c>
      <c r="T91" s="283">
        <v>0.5</v>
      </c>
      <c r="U91" s="283">
        <v>0.75</v>
      </c>
      <c r="V91" s="283">
        <v>1</v>
      </c>
      <c r="W91" s="308">
        <v>0</v>
      </c>
      <c r="X91" s="283" t="s">
        <v>386</v>
      </c>
      <c r="Y91" s="352" t="s">
        <v>52</v>
      </c>
      <c r="Z91" s="284"/>
      <c r="AA91" s="285"/>
      <c r="AB91" s="285"/>
      <c r="AC91" s="284"/>
      <c r="AD91" s="285"/>
      <c r="AE91" s="285"/>
      <c r="AF91" s="284"/>
      <c r="AG91" s="285"/>
      <c r="AH91" s="285"/>
      <c r="AI91" s="286"/>
    </row>
    <row r="92" spans="1:35" ht="75" hidden="1" customHeight="1" outlineLevel="1" x14ac:dyDescent="0.2">
      <c r="A92" s="634"/>
      <c r="B92" s="546"/>
      <c r="C92" s="546"/>
      <c r="D92" s="728"/>
      <c r="E92" s="662"/>
      <c r="F92" s="661" t="s">
        <v>387</v>
      </c>
      <c r="G92" s="6" t="s">
        <v>388</v>
      </c>
      <c r="H92" s="7" t="s">
        <v>389</v>
      </c>
      <c r="I92" s="709" t="s">
        <v>390</v>
      </c>
      <c r="J92" s="257" t="s">
        <v>341</v>
      </c>
      <c r="K92" s="268" t="s">
        <v>52</v>
      </c>
      <c r="L92" s="268"/>
      <c r="M92" s="280">
        <v>44593</v>
      </c>
      <c r="N92" s="280">
        <v>44925</v>
      </c>
      <c r="O92" s="280">
        <v>44652</v>
      </c>
      <c r="P92" s="281">
        <f t="shared" si="0"/>
        <v>0.17771084337349397</v>
      </c>
      <c r="Q92" s="281">
        <f t="shared" si="1"/>
        <v>0.17771084337349397</v>
      </c>
      <c r="R92" s="282">
        <v>0.05</v>
      </c>
      <c r="S92" s="283">
        <v>0.03</v>
      </c>
      <c r="T92" s="283" t="s">
        <v>391</v>
      </c>
      <c r="U92" s="283">
        <v>0.04</v>
      </c>
      <c r="V92" s="283">
        <v>0.05</v>
      </c>
      <c r="W92" s="308">
        <v>0.05</v>
      </c>
      <c r="X92" s="283" t="s">
        <v>392</v>
      </c>
      <c r="Y92" s="352" t="s">
        <v>393</v>
      </c>
      <c r="Z92" s="284"/>
      <c r="AA92" s="285"/>
      <c r="AB92" s="285"/>
      <c r="AC92" s="284"/>
      <c r="AD92" s="285"/>
      <c r="AE92" s="285"/>
      <c r="AF92" s="284"/>
      <c r="AG92" s="285"/>
      <c r="AH92" s="285"/>
      <c r="AI92" s="286"/>
    </row>
    <row r="93" spans="1:35" ht="112.5" hidden="1" customHeight="1" outlineLevel="1" x14ac:dyDescent="0.2">
      <c r="A93" s="634"/>
      <c r="B93" s="546"/>
      <c r="C93" s="546"/>
      <c r="D93" s="728"/>
      <c r="E93" s="662"/>
      <c r="F93" s="662"/>
      <c r="G93" s="6" t="s">
        <v>394</v>
      </c>
      <c r="H93" s="7" t="s">
        <v>395</v>
      </c>
      <c r="I93" s="710"/>
      <c r="J93" s="257" t="s">
        <v>374</v>
      </c>
      <c r="K93" s="324">
        <v>30000000</v>
      </c>
      <c r="L93" s="325"/>
      <c r="M93" s="280">
        <v>44593</v>
      </c>
      <c r="N93" s="280">
        <v>44925</v>
      </c>
      <c r="O93" s="280">
        <v>44652</v>
      </c>
      <c r="P93" s="281">
        <f t="shared" si="0"/>
        <v>0.17771084337349397</v>
      </c>
      <c r="Q93" s="281">
        <f t="shared" si="1"/>
        <v>0.17771084337349397</v>
      </c>
      <c r="R93" s="282">
        <v>1</v>
      </c>
      <c r="S93" s="283">
        <v>0.25</v>
      </c>
      <c r="T93" s="283">
        <v>0.5</v>
      </c>
      <c r="U93" s="283">
        <v>0.75</v>
      </c>
      <c r="V93" s="283">
        <v>1</v>
      </c>
      <c r="W93" s="308">
        <v>0.2</v>
      </c>
      <c r="X93" s="283" t="s">
        <v>396</v>
      </c>
      <c r="Y93" s="268" t="s">
        <v>52</v>
      </c>
      <c r="Z93" s="284"/>
      <c r="AA93" s="285"/>
      <c r="AB93" s="285"/>
      <c r="AC93" s="284"/>
      <c r="AD93" s="285"/>
      <c r="AE93" s="285"/>
      <c r="AF93" s="284"/>
      <c r="AG93" s="285"/>
      <c r="AH93" s="285"/>
      <c r="AI93" s="286"/>
    </row>
    <row r="94" spans="1:35" ht="74.25" hidden="1" customHeight="1" outlineLevel="1" x14ac:dyDescent="0.2">
      <c r="A94" s="758"/>
      <c r="B94" s="546"/>
      <c r="C94" s="546"/>
      <c r="D94" s="728"/>
      <c r="E94" s="662"/>
      <c r="F94" s="663"/>
      <c r="G94" s="457" t="s">
        <v>397</v>
      </c>
      <c r="H94" s="7" t="s">
        <v>398</v>
      </c>
      <c r="I94" s="711"/>
      <c r="J94" s="257" t="s">
        <v>399</v>
      </c>
      <c r="K94" s="325" t="s">
        <v>52</v>
      </c>
      <c r="L94" s="325"/>
      <c r="M94" s="280">
        <v>44593</v>
      </c>
      <c r="N94" s="280">
        <v>44925</v>
      </c>
      <c r="O94" s="280">
        <v>44652</v>
      </c>
      <c r="P94" s="281">
        <f t="shared" si="0"/>
        <v>0.17771084337349397</v>
      </c>
      <c r="Q94" s="281">
        <f t="shared" si="1"/>
        <v>0.17771084337349397</v>
      </c>
      <c r="R94" s="282">
        <v>1</v>
      </c>
      <c r="S94" s="283">
        <v>0.25</v>
      </c>
      <c r="T94" s="283">
        <v>0.5</v>
      </c>
      <c r="U94" s="283">
        <v>0.75</v>
      </c>
      <c r="V94" s="283">
        <v>1</v>
      </c>
      <c r="W94" s="308">
        <v>0.25</v>
      </c>
      <c r="X94" s="283" t="s">
        <v>400</v>
      </c>
      <c r="Y94" s="268" t="s">
        <v>52</v>
      </c>
      <c r="Z94" s="284"/>
      <c r="AA94" s="285"/>
      <c r="AB94" s="285"/>
      <c r="AC94" s="284"/>
      <c r="AD94" s="285"/>
      <c r="AE94" s="285"/>
      <c r="AF94" s="284"/>
      <c r="AG94" s="285"/>
      <c r="AH94" s="285"/>
      <c r="AI94" s="286"/>
    </row>
    <row r="95" spans="1:35" ht="54" hidden="1" customHeight="1" outlineLevel="1" x14ac:dyDescent="0.2">
      <c r="A95" s="758"/>
      <c r="B95" s="547"/>
      <c r="C95" s="547"/>
      <c r="D95" s="729"/>
      <c r="E95" s="663"/>
      <c r="F95" s="318" t="s">
        <v>401</v>
      </c>
      <c r="G95" s="457" t="s">
        <v>397</v>
      </c>
      <c r="H95" s="7" t="s">
        <v>402</v>
      </c>
      <c r="I95" s="6" t="s">
        <v>403</v>
      </c>
      <c r="J95" s="257" t="s">
        <v>404</v>
      </c>
      <c r="K95" s="325" t="s">
        <v>52</v>
      </c>
      <c r="L95" s="325"/>
      <c r="M95" s="280">
        <v>44593</v>
      </c>
      <c r="N95" s="280">
        <v>44925</v>
      </c>
      <c r="O95" s="280">
        <v>44652</v>
      </c>
      <c r="P95" s="281">
        <f t="shared" si="0"/>
        <v>0.17771084337349397</v>
      </c>
      <c r="Q95" s="281">
        <f t="shared" si="1"/>
        <v>0.17771084337349397</v>
      </c>
      <c r="R95" s="282">
        <v>0.4</v>
      </c>
      <c r="S95" s="283">
        <v>0.25</v>
      </c>
      <c r="T95" s="283">
        <v>0.3</v>
      </c>
      <c r="U95" s="283">
        <v>0.35</v>
      </c>
      <c r="V95" s="283">
        <v>0.4</v>
      </c>
      <c r="W95" s="308">
        <v>0.05</v>
      </c>
      <c r="X95" s="283" t="s">
        <v>405</v>
      </c>
      <c r="Y95" s="268" t="s">
        <v>52</v>
      </c>
      <c r="Z95" s="284"/>
      <c r="AA95" s="285"/>
      <c r="AB95" s="285"/>
      <c r="AC95" s="284"/>
      <c r="AD95" s="285"/>
      <c r="AE95" s="285"/>
      <c r="AF95" s="284"/>
      <c r="AG95" s="285"/>
      <c r="AH95" s="285"/>
      <c r="AI95" s="286"/>
    </row>
    <row r="96" spans="1:35" ht="214.5" hidden="1" customHeight="1" outlineLevel="1" x14ac:dyDescent="0.2">
      <c r="A96" s="758"/>
      <c r="B96" s="548" t="s">
        <v>39</v>
      </c>
      <c r="C96" s="548" t="s">
        <v>40</v>
      </c>
      <c r="D96" s="537" t="s">
        <v>406</v>
      </c>
      <c r="E96" s="591" t="s">
        <v>42</v>
      </c>
      <c r="F96" s="591" t="s">
        <v>407</v>
      </c>
      <c r="G96" s="525" t="s">
        <v>408</v>
      </c>
      <c r="H96" s="304" t="s">
        <v>409</v>
      </c>
      <c r="I96" s="525" t="s">
        <v>410</v>
      </c>
      <c r="J96" s="257" t="s">
        <v>411</v>
      </c>
      <c r="K96" s="268" t="s">
        <v>52</v>
      </c>
      <c r="L96" s="268"/>
      <c r="M96" s="280">
        <v>44593</v>
      </c>
      <c r="N96" s="280">
        <v>44925</v>
      </c>
      <c r="O96" s="280">
        <v>44652</v>
      </c>
      <c r="P96" s="281">
        <f t="shared" si="0"/>
        <v>0.17771084337349397</v>
      </c>
      <c r="Q96" s="281">
        <f t="shared" si="1"/>
        <v>0.17771084337349397</v>
      </c>
      <c r="R96" s="282">
        <v>7.0000000000000007E-2</v>
      </c>
      <c r="S96" s="283">
        <v>0.06</v>
      </c>
      <c r="T96" s="283">
        <v>0.06</v>
      </c>
      <c r="U96" s="283">
        <v>7.0000000000000007E-2</v>
      </c>
      <c r="V96" s="283">
        <v>7.0000000000000007E-2</v>
      </c>
      <c r="W96" s="308">
        <v>0.2</v>
      </c>
      <c r="X96" s="283" t="s">
        <v>412</v>
      </c>
      <c r="Y96" s="352" t="s">
        <v>393</v>
      </c>
      <c r="Z96" s="284"/>
      <c r="AA96" s="285"/>
      <c r="AB96" s="285"/>
      <c r="AC96" s="284"/>
      <c r="AD96" s="285"/>
      <c r="AE96" s="285"/>
      <c r="AF96" s="284"/>
      <c r="AG96" s="285"/>
      <c r="AH96" s="285"/>
      <c r="AI96" s="286"/>
    </row>
    <row r="97" spans="1:35" ht="130.5" hidden="1" customHeight="1" outlineLevel="1" x14ac:dyDescent="0.2">
      <c r="A97" s="758"/>
      <c r="B97" s="548"/>
      <c r="C97" s="548"/>
      <c r="D97" s="603"/>
      <c r="E97" s="592"/>
      <c r="F97" s="592"/>
      <c r="G97" s="526"/>
      <c r="H97" s="304" t="s">
        <v>413</v>
      </c>
      <c r="I97" s="526"/>
      <c r="J97" s="257" t="s">
        <v>414</v>
      </c>
      <c r="K97" s="268" t="s">
        <v>52</v>
      </c>
      <c r="L97" s="268"/>
      <c r="M97" s="280">
        <v>44593</v>
      </c>
      <c r="N97" s="280">
        <v>44925</v>
      </c>
      <c r="O97" s="280">
        <v>44652</v>
      </c>
      <c r="P97" s="281">
        <f t="shared" si="0"/>
        <v>0.17771084337349397</v>
      </c>
      <c r="Q97" s="281">
        <f t="shared" si="1"/>
        <v>0.17771084337349397</v>
      </c>
      <c r="R97" s="282">
        <v>1</v>
      </c>
      <c r="S97" s="283">
        <v>0.25</v>
      </c>
      <c r="T97" s="283">
        <v>0.5</v>
      </c>
      <c r="U97" s="283">
        <v>0.75</v>
      </c>
      <c r="V97" s="283">
        <v>1</v>
      </c>
      <c r="W97" s="308">
        <v>0.25</v>
      </c>
      <c r="X97" s="283" t="s">
        <v>415</v>
      </c>
      <c r="Y97" s="352" t="s">
        <v>416</v>
      </c>
      <c r="Z97" s="284"/>
      <c r="AA97" s="285"/>
      <c r="AB97" s="285"/>
      <c r="AC97" s="284"/>
      <c r="AD97" s="285"/>
      <c r="AE97" s="285"/>
      <c r="AF97" s="284"/>
      <c r="AG97" s="285"/>
      <c r="AH97" s="285"/>
      <c r="AI97" s="286"/>
    </row>
    <row r="98" spans="1:35" ht="114" hidden="1" customHeight="1" outlineLevel="1" x14ac:dyDescent="0.2">
      <c r="A98" s="758"/>
      <c r="B98" s="548"/>
      <c r="C98" s="548"/>
      <c r="D98" s="603"/>
      <c r="E98" s="592"/>
      <c r="F98" s="592"/>
      <c r="G98" s="527"/>
      <c r="H98" s="304" t="s">
        <v>417</v>
      </c>
      <c r="I98" s="526"/>
      <c r="J98" s="257" t="s">
        <v>418</v>
      </c>
      <c r="K98" s="268" t="s">
        <v>52</v>
      </c>
      <c r="L98" s="268"/>
      <c r="M98" s="280">
        <v>44593</v>
      </c>
      <c r="N98" s="280">
        <v>44925</v>
      </c>
      <c r="O98" s="280">
        <v>44652</v>
      </c>
      <c r="P98" s="281">
        <f t="shared" si="0"/>
        <v>0.17771084337349397</v>
      </c>
      <c r="Q98" s="281">
        <f t="shared" si="1"/>
        <v>0.17771084337349397</v>
      </c>
      <c r="R98" s="282">
        <v>1</v>
      </c>
      <c r="S98" s="283">
        <v>0.25</v>
      </c>
      <c r="T98" s="283">
        <v>0.5</v>
      </c>
      <c r="U98" s="283">
        <v>0.75</v>
      </c>
      <c r="V98" s="283">
        <v>1</v>
      </c>
      <c r="W98" s="308">
        <v>0.25</v>
      </c>
      <c r="X98" s="283" t="s">
        <v>419</v>
      </c>
      <c r="Y98" s="352" t="s">
        <v>420</v>
      </c>
      <c r="Z98" s="284"/>
      <c r="AA98" s="285"/>
      <c r="AB98" s="285"/>
      <c r="AC98" s="284"/>
      <c r="AD98" s="285"/>
      <c r="AE98" s="285"/>
      <c r="AF98" s="284"/>
      <c r="AG98" s="285"/>
      <c r="AH98" s="285"/>
      <c r="AI98" s="286"/>
    </row>
    <row r="99" spans="1:35" ht="59.25" hidden="1" customHeight="1" outlineLevel="1" x14ac:dyDescent="0.2">
      <c r="A99" s="758"/>
      <c r="B99" s="548"/>
      <c r="C99" s="548"/>
      <c r="D99" s="603"/>
      <c r="E99" s="593"/>
      <c r="F99" s="593"/>
      <c r="G99" s="304" t="s">
        <v>421</v>
      </c>
      <c r="H99" s="304" t="s">
        <v>422</v>
      </c>
      <c r="I99" s="527"/>
      <c r="J99" s="257" t="s">
        <v>423</v>
      </c>
      <c r="K99" s="268" t="s">
        <v>52</v>
      </c>
      <c r="L99" s="268"/>
      <c r="M99" s="280">
        <v>44593</v>
      </c>
      <c r="N99" s="280">
        <v>44925</v>
      </c>
      <c r="O99" s="280">
        <v>44652</v>
      </c>
      <c r="P99" s="281">
        <f t="shared" si="0"/>
        <v>0.17771084337349397</v>
      </c>
      <c r="Q99" s="281">
        <f t="shared" si="1"/>
        <v>0.17771084337349397</v>
      </c>
      <c r="R99" s="282">
        <v>1</v>
      </c>
      <c r="S99" s="283">
        <v>0.25</v>
      </c>
      <c r="T99" s="283">
        <v>0.5</v>
      </c>
      <c r="U99" s="283">
        <v>0.75</v>
      </c>
      <c r="V99" s="283">
        <v>1</v>
      </c>
      <c r="W99" s="308">
        <v>0.05</v>
      </c>
      <c r="X99" s="283" t="s">
        <v>424</v>
      </c>
      <c r="Y99" s="352" t="s">
        <v>420</v>
      </c>
      <c r="Z99" s="284"/>
      <c r="AA99" s="285"/>
      <c r="AB99" s="285"/>
      <c r="AC99" s="284"/>
      <c r="AD99" s="285"/>
      <c r="AE99" s="285"/>
      <c r="AF99" s="284"/>
      <c r="AG99" s="285"/>
      <c r="AH99" s="285"/>
      <c r="AI99" s="286"/>
    </row>
    <row r="100" spans="1:35" ht="59.25" hidden="1" customHeight="1" outlineLevel="1" x14ac:dyDescent="0.2">
      <c r="A100" s="758"/>
      <c r="B100" s="548"/>
      <c r="C100" s="548" t="s">
        <v>99</v>
      </c>
      <c r="D100" s="603"/>
      <c r="E100" s="726" t="s">
        <v>425</v>
      </c>
      <c r="F100" s="726" t="s">
        <v>426</v>
      </c>
      <c r="G100" s="304" t="s">
        <v>427</v>
      </c>
      <c r="H100" s="304" t="s">
        <v>428</v>
      </c>
      <c r="I100" s="525" t="s">
        <v>429</v>
      </c>
      <c r="J100" s="257" t="s">
        <v>430</v>
      </c>
      <c r="K100" s="268" t="s">
        <v>52</v>
      </c>
      <c r="L100" s="268"/>
      <c r="M100" s="280">
        <v>44593</v>
      </c>
      <c r="N100" s="280">
        <v>44925</v>
      </c>
      <c r="O100" s="280">
        <v>44652</v>
      </c>
      <c r="P100" s="281">
        <f t="shared" si="0"/>
        <v>0.17771084337349397</v>
      </c>
      <c r="Q100" s="281">
        <f t="shared" si="1"/>
        <v>0.17771084337349397</v>
      </c>
      <c r="R100" s="282">
        <v>0.5</v>
      </c>
      <c r="S100" s="283">
        <v>0.32</v>
      </c>
      <c r="T100" s="283">
        <v>0.35</v>
      </c>
      <c r="U100" s="283">
        <v>0.42</v>
      </c>
      <c r="V100" s="283">
        <v>0.5</v>
      </c>
      <c r="W100" s="308">
        <v>0.25</v>
      </c>
      <c r="X100" s="283" t="s">
        <v>431</v>
      </c>
      <c r="Y100" s="352" t="s">
        <v>432</v>
      </c>
      <c r="Z100" s="284"/>
      <c r="AA100" s="285"/>
      <c r="AB100" s="285"/>
      <c r="AC100" s="284"/>
      <c r="AD100" s="285"/>
      <c r="AE100" s="285"/>
      <c r="AF100" s="284"/>
      <c r="AG100" s="285"/>
      <c r="AH100" s="285"/>
      <c r="AI100" s="286"/>
    </row>
    <row r="101" spans="1:35" ht="73.5" hidden="1" customHeight="1" outlineLevel="1" x14ac:dyDescent="0.2">
      <c r="A101" s="758"/>
      <c r="B101" s="548"/>
      <c r="C101" s="548"/>
      <c r="D101" s="603"/>
      <c r="E101" s="726"/>
      <c r="F101" s="726"/>
      <c r="G101" s="525" t="s">
        <v>227</v>
      </c>
      <c r="H101" s="304" t="s">
        <v>433</v>
      </c>
      <c r="I101" s="526"/>
      <c r="J101" s="257" t="s">
        <v>434</v>
      </c>
      <c r="K101" s="268" t="s">
        <v>52</v>
      </c>
      <c r="L101" s="268"/>
      <c r="M101" s="280">
        <v>44593</v>
      </c>
      <c r="N101" s="280">
        <v>44925</v>
      </c>
      <c r="O101" s="280">
        <v>44652</v>
      </c>
      <c r="P101" s="281">
        <f t="shared" si="0"/>
        <v>0.17771084337349397</v>
      </c>
      <c r="Q101" s="281">
        <f t="shared" si="1"/>
        <v>0.17771084337349397</v>
      </c>
      <c r="R101" s="282">
        <v>1</v>
      </c>
      <c r="S101" s="283">
        <v>0.25</v>
      </c>
      <c r="T101" s="283">
        <v>0.5</v>
      </c>
      <c r="U101" s="283">
        <v>0.75</v>
      </c>
      <c r="V101" s="283">
        <v>1</v>
      </c>
      <c r="W101" s="308">
        <v>0.25</v>
      </c>
      <c r="X101" s="283" t="s">
        <v>435</v>
      </c>
      <c r="Y101" s="352" t="s">
        <v>436</v>
      </c>
      <c r="Z101" s="284"/>
      <c r="AA101" s="285"/>
      <c r="AB101" s="285"/>
      <c r="AC101" s="284"/>
      <c r="AD101" s="285"/>
      <c r="AE101" s="285"/>
      <c r="AF101" s="284"/>
      <c r="AG101" s="285"/>
      <c r="AH101" s="285"/>
      <c r="AI101" s="286"/>
    </row>
    <row r="102" spans="1:35" ht="73.5" hidden="1" customHeight="1" outlineLevel="1" x14ac:dyDescent="0.2">
      <c r="A102" s="455"/>
      <c r="B102" s="548"/>
      <c r="C102" s="548"/>
      <c r="D102" s="538"/>
      <c r="E102" s="726"/>
      <c r="F102" s="726"/>
      <c r="G102" s="527"/>
      <c r="H102" s="304" t="s">
        <v>437</v>
      </c>
      <c r="I102" s="527"/>
      <c r="J102" s="257" t="s">
        <v>438</v>
      </c>
      <c r="K102" s="268" t="s">
        <v>52</v>
      </c>
      <c r="L102" s="268"/>
      <c r="M102" s="280">
        <v>44593</v>
      </c>
      <c r="N102" s="280">
        <v>44925</v>
      </c>
      <c r="O102" s="280">
        <v>44652</v>
      </c>
      <c r="P102" s="281">
        <f t="shared" ref="P102:P160" si="2">+(+_xlfn.DAYS(M102,O102))/(+_xlfn.DAYS(M102,N102))</f>
        <v>0.17771084337349397</v>
      </c>
      <c r="Q102" s="281">
        <f t="shared" si="1"/>
        <v>0.17771084337349397</v>
      </c>
      <c r="R102" s="282">
        <v>1</v>
      </c>
      <c r="S102" s="283">
        <v>0.25</v>
      </c>
      <c r="T102" s="283">
        <v>0.5</v>
      </c>
      <c r="U102" s="283">
        <v>0.75</v>
      </c>
      <c r="V102" s="283">
        <v>1</v>
      </c>
      <c r="W102" s="308">
        <v>0.25</v>
      </c>
      <c r="X102" s="283" t="s">
        <v>439</v>
      </c>
      <c r="Y102" s="354" t="s">
        <v>440</v>
      </c>
      <c r="Z102" s="284"/>
      <c r="AA102" s="285"/>
      <c r="AB102" s="285"/>
      <c r="AC102" s="284"/>
      <c r="AD102" s="285"/>
      <c r="AE102" s="285"/>
      <c r="AF102" s="284"/>
      <c r="AG102" s="285"/>
      <c r="AH102" s="285"/>
      <c r="AI102" s="286"/>
    </row>
    <row r="103" spans="1:35" ht="96" customHeight="1" collapsed="1" thickBot="1" x14ac:dyDescent="0.25">
      <c r="A103" s="747" t="s">
        <v>38</v>
      </c>
      <c r="B103" s="748"/>
      <c r="C103" s="748"/>
      <c r="D103" s="748"/>
      <c r="E103" s="748"/>
      <c r="F103" s="748"/>
      <c r="G103" s="748"/>
      <c r="H103" s="748"/>
      <c r="I103" s="748"/>
      <c r="J103" s="748"/>
      <c r="K103" s="748"/>
      <c r="L103" s="748"/>
      <c r="M103" s="748"/>
      <c r="N103" s="749"/>
      <c r="O103" s="316">
        <v>44652</v>
      </c>
      <c r="P103" s="281" t="e">
        <f t="shared" si="2"/>
        <v>#DIV/0!</v>
      </c>
      <c r="Q103" s="405">
        <f>AVERAGE(Q8:Q102)</f>
        <v>0.17771084337349355</v>
      </c>
      <c r="R103" s="406">
        <v>1</v>
      </c>
      <c r="S103" s="595"/>
      <c r="T103" s="596"/>
      <c r="U103" s="596"/>
      <c r="V103" s="597"/>
      <c r="W103" s="406">
        <f>AVERAGE(W8:W102)</f>
        <v>0.24926315789473691</v>
      </c>
      <c r="X103" s="283"/>
      <c r="Y103" s="352"/>
      <c r="Z103" s="284"/>
      <c r="AA103" s="285"/>
      <c r="AB103" s="285"/>
      <c r="AC103" s="284"/>
      <c r="AD103" s="285"/>
      <c r="AE103" s="285"/>
      <c r="AF103" s="284"/>
      <c r="AG103" s="285"/>
      <c r="AH103" s="285"/>
      <c r="AI103" s="286"/>
    </row>
    <row r="104" spans="1:35" ht="194.25" hidden="1" customHeight="1" outlineLevel="1" x14ac:dyDescent="0.2">
      <c r="A104" s="750" t="s">
        <v>441</v>
      </c>
      <c r="B104" s="706" t="s">
        <v>442</v>
      </c>
      <c r="C104" s="706" t="s">
        <v>443</v>
      </c>
      <c r="D104" s="693" t="s">
        <v>444</v>
      </c>
      <c r="E104" s="712" t="s">
        <v>445</v>
      </c>
      <c r="F104" s="712" t="s">
        <v>446</v>
      </c>
      <c r="G104" s="528" t="s">
        <v>447</v>
      </c>
      <c r="H104" s="10" t="s">
        <v>448</v>
      </c>
      <c r="I104" s="528" t="s">
        <v>449</v>
      </c>
      <c r="J104" s="12" t="s">
        <v>450</v>
      </c>
      <c r="K104" s="362">
        <v>117730000</v>
      </c>
      <c r="L104" s="362"/>
      <c r="M104" s="280">
        <v>44593</v>
      </c>
      <c r="N104" s="280">
        <v>44925</v>
      </c>
      <c r="O104" s="280">
        <v>44652</v>
      </c>
      <c r="P104" s="281">
        <f t="shared" si="2"/>
        <v>0.17771084337349397</v>
      </c>
      <c r="Q104" s="281">
        <f t="shared" si="1"/>
        <v>0.17771084337349397</v>
      </c>
      <c r="R104" s="282">
        <v>1</v>
      </c>
      <c r="S104" s="283">
        <v>0.25</v>
      </c>
      <c r="T104" s="283">
        <v>0.5</v>
      </c>
      <c r="U104" s="283">
        <v>0.75</v>
      </c>
      <c r="V104" s="283">
        <v>1</v>
      </c>
      <c r="W104" s="308">
        <v>0.25</v>
      </c>
      <c r="X104" s="283" t="s">
        <v>451</v>
      </c>
      <c r="Y104" s="352" t="s">
        <v>452</v>
      </c>
      <c r="Z104" s="284"/>
      <c r="AA104" s="285"/>
      <c r="AB104" s="285"/>
      <c r="AC104" s="284"/>
      <c r="AD104" s="285"/>
      <c r="AE104" s="285"/>
      <c r="AF104" s="284"/>
      <c r="AG104" s="285"/>
      <c r="AH104" s="285"/>
      <c r="AI104" s="286"/>
    </row>
    <row r="105" spans="1:35" ht="206.25" hidden="1" customHeight="1" outlineLevel="1" x14ac:dyDescent="0.2">
      <c r="A105" s="751"/>
      <c r="B105" s="705"/>
      <c r="C105" s="705"/>
      <c r="D105" s="694"/>
      <c r="E105" s="713"/>
      <c r="F105" s="713"/>
      <c r="G105" s="529"/>
      <c r="H105" s="10" t="s">
        <v>453</v>
      </c>
      <c r="I105" s="529"/>
      <c r="J105" s="12" t="s">
        <v>450</v>
      </c>
      <c r="K105" s="268" t="s">
        <v>454</v>
      </c>
      <c r="L105" s="268"/>
      <c r="M105" s="280">
        <v>44593</v>
      </c>
      <c r="N105" s="280">
        <v>44925</v>
      </c>
      <c r="O105" s="280">
        <v>44652</v>
      </c>
      <c r="P105" s="281">
        <f t="shared" si="2"/>
        <v>0.17771084337349397</v>
      </c>
      <c r="Q105" s="281">
        <f t="shared" si="1"/>
        <v>0.17771084337349397</v>
      </c>
      <c r="R105" s="282">
        <v>1</v>
      </c>
      <c r="S105" s="283">
        <v>0.25</v>
      </c>
      <c r="T105" s="283">
        <v>0.5</v>
      </c>
      <c r="U105" s="283">
        <v>0.75</v>
      </c>
      <c r="V105" s="283">
        <v>1</v>
      </c>
      <c r="W105" s="308">
        <v>0.25</v>
      </c>
      <c r="X105" s="283" t="s">
        <v>455</v>
      </c>
      <c r="Y105" s="352" t="s">
        <v>452</v>
      </c>
      <c r="Z105" s="284"/>
      <c r="AA105" s="285"/>
      <c r="AB105" s="285"/>
      <c r="AC105" s="284"/>
      <c r="AD105" s="285"/>
      <c r="AE105" s="285"/>
      <c r="AF105" s="284"/>
      <c r="AG105" s="285"/>
      <c r="AH105" s="285"/>
      <c r="AI105" s="286"/>
    </row>
    <row r="106" spans="1:35" ht="174" hidden="1" customHeight="1" outlineLevel="1" x14ac:dyDescent="0.2">
      <c r="A106" s="751"/>
      <c r="B106" s="705"/>
      <c r="C106" s="705"/>
      <c r="D106" s="694"/>
      <c r="E106" s="713"/>
      <c r="F106" s="713"/>
      <c r="G106" s="529"/>
      <c r="H106" s="10" t="s">
        <v>456</v>
      </c>
      <c r="I106" s="529"/>
      <c r="J106" s="12" t="s">
        <v>450</v>
      </c>
      <c r="K106" s="268" t="s">
        <v>454</v>
      </c>
      <c r="L106" s="268"/>
      <c r="M106" s="280">
        <v>44593</v>
      </c>
      <c r="N106" s="280">
        <v>44925</v>
      </c>
      <c r="O106" s="280">
        <v>44652</v>
      </c>
      <c r="P106" s="281">
        <f t="shared" si="2"/>
        <v>0.17771084337349397</v>
      </c>
      <c r="Q106" s="281">
        <f t="shared" si="1"/>
        <v>0.17771084337349397</v>
      </c>
      <c r="R106" s="282">
        <v>1</v>
      </c>
      <c r="S106" s="283">
        <v>0.25</v>
      </c>
      <c r="T106" s="283">
        <v>0.5</v>
      </c>
      <c r="U106" s="283">
        <v>0.75</v>
      </c>
      <c r="V106" s="283">
        <v>1</v>
      </c>
      <c r="W106" s="308">
        <v>0.25</v>
      </c>
      <c r="X106" s="283" t="s">
        <v>457</v>
      </c>
      <c r="Y106" s="352" t="s">
        <v>458</v>
      </c>
      <c r="Z106" s="284"/>
      <c r="AA106" s="285"/>
      <c r="AB106" s="285"/>
      <c r="AC106" s="284"/>
      <c r="AD106" s="285"/>
      <c r="AE106" s="285"/>
      <c r="AF106" s="284"/>
      <c r="AG106" s="285"/>
      <c r="AH106" s="285"/>
      <c r="AI106" s="286"/>
    </row>
    <row r="107" spans="1:35" ht="206.25" hidden="1" customHeight="1" outlineLevel="1" x14ac:dyDescent="0.2">
      <c r="A107" s="751"/>
      <c r="B107" s="705"/>
      <c r="C107" s="705"/>
      <c r="D107" s="694"/>
      <c r="E107" s="713"/>
      <c r="F107" s="713"/>
      <c r="G107" s="529"/>
      <c r="H107" s="10" t="s">
        <v>459</v>
      </c>
      <c r="I107" s="529"/>
      <c r="J107" s="12" t="s">
        <v>450</v>
      </c>
      <c r="K107" s="268" t="s">
        <v>454</v>
      </c>
      <c r="L107" s="268"/>
      <c r="M107" s="280">
        <v>44593</v>
      </c>
      <c r="N107" s="280">
        <v>44925</v>
      </c>
      <c r="O107" s="280">
        <v>44652</v>
      </c>
      <c r="P107" s="281">
        <f t="shared" si="2"/>
        <v>0.17771084337349397</v>
      </c>
      <c r="Q107" s="281">
        <f t="shared" si="1"/>
        <v>0.17771084337349397</v>
      </c>
      <c r="R107" s="282">
        <v>1</v>
      </c>
      <c r="S107" s="283">
        <v>0.25</v>
      </c>
      <c r="T107" s="283">
        <v>0.5</v>
      </c>
      <c r="U107" s="283">
        <v>0.75</v>
      </c>
      <c r="V107" s="283">
        <v>1</v>
      </c>
      <c r="W107" s="308">
        <v>0.25</v>
      </c>
      <c r="X107" s="283" t="s">
        <v>460</v>
      </c>
      <c r="Y107" s="352" t="s">
        <v>458</v>
      </c>
      <c r="Z107" s="284"/>
      <c r="AA107" s="285"/>
      <c r="AB107" s="285"/>
      <c r="AC107" s="284"/>
      <c r="AD107" s="285"/>
      <c r="AE107" s="285"/>
      <c r="AF107" s="284"/>
      <c r="AG107" s="285"/>
      <c r="AH107" s="285"/>
      <c r="AI107" s="286"/>
    </row>
    <row r="108" spans="1:35" ht="93.75" hidden="1" customHeight="1" outlineLevel="1" x14ac:dyDescent="0.2">
      <c r="A108" s="751"/>
      <c r="B108" s="705"/>
      <c r="C108" s="705"/>
      <c r="D108" s="694"/>
      <c r="E108" s="713"/>
      <c r="F108" s="713"/>
      <c r="G108" s="529"/>
      <c r="H108" s="10" t="s">
        <v>461</v>
      </c>
      <c r="I108" s="529"/>
      <c r="J108" s="12" t="s">
        <v>450</v>
      </c>
      <c r="K108" s="268" t="s">
        <v>116</v>
      </c>
      <c r="L108" s="268"/>
      <c r="M108" s="280">
        <v>44593</v>
      </c>
      <c r="N108" s="280">
        <v>44925</v>
      </c>
      <c r="O108" s="280">
        <v>44652</v>
      </c>
      <c r="P108" s="281">
        <f t="shared" si="2"/>
        <v>0.17771084337349397</v>
      </c>
      <c r="Q108" s="281">
        <f t="shared" si="1"/>
        <v>0.17771084337349397</v>
      </c>
      <c r="R108" s="282">
        <v>1</v>
      </c>
      <c r="S108" s="283">
        <v>0.25</v>
      </c>
      <c r="T108" s="283">
        <v>0.5</v>
      </c>
      <c r="U108" s="283">
        <v>0.75</v>
      </c>
      <c r="V108" s="283">
        <v>1</v>
      </c>
      <c r="W108" s="308">
        <v>0.25</v>
      </c>
      <c r="X108" s="283" t="s">
        <v>462</v>
      </c>
      <c r="Y108" s="352" t="s">
        <v>458</v>
      </c>
      <c r="Z108" s="284"/>
      <c r="AA108" s="285"/>
      <c r="AB108" s="285"/>
      <c r="AC108" s="284"/>
      <c r="AD108" s="285"/>
      <c r="AE108" s="285"/>
      <c r="AF108" s="284"/>
      <c r="AG108" s="285"/>
      <c r="AH108" s="285"/>
      <c r="AI108" s="286"/>
    </row>
    <row r="109" spans="1:35" ht="56.25" hidden="1" customHeight="1" outlineLevel="1" x14ac:dyDescent="0.2">
      <c r="A109" s="751"/>
      <c r="B109" s="705"/>
      <c r="C109" s="705"/>
      <c r="D109" s="694"/>
      <c r="E109" s="713"/>
      <c r="F109" s="713"/>
      <c r="G109" s="529"/>
      <c r="H109" s="10" t="s">
        <v>463</v>
      </c>
      <c r="I109" s="529"/>
      <c r="J109" s="12" t="s">
        <v>450</v>
      </c>
      <c r="K109" s="268" t="s">
        <v>116</v>
      </c>
      <c r="L109" s="268"/>
      <c r="M109" s="280">
        <v>44593</v>
      </c>
      <c r="N109" s="280">
        <v>44925</v>
      </c>
      <c r="O109" s="280">
        <v>44652</v>
      </c>
      <c r="P109" s="281">
        <f t="shared" si="2"/>
        <v>0.17771084337349397</v>
      </c>
      <c r="Q109" s="281">
        <f t="shared" si="1"/>
        <v>0.17771084337349397</v>
      </c>
      <c r="R109" s="282">
        <v>1</v>
      </c>
      <c r="S109" s="283">
        <v>0.25</v>
      </c>
      <c r="T109" s="283">
        <v>0.5</v>
      </c>
      <c r="U109" s="283">
        <v>0.75</v>
      </c>
      <c r="V109" s="283">
        <v>1</v>
      </c>
      <c r="W109" s="308">
        <v>0.25</v>
      </c>
      <c r="X109" s="283" t="s">
        <v>462</v>
      </c>
      <c r="Y109" s="352" t="s">
        <v>458</v>
      </c>
      <c r="Z109" s="284"/>
      <c r="AA109" s="285"/>
      <c r="AB109" s="285"/>
      <c r="AC109" s="284"/>
      <c r="AD109" s="285"/>
      <c r="AE109" s="285"/>
      <c r="AF109" s="284"/>
      <c r="AG109" s="285"/>
      <c r="AH109" s="285"/>
      <c r="AI109" s="286"/>
    </row>
    <row r="110" spans="1:35" ht="56.25" hidden="1" customHeight="1" outlineLevel="1" x14ac:dyDescent="0.2">
      <c r="A110" s="751"/>
      <c r="B110" s="705"/>
      <c r="C110" s="705"/>
      <c r="D110" s="694"/>
      <c r="E110" s="713"/>
      <c r="F110" s="713"/>
      <c r="G110" s="529"/>
      <c r="H110" s="10" t="s">
        <v>464</v>
      </c>
      <c r="I110" s="529"/>
      <c r="J110" s="12" t="s">
        <v>450</v>
      </c>
      <c r="K110" s="268" t="s">
        <v>116</v>
      </c>
      <c r="L110" s="268"/>
      <c r="M110" s="280">
        <v>44593</v>
      </c>
      <c r="N110" s="280">
        <v>44925</v>
      </c>
      <c r="O110" s="280">
        <v>44652</v>
      </c>
      <c r="P110" s="281">
        <f t="shared" si="2"/>
        <v>0.17771084337349397</v>
      </c>
      <c r="Q110" s="281">
        <f t="shared" si="1"/>
        <v>0.17771084337349397</v>
      </c>
      <c r="R110" s="282">
        <v>1</v>
      </c>
      <c r="S110" s="283">
        <v>0.25</v>
      </c>
      <c r="T110" s="283">
        <v>0.5</v>
      </c>
      <c r="U110" s="283">
        <v>0.75</v>
      </c>
      <c r="V110" s="283">
        <v>1</v>
      </c>
      <c r="W110" s="308">
        <v>0.25</v>
      </c>
      <c r="X110" s="283" t="s">
        <v>462</v>
      </c>
      <c r="Y110" s="352" t="s">
        <v>458</v>
      </c>
      <c r="Z110" s="284"/>
      <c r="AA110" s="285"/>
      <c r="AB110" s="285"/>
      <c r="AC110" s="284"/>
      <c r="AD110" s="285"/>
      <c r="AE110" s="285"/>
      <c r="AF110" s="284"/>
      <c r="AG110" s="285"/>
      <c r="AH110" s="285"/>
      <c r="AI110" s="286"/>
    </row>
    <row r="111" spans="1:35" ht="93.75" hidden="1" customHeight="1" outlineLevel="1" x14ac:dyDescent="0.2">
      <c r="A111" s="751"/>
      <c r="B111" s="705"/>
      <c r="C111" s="705"/>
      <c r="D111" s="694"/>
      <c r="E111" s="713"/>
      <c r="F111" s="713"/>
      <c r="G111" s="529"/>
      <c r="H111" s="10" t="s">
        <v>465</v>
      </c>
      <c r="I111" s="529"/>
      <c r="J111" s="12" t="s">
        <v>450</v>
      </c>
      <c r="K111" s="268" t="s">
        <v>116</v>
      </c>
      <c r="L111" s="268"/>
      <c r="M111" s="280">
        <v>44593</v>
      </c>
      <c r="N111" s="280">
        <v>44925</v>
      </c>
      <c r="O111" s="280">
        <v>44652</v>
      </c>
      <c r="P111" s="281">
        <f t="shared" si="2"/>
        <v>0.17771084337349397</v>
      </c>
      <c r="Q111" s="281">
        <f t="shared" si="1"/>
        <v>0.17771084337349397</v>
      </c>
      <c r="R111" s="282">
        <v>1</v>
      </c>
      <c r="S111" s="283">
        <v>0.25</v>
      </c>
      <c r="T111" s="283">
        <v>0.5</v>
      </c>
      <c r="U111" s="283">
        <v>0.75</v>
      </c>
      <c r="V111" s="283">
        <v>1</v>
      </c>
      <c r="W111" s="308">
        <v>0.15</v>
      </c>
      <c r="X111" s="283" t="s">
        <v>466</v>
      </c>
      <c r="Y111" s="352" t="s">
        <v>467</v>
      </c>
      <c r="Z111" s="284"/>
      <c r="AA111" s="285"/>
      <c r="AB111" s="285"/>
      <c r="AC111" s="284"/>
      <c r="AD111" s="285"/>
      <c r="AE111" s="285"/>
      <c r="AF111" s="284"/>
      <c r="AG111" s="285"/>
      <c r="AH111" s="285"/>
      <c r="AI111" s="286"/>
    </row>
    <row r="112" spans="1:35" ht="56.25" hidden="1" customHeight="1" outlineLevel="1" x14ac:dyDescent="0.2">
      <c r="A112" s="751"/>
      <c r="B112" s="705"/>
      <c r="C112" s="705"/>
      <c r="D112" s="694"/>
      <c r="E112" s="713"/>
      <c r="F112" s="713"/>
      <c r="G112" s="529"/>
      <c r="H112" s="10" t="s">
        <v>468</v>
      </c>
      <c r="I112" s="529"/>
      <c r="J112" s="12" t="s">
        <v>450</v>
      </c>
      <c r="K112" s="268" t="s">
        <v>116</v>
      </c>
      <c r="L112" s="268"/>
      <c r="M112" s="280">
        <v>44593</v>
      </c>
      <c r="N112" s="280">
        <v>44925</v>
      </c>
      <c r="O112" s="280">
        <v>44652</v>
      </c>
      <c r="P112" s="281">
        <f t="shared" si="2"/>
        <v>0.17771084337349397</v>
      </c>
      <c r="Q112" s="281">
        <f t="shared" si="1"/>
        <v>0.17771084337349397</v>
      </c>
      <c r="R112" s="282">
        <v>1</v>
      </c>
      <c r="S112" s="283">
        <v>0.25</v>
      </c>
      <c r="T112" s="283">
        <v>0.5</v>
      </c>
      <c r="U112" s="283">
        <v>0.75</v>
      </c>
      <c r="V112" s="283">
        <v>1</v>
      </c>
      <c r="W112" s="308">
        <v>0.15</v>
      </c>
      <c r="X112" s="283" t="s">
        <v>466</v>
      </c>
      <c r="Y112" s="352" t="s">
        <v>467</v>
      </c>
      <c r="Z112" s="284"/>
      <c r="AA112" s="285"/>
      <c r="AB112" s="285"/>
      <c r="AC112" s="284"/>
      <c r="AD112" s="285"/>
      <c r="AE112" s="285"/>
      <c r="AF112" s="284"/>
      <c r="AG112" s="285"/>
      <c r="AH112" s="285"/>
      <c r="AI112" s="286"/>
    </row>
    <row r="113" spans="1:35" ht="75" hidden="1" customHeight="1" outlineLevel="1" x14ac:dyDescent="0.2">
      <c r="A113" s="751"/>
      <c r="B113" s="705"/>
      <c r="C113" s="705"/>
      <c r="D113" s="694"/>
      <c r="E113" s="713"/>
      <c r="F113" s="713"/>
      <c r="G113" s="529"/>
      <c r="H113" s="10" t="s">
        <v>469</v>
      </c>
      <c r="I113" s="529"/>
      <c r="J113" s="12" t="s">
        <v>450</v>
      </c>
      <c r="K113" s="268" t="s">
        <v>116</v>
      </c>
      <c r="L113" s="268"/>
      <c r="M113" s="280">
        <v>44593</v>
      </c>
      <c r="N113" s="280">
        <v>44925</v>
      </c>
      <c r="O113" s="280">
        <v>44652</v>
      </c>
      <c r="P113" s="281">
        <f t="shared" si="2"/>
        <v>0.17771084337349397</v>
      </c>
      <c r="Q113" s="281">
        <f t="shared" si="1"/>
        <v>0.17771084337349397</v>
      </c>
      <c r="R113" s="282">
        <v>1</v>
      </c>
      <c r="S113" s="283">
        <v>0.25</v>
      </c>
      <c r="T113" s="283">
        <v>0.5</v>
      </c>
      <c r="U113" s="283">
        <v>0.75</v>
      </c>
      <c r="V113" s="283">
        <v>1</v>
      </c>
      <c r="W113" s="308">
        <v>0.15</v>
      </c>
      <c r="X113" s="283" t="s">
        <v>466</v>
      </c>
      <c r="Y113" s="352" t="s">
        <v>467</v>
      </c>
      <c r="Z113" s="284"/>
      <c r="AA113" s="285"/>
      <c r="AB113" s="285"/>
      <c r="AC113" s="284"/>
      <c r="AD113" s="285"/>
      <c r="AE113" s="285"/>
      <c r="AF113" s="284"/>
      <c r="AG113" s="285"/>
      <c r="AH113" s="285"/>
      <c r="AI113" s="286"/>
    </row>
    <row r="114" spans="1:35" ht="75" hidden="1" customHeight="1" outlineLevel="1" x14ac:dyDescent="0.2">
      <c r="A114" s="751"/>
      <c r="B114" s="705"/>
      <c r="C114" s="705"/>
      <c r="D114" s="694"/>
      <c r="E114" s="713"/>
      <c r="F114" s="713"/>
      <c r="G114" s="529"/>
      <c r="H114" s="10" t="s">
        <v>470</v>
      </c>
      <c r="I114" s="529"/>
      <c r="J114" s="12" t="s">
        <v>450</v>
      </c>
      <c r="K114" s="268" t="s">
        <v>116</v>
      </c>
      <c r="L114" s="268"/>
      <c r="M114" s="280">
        <v>44593</v>
      </c>
      <c r="N114" s="280">
        <v>44925</v>
      </c>
      <c r="O114" s="280">
        <v>44652</v>
      </c>
      <c r="P114" s="281">
        <f t="shared" si="2"/>
        <v>0.17771084337349397</v>
      </c>
      <c r="Q114" s="281">
        <f t="shared" si="1"/>
        <v>0.17771084337349397</v>
      </c>
      <c r="R114" s="282">
        <v>1</v>
      </c>
      <c r="S114" s="283">
        <v>0.25</v>
      </c>
      <c r="T114" s="283">
        <v>0.5</v>
      </c>
      <c r="U114" s="283">
        <v>0.75</v>
      </c>
      <c r="V114" s="283">
        <v>1</v>
      </c>
      <c r="W114" s="308">
        <v>0.15</v>
      </c>
      <c r="X114" s="283" t="s">
        <v>466</v>
      </c>
      <c r="Y114" s="352" t="s">
        <v>467</v>
      </c>
      <c r="Z114" s="284"/>
      <c r="AA114" s="285"/>
      <c r="AB114" s="285"/>
      <c r="AC114" s="284"/>
      <c r="AD114" s="285"/>
      <c r="AE114" s="285"/>
      <c r="AF114" s="284"/>
      <c r="AG114" s="285"/>
      <c r="AH114" s="285"/>
      <c r="AI114" s="286"/>
    </row>
    <row r="115" spans="1:35" ht="93.75" hidden="1" customHeight="1" outlineLevel="1" x14ac:dyDescent="0.2">
      <c r="A115" s="751"/>
      <c r="B115" s="705"/>
      <c r="C115" s="705"/>
      <c r="D115" s="694"/>
      <c r="E115" s="713"/>
      <c r="F115" s="713"/>
      <c r="G115" s="529"/>
      <c r="H115" s="10" t="s">
        <v>471</v>
      </c>
      <c r="I115" s="529"/>
      <c r="J115" s="12" t="s">
        <v>450</v>
      </c>
      <c r="K115" s="268" t="s">
        <v>116</v>
      </c>
      <c r="L115" s="268"/>
      <c r="M115" s="280">
        <v>44593</v>
      </c>
      <c r="N115" s="280">
        <v>44925</v>
      </c>
      <c r="O115" s="280">
        <v>44652</v>
      </c>
      <c r="P115" s="281">
        <f t="shared" si="2"/>
        <v>0.17771084337349397</v>
      </c>
      <c r="Q115" s="281">
        <f t="shared" si="1"/>
        <v>0.17771084337349397</v>
      </c>
      <c r="R115" s="282">
        <v>1</v>
      </c>
      <c r="S115" s="283">
        <v>0.25</v>
      </c>
      <c r="T115" s="283">
        <v>0.5</v>
      </c>
      <c r="U115" s="283">
        <v>0.75</v>
      </c>
      <c r="V115" s="283">
        <v>1</v>
      </c>
      <c r="W115" s="308">
        <v>0.15</v>
      </c>
      <c r="X115" s="283" t="s">
        <v>466</v>
      </c>
      <c r="Y115" s="352" t="s">
        <v>467</v>
      </c>
      <c r="Z115" s="284"/>
      <c r="AA115" s="285"/>
      <c r="AB115" s="285"/>
      <c r="AC115" s="284"/>
      <c r="AD115" s="285"/>
      <c r="AE115" s="285"/>
      <c r="AF115" s="284"/>
      <c r="AG115" s="285"/>
      <c r="AH115" s="285"/>
      <c r="AI115" s="286"/>
    </row>
    <row r="116" spans="1:35" ht="56.25" hidden="1" customHeight="1" outlineLevel="1" x14ac:dyDescent="0.2">
      <c r="A116" s="751"/>
      <c r="B116" s="705"/>
      <c r="C116" s="705"/>
      <c r="D116" s="694"/>
      <c r="E116" s="713"/>
      <c r="F116" s="713"/>
      <c r="G116" s="529"/>
      <c r="H116" s="10" t="s">
        <v>472</v>
      </c>
      <c r="I116" s="529"/>
      <c r="J116" s="12" t="s">
        <v>450</v>
      </c>
      <c r="K116" s="268" t="s">
        <v>116</v>
      </c>
      <c r="L116" s="268"/>
      <c r="M116" s="280">
        <v>44593</v>
      </c>
      <c r="N116" s="280">
        <v>44925</v>
      </c>
      <c r="O116" s="280">
        <v>44652</v>
      </c>
      <c r="P116" s="281">
        <f t="shared" si="2"/>
        <v>0.17771084337349397</v>
      </c>
      <c r="Q116" s="281">
        <f t="shared" si="1"/>
        <v>0.17771084337349397</v>
      </c>
      <c r="R116" s="282">
        <v>1</v>
      </c>
      <c r="S116" s="283">
        <v>0.25</v>
      </c>
      <c r="T116" s="283">
        <v>0.5</v>
      </c>
      <c r="U116" s="283">
        <v>0.75</v>
      </c>
      <c r="V116" s="283">
        <v>1</v>
      </c>
      <c r="W116" s="308">
        <v>0.1</v>
      </c>
      <c r="X116" s="283" t="s">
        <v>473</v>
      </c>
      <c r="Y116" s="352" t="s">
        <v>52</v>
      </c>
      <c r="Z116" s="284"/>
      <c r="AA116" s="285"/>
      <c r="AB116" s="285"/>
      <c r="AC116" s="284"/>
      <c r="AD116" s="285"/>
      <c r="AE116" s="285"/>
      <c r="AF116" s="284"/>
      <c r="AG116" s="285"/>
      <c r="AH116" s="285"/>
      <c r="AI116" s="286"/>
    </row>
    <row r="117" spans="1:35" ht="56.25" hidden="1" customHeight="1" outlineLevel="1" x14ac:dyDescent="0.2">
      <c r="A117" s="751"/>
      <c r="B117" s="705"/>
      <c r="C117" s="705"/>
      <c r="D117" s="694"/>
      <c r="E117" s="713"/>
      <c r="F117" s="713"/>
      <c r="G117" s="529"/>
      <c r="H117" s="10" t="s">
        <v>474</v>
      </c>
      <c r="I117" s="529"/>
      <c r="J117" s="12" t="s">
        <v>450</v>
      </c>
      <c r="K117" s="268" t="s">
        <v>116</v>
      </c>
      <c r="L117" s="268"/>
      <c r="M117" s="280">
        <v>44593</v>
      </c>
      <c r="N117" s="280">
        <v>44925</v>
      </c>
      <c r="O117" s="280">
        <v>44652</v>
      </c>
      <c r="P117" s="281">
        <f t="shared" si="2"/>
        <v>0.17771084337349397</v>
      </c>
      <c r="Q117" s="281">
        <f t="shared" si="1"/>
        <v>0.17771084337349397</v>
      </c>
      <c r="R117" s="282">
        <v>1</v>
      </c>
      <c r="S117" s="283">
        <v>0.25</v>
      </c>
      <c r="T117" s="283">
        <v>0.5</v>
      </c>
      <c r="U117" s="283">
        <v>0.75</v>
      </c>
      <c r="V117" s="283">
        <v>1</v>
      </c>
      <c r="W117" s="308">
        <v>0.15</v>
      </c>
      <c r="X117" s="283" t="s">
        <v>466</v>
      </c>
      <c r="Y117" s="352" t="s">
        <v>467</v>
      </c>
      <c r="Z117" s="284"/>
      <c r="AA117" s="285"/>
      <c r="AB117" s="285"/>
      <c r="AC117" s="284"/>
      <c r="AD117" s="285"/>
      <c r="AE117" s="285"/>
      <c r="AF117" s="284"/>
      <c r="AG117" s="285"/>
      <c r="AH117" s="285"/>
      <c r="AI117" s="286"/>
    </row>
    <row r="118" spans="1:35" ht="68.25" hidden="1" customHeight="1" outlineLevel="1" x14ac:dyDescent="0.2">
      <c r="A118" s="751"/>
      <c r="B118" s="705"/>
      <c r="C118" s="705"/>
      <c r="D118" s="694"/>
      <c r="E118" s="713"/>
      <c r="F118" s="713"/>
      <c r="G118" s="529"/>
      <c r="H118" s="10" t="s">
        <v>475</v>
      </c>
      <c r="I118" s="529"/>
      <c r="J118" s="12" t="s">
        <v>450</v>
      </c>
      <c r="K118" s="268" t="s">
        <v>116</v>
      </c>
      <c r="L118" s="268"/>
      <c r="M118" s="280">
        <v>44593</v>
      </c>
      <c r="N118" s="280">
        <v>44925</v>
      </c>
      <c r="O118" s="280">
        <v>44652</v>
      </c>
      <c r="P118" s="281">
        <f t="shared" si="2"/>
        <v>0.17771084337349397</v>
      </c>
      <c r="Q118" s="281">
        <f t="shared" si="1"/>
        <v>0.17771084337349397</v>
      </c>
      <c r="R118" s="282">
        <v>1</v>
      </c>
      <c r="S118" s="283">
        <v>0.25</v>
      </c>
      <c r="T118" s="283">
        <v>0.5</v>
      </c>
      <c r="U118" s="283">
        <v>0.75</v>
      </c>
      <c r="V118" s="283">
        <v>1</v>
      </c>
      <c r="W118" s="308">
        <v>0.15</v>
      </c>
      <c r="X118" s="283" t="s">
        <v>466</v>
      </c>
      <c r="Y118" s="352" t="s">
        <v>52</v>
      </c>
      <c r="Z118" s="284"/>
      <c r="AA118" s="285"/>
      <c r="AB118" s="285"/>
      <c r="AC118" s="284"/>
      <c r="AD118" s="285"/>
      <c r="AE118" s="285"/>
      <c r="AF118" s="284"/>
      <c r="AG118" s="285"/>
      <c r="AH118" s="285"/>
      <c r="AI118" s="286"/>
    </row>
    <row r="119" spans="1:35" ht="67.5" hidden="1" customHeight="1" outlineLevel="1" x14ac:dyDescent="0.2">
      <c r="A119" s="751"/>
      <c r="B119" s="705"/>
      <c r="C119" s="705"/>
      <c r="D119" s="694"/>
      <c r="E119" s="713"/>
      <c r="F119" s="713"/>
      <c r="G119" s="529"/>
      <c r="H119" s="10" t="s">
        <v>476</v>
      </c>
      <c r="I119" s="529"/>
      <c r="J119" s="12" t="s">
        <v>450</v>
      </c>
      <c r="K119" s="268" t="s">
        <v>116</v>
      </c>
      <c r="L119" s="268"/>
      <c r="M119" s="280">
        <v>44593</v>
      </c>
      <c r="N119" s="280">
        <v>44925</v>
      </c>
      <c r="O119" s="280">
        <v>44652</v>
      </c>
      <c r="P119" s="281">
        <f t="shared" si="2"/>
        <v>0.17771084337349397</v>
      </c>
      <c r="Q119" s="281">
        <f t="shared" si="1"/>
        <v>0.17771084337349397</v>
      </c>
      <c r="R119" s="282">
        <v>1</v>
      </c>
      <c r="S119" s="283">
        <v>0.25</v>
      </c>
      <c r="T119" s="283">
        <v>0.5</v>
      </c>
      <c r="U119" s="283">
        <v>0.75</v>
      </c>
      <c r="V119" s="283">
        <v>1</v>
      </c>
      <c r="W119" s="308">
        <v>0.15</v>
      </c>
      <c r="X119" s="283" t="s">
        <v>466</v>
      </c>
      <c r="Y119" s="352" t="s">
        <v>467</v>
      </c>
      <c r="Z119" s="284"/>
      <c r="AA119" s="285"/>
      <c r="AB119" s="285"/>
      <c r="AC119" s="284"/>
      <c r="AD119" s="285"/>
      <c r="AE119" s="285"/>
      <c r="AF119" s="284"/>
      <c r="AG119" s="285"/>
      <c r="AH119" s="285"/>
      <c r="AI119" s="286"/>
    </row>
    <row r="120" spans="1:35" ht="75" hidden="1" customHeight="1" outlineLevel="1" x14ac:dyDescent="0.2">
      <c r="A120" s="751"/>
      <c r="B120" s="705"/>
      <c r="C120" s="705"/>
      <c r="D120" s="694"/>
      <c r="E120" s="713"/>
      <c r="F120" s="713"/>
      <c r="G120" s="529"/>
      <c r="H120" s="269" t="s">
        <v>477</v>
      </c>
      <c r="I120" s="529"/>
      <c r="J120" s="12" t="s">
        <v>450</v>
      </c>
      <c r="K120" s="268" t="s">
        <v>116</v>
      </c>
      <c r="L120" s="268"/>
      <c r="M120" s="280">
        <v>44593</v>
      </c>
      <c r="N120" s="280">
        <v>44925</v>
      </c>
      <c r="O120" s="280">
        <v>44652</v>
      </c>
      <c r="P120" s="281">
        <f t="shared" si="2"/>
        <v>0.17771084337349397</v>
      </c>
      <c r="Q120" s="281">
        <f t="shared" si="1"/>
        <v>0.17771084337349397</v>
      </c>
      <c r="R120" s="282">
        <v>1</v>
      </c>
      <c r="S120" s="283">
        <v>0.25</v>
      </c>
      <c r="T120" s="283">
        <v>0.5</v>
      </c>
      <c r="U120" s="283">
        <v>0.75</v>
      </c>
      <c r="V120" s="283">
        <v>1</v>
      </c>
      <c r="W120" s="308">
        <v>0</v>
      </c>
      <c r="X120" s="370" t="s">
        <v>478</v>
      </c>
      <c r="Y120" s="352"/>
      <c r="Z120" s="284"/>
      <c r="AA120" s="285"/>
      <c r="AB120" s="285"/>
      <c r="AC120" s="284"/>
      <c r="AD120" s="285"/>
      <c r="AE120" s="285"/>
      <c r="AF120" s="284"/>
      <c r="AG120" s="285"/>
      <c r="AH120" s="285"/>
      <c r="AI120" s="286"/>
    </row>
    <row r="121" spans="1:35" ht="56.25" hidden="1" customHeight="1" outlineLevel="1" x14ac:dyDescent="0.2">
      <c r="A121" s="751"/>
      <c r="B121" s="705"/>
      <c r="C121" s="705"/>
      <c r="D121" s="694"/>
      <c r="E121" s="713"/>
      <c r="F121" s="713"/>
      <c r="G121" s="529"/>
      <c r="H121" s="269" t="s">
        <v>479</v>
      </c>
      <c r="I121" s="529"/>
      <c r="J121" s="12" t="s">
        <v>450</v>
      </c>
      <c r="K121" s="268" t="s">
        <v>116</v>
      </c>
      <c r="L121" s="268"/>
      <c r="M121" s="280">
        <v>44593</v>
      </c>
      <c r="N121" s="280">
        <v>44925</v>
      </c>
      <c r="O121" s="280">
        <v>44652</v>
      </c>
      <c r="P121" s="281">
        <f t="shared" ref="P121:P128" si="3">+(+_xlfn.DAYS(M121,O121))/(+_xlfn.DAYS(M121,N121))</f>
        <v>0.17771084337349397</v>
      </c>
      <c r="Q121" s="281">
        <f t="shared" ref="Q121:Q128" si="4">+IF(P121&gt;=100,100,IF(P121&lt;=0,0,P121))</f>
        <v>0.17771084337349397</v>
      </c>
      <c r="R121" s="282">
        <v>1</v>
      </c>
      <c r="S121" s="283">
        <v>0.25</v>
      </c>
      <c r="T121" s="283">
        <v>0.5</v>
      </c>
      <c r="U121" s="283">
        <v>0.75</v>
      </c>
      <c r="V121" s="283">
        <v>1</v>
      </c>
      <c r="W121" s="308">
        <v>0</v>
      </c>
      <c r="X121" s="370" t="s">
        <v>478</v>
      </c>
      <c r="Y121" s="352"/>
      <c r="Z121" s="284"/>
      <c r="AA121" s="285"/>
      <c r="AB121" s="285"/>
      <c r="AC121" s="284"/>
      <c r="AD121" s="285"/>
      <c r="AE121" s="285"/>
      <c r="AF121" s="284"/>
      <c r="AG121" s="285"/>
      <c r="AH121" s="285"/>
      <c r="AI121" s="286"/>
    </row>
    <row r="122" spans="1:35" ht="75" hidden="1" customHeight="1" outlineLevel="1" x14ac:dyDescent="0.2">
      <c r="A122" s="751"/>
      <c r="B122" s="705"/>
      <c r="C122" s="705"/>
      <c r="D122" s="694"/>
      <c r="E122" s="713"/>
      <c r="F122" s="713"/>
      <c r="G122" s="529"/>
      <c r="H122" s="269" t="s">
        <v>480</v>
      </c>
      <c r="I122" s="529"/>
      <c r="J122" s="12" t="s">
        <v>450</v>
      </c>
      <c r="K122" s="268" t="s">
        <v>116</v>
      </c>
      <c r="L122" s="268"/>
      <c r="M122" s="280">
        <v>44593</v>
      </c>
      <c r="N122" s="280">
        <v>44925</v>
      </c>
      <c r="O122" s="280">
        <v>44652</v>
      </c>
      <c r="P122" s="281">
        <f t="shared" si="3"/>
        <v>0.17771084337349397</v>
      </c>
      <c r="Q122" s="281">
        <f t="shared" si="4"/>
        <v>0.17771084337349397</v>
      </c>
      <c r="R122" s="282">
        <v>1</v>
      </c>
      <c r="S122" s="283">
        <v>0.25</v>
      </c>
      <c r="T122" s="283">
        <v>0.5</v>
      </c>
      <c r="U122" s="283">
        <v>0.75</v>
      </c>
      <c r="V122" s="283">
        <v>1</v>
      </c>
      <c r="W122" s="308">
        <v>0</v>
      </c>
      <c r="X122" s="370" t="s">
        <v>478</v>
      </c>
      <c r="Y122" s="352"/>
      <c r="Z122" s="284"/>
      <c r="AA122" s="285"/>
      <c r="AB122" s="285"/>
      <c r="AC122" s="284"/>
      <c r="AD122" s="285"/>
      <c r="AE122" s="285"/>
      <c r="AF122" s="284"/>
      <c r="AG122" s="285"/>
      <c r="AH122" s="285"/>
      <c r="AI122" s="286"/>
    </row>
    <row r="123" spans="1:35" ht="75" hidden="1" customHeight="1" outlineLevel="1" x14ac:dyDescent="0.2">
      <c r="A123" s="751"/>
      <c r="B123" s="705"/>
      <c r="C123" s="705"/>
      <c r="D123" s="694"/>
      <c r="E123" s="713"/>
      <c r="F123" s="713"/>
      <c r="G123" s="529"/>
      <c r="H123" s="269" t="s">
        <v>481</v>
      </c>
      <c r="I123" s="529"/>
      <c r="J123" s="12" t="s">
        <v>450</v>
      </c>
      <c r="K123" s="268" t="s">
        <v>116</v>
      </c>
      <c r="L123" s="268"/>
      <c r="M123" s="280">
        <v>44593</v>
      </c>
      <c r="N123" s="280">
        <v>44925</v>
      </c>
      <c r="O123" s="280">
        <v>44652</v>
      </c>
      <c r="P123" s="281">
        <f t="shared" si="3"/>
        <v>0.17771084337349397</v>
      </c>
      <c r="Q123" s="281">
        <f t="shared" si="4"/>
        <v>0.17771084337349397</v>
      </c>
      <c r="R123" s="282">
        <v>1</v>
      </c>
      <c r="S123" s="283">
        <v>0.25</v>
      </c>
      <c r="T123" s="283">
        <v>0.5</v>
      </c>
      <c r="U123" s="283">
        <v>0.75</v>
      </c>
      <c r="V123" s="283">
        <v>1</v>
      </c>
      <c r="W123" s="308">
        <v>0</v>
      </c>
      <c r="X123" s="370" t="s">
        <v>478</v>
      </c>
      <c r="Y123" s="352"/>
      <c r="Z123" s="284"/>
      <c r="AA123" s="285"/>
      <c r="AB123" s="285"/>
      <c r="AC123" s="284"/>
      <c r="AD123" s="285"/>
      <c r="AE123" s="285"/>
      <c r="AF123" s="284"/>
      <c r="AG123" s="285"/>
      <c r="AH123" s="285"/>
      <c r="AI123" s="286"/>
    </row>
    <row r="124" spans="1:35" ht="56.25" hidden="1" customHeight="1" outlineLevel="1" x14ac:dyDescent="0.2">
      <c r="A124" s="751"/>
      <c r="B124" s="705"/>
      <c r="C124" s="705"/>
      <c r="D124" s="694"/>
      <c r="E124" s="713"/>
      <c r="F124" s="713"/>
      <c r="G124" s="529"/>
      <c r="H124" s="269" t="s">
        <v>482</v>
      </c>
      <c r="I124" s="529"/>
      <c r="J124" s="268" t="s">
        <v>483</v>
      </c>
      <c r="K124" s="268" t="s">
        <v>116</v>
      </c>
      <c r="L124" s="268"/>
      <c r="M124" s="280">
        <v>44593</v>
      </c>
      <c r="N124" s="280">
        <v>44925</v>
      </c>
      <c r="O124" s="280">
        <v>44652</v>
      </c>
      <c r="P124" s="281">
        <f t="shared" si="3"/>
        <v>0.17771084337349397</v>
      </c>
      <c r="Q124" s="281">
        <f t="shared" si="4"/>
        <v>0.17771084337349397</v>
      </c>
      <c r="R124" s="282">
        <v>1</v>
      </c>
      <c r="S124" s="283">
        <v>0.25</v>
      </c>
      <c r="T124" s="283">
        <v>0.5</v>
      </c>
      <c r="U124" s="283">
        <v>0.75</v>
      </c>
      <c r="V124" s="283">
        <v>1</v>
      </c>
      <c r="W124" s="308">
        <v>0</v>
      </c>
      <c r="X124" s="370" t="s">
        <v>478</v>
      </c>
      <c r="Y124" s="352"/>
      <c r="Z124" s="284"/>
      <c r="AA124" s="285"/>
      <c r="AB124" s="285"/>
      <c r="AC124" s="284"/>
      <c r="AD124" s="285"/>
      <c r="AE124" s="285"/>
      <c r="AF124" s="284"/>
      <c r="AG124" s="285"/>
      <c r="AH124" s="285"/>
      <c r="AI124" s="286"/>
    </row>
    <row r="125" spans="1:35" ht="46.5" hidden="1" customHeight="1" outlineLevel="1" x14ac:dyDescent="0.2">
      <c r="A125" s="751"/>
      <c r="B125" s="705"/>
      <c r="C125" s="705"/>
      <c r="D125" s="694"/>
      <c r="E125" s="713"/>
      <c r="F125" s="713"/>
      <c r="G125" s="529"/>
      <c r="H125" s="269" t="s">
        <v>484</v>
      </c>
      <c r="I125" s="529"/>
      <c r="J125" s="268" t="s">
        <v>485</v>
      </c>
      <c r="K125" s="268" t="s">
        <v>116</v>
      </c>
      <c r="L125" s="268"/>
      <c r="M125" s="280">
        <v>44593</v>
      </c>
      <c r="N125" s="280">
        <v>44925</v>
      </c>
      <c r="O125" s="280">
        <v>44652</v>
      </c>
      <c r="P125" s="281">
        <f t="shared" si="3"/>
        <v>0.17771084337349397</v>
      </c>
      <c r="Q125" s="281">
        <f t="shared" si="4"/>
        <v>0.17771084337349397</v>
      </c>
      <c r="R125" s="282">
        <v>1</v>
      </c>
      <c r="S125" s="283">
        <v>0.25</v>
      </c>
      <c r="T125" s="283">
        <v>0.5</v>
      </c>
      <c r="U125" s="283">
        <v>0.75</v>
      </c>
      <c r="V125" s="283">
        <v>1</v>
      </c>
      <c r="W125" s="308">
        <v>0</v>
      </c>
      <c r="X125" s="370" t="s">
        <v>478</v>
      </c>
      <c r="Y125" s="352"/>
      <c r="Z125" s="284"/>
      <c r="AA125" s="285"/>
      <c r="AB125" s="285"/>
      <c r="AC125" s="284"/>
      <c r="AD125" s="285"/>
      <c r="AE125" s="285"/>
      <c r="AF125" s="284"/>
      <c r="AG125" s="285"/>
      <c r="AH125" s="285"/>
      <c r="AI125" s="286"/>
    </row>
    <row r="126" spans="1:35" ht="75" hidden="1" customHeight="1" outlineLevel="1" x14ac:dyDescent="0.2">
      <c r="A126" s="751"/>
      <c r="B126" s="705"/>
      <c r="C126" s="705"/>
      <c r="D126" s="694"/>
      <c r="E126" s="713"/>
      <c r="F126" s="713"/>
      <c r="G126" s="529"/>
      <c r="H126" s="269" t="s">
        <v>486</v>
      </c>
      <c r="I126" s="529"/>
      <c r="J126" s="268" t="s">
        <v>483</v>
      </c>
      <c r="K126" s="268" t="s">
        <v>116</v>
      </c>
      <c r="L126" s="268"/>
      <c r="M126" s="280">
        <v>44593</v>
      </c>
      <c r="N126" s="280">
        <v>44925</v>
      </c>
      <c r="O126" s="280">
        <v>44652</v>
      </c>
      <c r="P126" s="281">
        <f t="shared" si="3"/>
        <v>0.17771084337349397</v>
      </c>
      <c r="Q126" s="281">
        <f t="shared" si="4"/>
        <v>0.17771084337349397</v>
      </c>
      <c r="R126" s="282">
        <v>1</v>
      </c>
      <c r="S126" s="283">
        <v>0.25</v>
      </c>
      <c r="T126" s="283">
        <v>0.5</v>
      </c>
      <c r="U126" s="283">
        <v>0.75</v>
      </c>
      <c r="V126" s="283">
        <v>1</v>
      </c>
      <c r="W126" s="308">
        <v>0</v>
      </c>
      <c r="X126" s="370" t="s">
        <v>478</v>
      </c>
      <c r="Y126" s="352"/>
      <c r="Z126" s="284"/>
      <c r="AA126" s="285"/>
      <c r="AB126" s="285"/>
      <c r="AC126" s="284"/>
      <c r="AD126" s="285"/>
      <c r="AE126" s="285"/>
      <c r="AF126" s="284"/>
      <c r="AG126" s="285"/>
      <c r="AH126" s="285"/>
      <c r="AI126" s="286"/>
    </row>
    <row r="127" spans="1:35" ht="46.5" hidden="1" customHeight="1" outlineLevel="1" x14ac:dyDescent="0.2">
      <c r="A127" s="751"/>
      <c r="B127" s="705"/>
      <c r="C127" s="705"/>
      <c r="D127" s="694"/>
      <c r="E127" s="713"/>
      <c r="F127" s="713"/>
      <c r="G127" s="529"/>
      <c r="H127" s="269" t="s">
        <v>487</v>
      </c>
      <c r="I127" s="529"/>
      <c r="J127" s="268" t="s">
        <v>296</v>
      </c>
      <c r="K127" s="268" t="s">
        <v>116</v>
      </c>
      <c r="L127" s="268"/>
      <c r="M127" s="280">
        <v>44593</v>
      </c>
      <c r="N127" s="280">
        <v>44925</v>
      </c>
      <c r="O127" s="280">
        <v>44652</v>
      </c>
      <c r="P127" s="281">
        <f t="shared" si="3"/>
        <v>0.17771084337349397</v>
      </c>
      <c r="Q127" s="281">
        <f t="shared" si="4"/>
        <v>0.17771084337349397</v>
      </c>
      <c r="R127" s="282">
        <v>1</v>
      </c>
      <c r="S127" s="283">
        <v>0.25</v>
      </c>
      <c r="T127" s="283">
        <v>0.5</v>
      </c>
      <c r="U127" s="283">
        <v>0.75</v>
      </c>
      <c r="V127" s="283">
        <v>1</v>
      </c>
      <c r="W127" s="308">
        <v>0</v>
      </c>
      <c r="X127" s="370" t="s">
        <v>478</v>
      </c>
      <c r="Y127" s="352"/>
      <c r="Z127" s="284"/>
      <c r="AA127" s="285"/>
      <c r="AB127" s="285"/>
      <c r="AC127" s="284"/>
      <c r="AD127" s="285"/>
      <c r="AE127" s="285"/>
      <c r="AF127" s="284"/>
      <c r="AG127" s="285"/>
      <c r="AH127" s="285"/>
      <c r="AI127" s="286"/>
    </row>
    <row r="128" spans="1:35" ht="75.75" hidden="1" customHeight="1" outlineLevel="1" thickBot="1" x14ac:dyDescent="0.25">
      <c r="A128" s="751"/>
      <c r="B128" s="745"/>
      <c r="C128" s="745"/>
      <c r="D128" s="694"/>
      <c r="E128" s="714"/>
      <c r="F128" s="714"/>
      <c r="G128" s="529"/>
      <c r="H128" s="270" t="s">
        <v>488</v>
      </c>
      <c r="I128" s="529"/>
      <c r="J128" s="268" t="s">
        <v>450</v>
      </c>
      <c r="K128" s="268" t="s">
        <v>116</v>
      </c>
      <c r="L128" s="268"/>
      <c r="M128" s="280">
        <v>44593</v>
      </c>
      <c r="N128" s="280">
        <v>44925</v>
      </c>
      <c r="O128" s="280">
        <v>44652</v>
      </c>
      <c r="P128" s="281">
        <f t="shared" si="3"/>
        <v>0.17771084337349397</v>
      </c>
      <c r="Q128" s="281">
        <f t="shared" si="4"/>
        <v>0.17771084337349397</v>
      </c>
      <c r="R128" s="282">
        <v>1</v>
      </c>
      <c r="S128" s="283">
        <v>0.25</v>
      </c>
      <c r="T128" s="283">
        <v>0.5</v>
      </c>
      <c r="U128" s="283">
        <v>0.75</v>
      </c>
      <c r="V128" s="283">
        <v>1</v>
      </c>
      <c r="W128" s="308">
        <v>0</v>
      </c>
      <c r="X128" s="370" t="s">
        <v>478</v>
      </c>
      <c r="Y128" s="352"/>
      <c r="Z128" s="284"/>
      <c r="AA128" s="285"/>
      <c r="AB128" s="285"/>
      <c r="AC128" s="284"/>
      <c r="AD128" s="285"/>
      <c r="AE128" s="285"/>
      <c r="AF128" s="284"/>
      <c r="AG128" s="285"/>
      <c r="AH128" s="285"/>
      <c r="AI128" s="286"/>
    </row>
    <row r="129" spans="1:35" ht="75" hidden="1" customHeight="1" outlineLevel="1" x14ac:dyDescent="0.2">
      <c r="A129" s="751"/>
      <c r="B129" s="706" t="s">
        <v>489</v>
      </c>
      <c r="C129" s="706" t="s">
        <v>490</v>
      </c>
      <c r="D129" s="694"/>
      <c r="E129" s="712" t="s">
        <v>491</v>
      </c>
      <c r="F129" s="712" t="s">
        <v>492</v>
      </c>
      <c r="G129" s="529"/>
      <c r="H129" s="269" t="s">
        <v>493</v>
      </c>
      <c r="I129" s="529"/>
      <c r="J129" s="12" t="s">
        <v>450</v>
      </c>
      <c r="K129" s="268" t="s">
        <v>116</v>
      </c>
      <c r="L129" s="268"/>
      <c r="M129" s="280">
        <v>44593</v>
      </c>
      <c r="N129" s="280">
        <v>44925</v>
      </c>
      <c r="O129" s="280">
        <v>44652</v>
      </c>
      <c r="P129" s="281">
        <f t="shared" si="2"/>
        <v>0.17771084337349397</v>
      </c>
      <c r="Q129" s="281">
        <f t="shared" si="1"/>
        <v>0.17771084337349397</v>
      </c>
      <c r="R129" s="282">
        <v>1</v>
      </c>
      <c r="S129" s="283">
        <v>0.25</v>
      </c>
      <c r="T129" s="283">
        <v>0.5</v>
      </c>
      <c r="U129" s="283">
        <v>0.75</v>
      </c>
      <c r="V129" s="283">
        <v>1</v>
      </c>
      <c r="W129" s="308">
        <v>0</v>
      </c>
      <c r="X129" s="370" t="s">
        <v>478</v>
      </c>
      <c r="Y129" s="352"/>
      <c r="Z129" s="284"/>
      <c r="AA129" s="285"/>
      <c r="AB129" s="285"/>
      <c r="AC129" s="284"/>
      <c r="AD129" s="285"/>
      <c r="AE129" s="285"/>
      <c r="AF129" s="284"/>
      <c r="AG129" s="285"/>
      <c r="AH129" s="285"/>
      <c r="AI129" s="286"/>
    </row>
    <row r="130" spans="1:35" ht="93.75" hidden="1" customHeight="1" outlineLevel="1" x14ac:dyDescent="0.2">
      <c r="A130" s="751"/>
      <c r="B130" s="705"/>
      <c r="C130" s="705"/>
      <c r="D130" s="694"/>
      <c r="E130" s="713"/>
      <c r="F130" s="713"/>
      <c r="G130" s="529"/>
      <c r="H130" s="269" t="s">
        <v>494</v>
      </c>
      <c r="I130" s="529"/>
      <c r="J130" s="12" t="s">
        <v>495</v>
      </c>
      <c r="K130" s="268" t="s">
        <v>116</v>
      </c>
      <c r="L130" s="268"/>
      <c r="M130" s="280">
        <v>44593</v>
      </c>
      <c r="N130" s="280">
        <v>44925</v>
      </c>
      <c r="O130" s="280">
        <v>44652</v>
      </c>
      <c r="P130" s="281">
        <f t="shared" si="2"/>
        <v>0.17771084337349397</v>
      </c>
      <c r="Q130" s="281">
        <f t="shared" si="1"/>
        <v>0.17771084337349397</v>
      </c>
      <c r="R130" s="282">
        <v>1</v>
      </c>
      <c r="S130" s="283">
        <v>0.25</v>
      </c>
      <c r="T130" s="283">
        <v>0.5</v>
      </c>
      <c r="U130" s="283">
        <v>0.75</v>
      </c>
      <c r="V130" s="283">
        <v>1</v>
      </c>
      <c r="W130" s="308">
        <v>0</v>
      </c>
      <c r="X130" s="370" t="s">
        <v>478</v>
      </c>
      <c r="Y130" s="352"/>
      <c r="Z130" s="284"/>
      <c r="AA130" s="285"/>
      <c r="AB130" s="285"/>
      <c r="AC130" s="284"/>
      <c r="AD130" s="285"/>
      <c r="AE130" s="285"/>
      <c r="AF130" s="284"/>
      <c r="AG130" s="285"/>
      <c r="AH130" s="285"/>
      <c r="AI130" s="286"/>
    </row>
    <row r="131" spans="1:35" ht="56.25" hidden="1" customHeight="1" outlineLevel="1" x14ac:dyDescent="0.2">
      <c r="A131" s="751"/>
      <c r="B131" s="707"/>
      <c r="C131" s="707"/>
      <c r="D131" s="694"/>
      <c r="E131" s="714"/>
      <c r="F131" s="714"/>
      <c r="G131" s="529"/>
      <c r="H131" s="269" t="s">
        <v>496</v>
      </c>
      <c r="I131" s="529"/>
      <c r="J131" s="12" t="s">
        <v>450</v>
      </c>
      <c r="K131" s="268" t="s">
        <v>116</v>
      </c>
      <c r="L131" s="268"/>
      <c r="M131" s="280">
        <v>44593</v>
      </c>
      <c r="N131" s="280">
        <v>44925</v>
      </c>
      <c r="O131" s="280">
        <v>44652</v>
      </c>
      <c r="P131" s="281">
        <f t="shared" si="2"/>
        <v>0.17771084337349397</v>
      </c>
      <c r="Q131" s="281">
        <f t="shared" si="1"/>
        <v>0.17771084337349397</v>
      </c>
      <c r="R131" s="282">
        <v>1</v>
      </c>
      <c r="S131" s="283">
        <v>0.25</v>
      </c>
      <c r="T131" s="283">
        <v>0.5</v>
      </c>
      <c r="U131" s="283">
        <v>0.75</v>
      </c>
      <c r="V131" s="283">
        <v>1</v>
      </c>
      <c r="W131" s="308">
        <v>0</v>
      </c>
      <c r="X131" s="370" t="s">
        <v>478</v>
      </c>
      <c r="Y131" s="352"/>
      <c r="Z131" s="284"/>
      <c r="AA131" s="285"/>
      <c r="AB131" s="285"/>
      <c r="AC131" s="284"/>
      <c r="AD131" s="285"/>
      <c r="AE131" s="285"/>
      <c r="AF131" s="284"/>
      <c r="AG131" s="285"/>
      <c r="AH131" s="285"/>
      <c r="AI131" s="286"/>
    </row>
    <row r="132" spans="1:35" ht="60" hidden="1" customHeight="1" outlineLevel="1" x14ac:dyDescent="0.2">
      <c r="A132" s="751"/>
      <c r="B132" s="604" t="s">
        <v>442</v>
      </c>
      <c r="C132" s="604" t="s">
        <v>497</v>
      </c>
      <c r="D132" s="537" t="s">
        <v>498</v>
      </c>
      <c r="E132" s="770" t="s">
        <v>499</v>
      </c>
      <c r="F132" s="462" t="s">
        <v>500</v>
      </c>
      <c r="G132" s="304" t="s">
        <v>501</v>
      </c>
      <c r="H132" s="304" t="s">
        <v>502</v>
      </c>
      <c r="I132" s="304" t="s">
        <v>503</v>
      </c>
      <c r="J132" s="257" t="s">
        <v>504</v>
      </c>
      <c r="K132" s="326">
        <v>33600000</v>
      </c>
      <c r="L132" s="326">
        <v>8413440</v>
      </c>
      <c r="M132" s="280">
        <v>44593</v>
      </c>
      <c r="N132" s="280">
        <v>44925</v>
      </c>
      <c r="O132" s="280">
        <v>44652</v>
      </c>
      <c r="P132" s="281">
        <f t="shared" si="2"/>
        <v>0.17771084337349397</v>
      </c>
      <c r="Q132" s="281">
        <f t="shared" si="1"/>
        <v>0.17771084337349397</v>
      </c>
      <c r="R132" s="282">
        <v>0.65</v>
      </c>
      <c r="S132" s="283">
        <v>0.54</v>
      </c>
      <c r="T132" s="283">
        <v>0.57999999999999996</v>
      </c>
      <c r="U132" s="283">
        <v>0.62</v>
      </c>
      <c r="V132" s="283">
        <v>0.65</v>
      </c>
      <c r="W132" s="308">
        <v>0.02</v>
      </c>
      <c r="X132" s="283" t="s">
        <v>505</v>
      </c>
      <c r="Y132" s="354" t="s">
        <v>506</v>
      </c>
      <c r="Z132" s="284"/>
      <c r="AA132" s="285"/>
      <c r="AB132" s="285"/>
      <c r="AC132" s="284"/>
      <c r="AD132" s="285"/>
      <c r="AE132" s="285"/>
      <c r="AF132" s="284"/>
      <c r="AG132" s="285"/>
      <c r="AH132" s="285"/>
      <c r="AI132" s="286"/>
    </row>
    <row r="133" spans="1:35" ht="168.75" hidden="1" customHeight="1" outlineLevel="1" x14ac:dyDescent="0.2">
      <c r="A133" s="751"/>
      <c r="B133" s="604"/>
      <c r="C133" s="604"/>
      <c r="D133" s="603"/>
      <c r="E133" s="770"/>
      <c r="F133" s="562" t="s">
        <v>507</v>
      </c>
      <c r="G133" s="525" t="s">
        <v>501</v>
      </c>
      <c r="H133" s="525" t="s">
        <v>508</v>
      </c>
      <c r="I133" s="304" t="s">
        <v>509</v>
      </c>
      <c r="J133" s="257" t="s">
        <v>510</v>
      </c>
      <c r="L133" s="326">
        <v>101121</v>
      </c>
      <c r="M133" s="280">
        <v>44593</v>
      </c>
      <c r="N133" s="280">
        <v>44925</v>
      </c>
      <c r="O133" s="280">
        <v>44652</v>
      </c>
      <c r="P133" s="281">
        <f t="shared" si="2"/>
        <v>0.17771084337349397</v>
      </c>
      <c r="Q133" s="281">
        <f t="shared" si="1"/>
        <v>0.17771084337349397</v>
      </c>
      <c r="R133" s="282">
        <v>0.8</v>
      </c>
      <c r="S133" s="283">
        <v>0.72</v>
      </c>
      <c r="T133" s="283">
        <v>0.75</v>
      </c>
      <c r="U133" s="283">
        <v>0.78</v>
      </c>
      <c r="V133" s="283">
        <v>0.8</v>
      </c>
      <c r="W133" s="308">
        <v>0.25</v>
      </c>
      <c r="X133" s="283" t="s">
        <v>511</v>
      </c>
      <c r="Y133" s="354" t="s">
        <v>506</v>
      </c>
      <c r="Z133" s="284"/>
      <c r="AA133" s="285"/>
      <c r="AB133" s="285"/>
      <c r="AC133" s="284"/>
      <c r="AD133" s="285"/>
      <c r="AE133" s="285"/>
      <c r="AF133" s="284"/>
      <c r="AG133" s="285"/>
      <c r="AH133" s="285"/>
      <c r="AI133" s="286"/>
    </row>
    <row r="134" spans="1:35" ht="168.75" hidden="1" customHeight="1" outlineLevel="1" x14ac:dyDescent="0.2">
      <c r="A134" s="751"/>
      <c r="B134" s="604"/>
      <c r="C134" s="604"/>
      <c r="D134" s="603"/>
      <c r="E134" s="770"/>
      <c r="F134" s="721"/>
      <c r="G134" s="527"/>
      <c r="H134" s="527"/>
      <c r="I134" s="304" t="s">
        <v>512</v>
      </c>
      <c r="J134" s="257" t="s">
        <v>513</v>
      </c>
      <c r="K134" s="326">
        <v>128192750</v>
      </c>
      <c r="L134" s="327"/>
      <c r="M134" s="280">
        <v>44593</v>
      </c>
      <c r="N134" s="280">
        <v>44925</v>
      </c>
      <c r="O134" s="280">
        <v>44652</v>
      </c>
      <c r="P134" s="281">
        <f t="shared" si="2"/>
        <v>0.17771084337349397</v>
      </c>
      <c r="Q134" s="281">
        <f t="shared" ref="Q134" si="5">+IF(P134&gt;=100,100,IF(P134&lt;=0,0,P134))</f>
        <v>0.17771084337349397</v>
      </c>
      <c r="R134" s="282">
        <v>0.75</v>
      </c>
      <c r="S134" s="283">
        <v>63</v>
      </c>
      <c r="T134" s="283">
        <v>0.67</v>
      </c>
      <c r="U134" s="283">
        <v>0.71</v>
      </c>
      <c r="V134" s="283">
        <v>0.75</v>
      </c>
      <c r="W134" s="308">
        <v>0.02</v>
      </c>
      <c r="X134" s="283" t="s">
        <v>514</v>
      </c>
      <c r="Y134" s="354" t="s">
        <v>506</v>
      </c>
      <c r="Z134" s="284"/>
      <c r="AA134" s="285"/>
      <c r="AB134" s="285"/>
      <c r="AC134" s="284"/>
      <c r="AD134" s="285"/>
      <c r="AE134" s="285"/>
      <c r="AF134" s="284"/>
      <c r="AG134" s="285"/>
      <c r="AH134" s="285"/>
      <c r="AI134" s="286"/>
    </row>
    <row r="135" spans="1:35" ht="104.25" hidden="1" customHeight="1" outlineLevel="1" x14ac:dyDescent="0.2">
      <c r="A135" s="751"/>
      <c r="B135" s="604"/>
      <c r="C135" s="604"/>
      <c r="D135" s="603"/>
      <c r="E135" s="770"/>
      <c r="F135" s="562" t="s">
        <v>515</v>
      </c>
      <c r="G135" s="525" t="s">
        <v>501</v>
      </c>
      <c r="H135" s="525" t="s">
        <v>516</v>
      </c>
      <c r="I135" s="304" t="s">
        <v>517</v>
      </c>
      <c r="J135" s="257" t="s">
        <v>518</v>
      </c>
      <c r="K135" s="327" t="s">
        <v>52</v>
      </c>
      <c r="L135" s="327" t="s">
        <v>52</v>
      </c>
      <c r="M135" s="280">
        <v>44593</v>
      </c>
      <c r="N135" s="280">
        <v>44925</v>
      </c>
      <c r="O135" s="280">
        <v>44652</v>
      </c>
      <c r="P135" s="281">
        <f t="shared" si="2"/>
        <v>0.17771084337349397</v>
      </c>
      <c r="Q135" s="281">
        <f t="shared" si="1"/>
        <v>0.17771084337349397</v>
      </c>
      <c r="R135" s="282">
        <v>1</v>
      </c>
      <c r="S135" s="283">
        <v>0.92</v>
      </c>
      <c r="T135" s="283">
        <v>0.95</v>
      </c>
      <c r="U135" s="283">
        <v>0.98</v>
      </c>
      <c r="V135" s="283">
        <v>1</v>
      </c>
      <c r="W135" s="308">
        <v>0.5</v>
      </c>
      <c r="X135" s="283" t="s">
        <v>519</v>
      </c>
      <c r="Y135" s="352" t="s">
        <v>52</v>
      </c>
      <c r="Z135" s="284"/>
      <c r="AA135" s="285"/>
      <c r="AB135" s="285"/>
      <c r="AC135" s="284"/>
      <c r="AD135" s="285"/>
      <c r="AE135" s="285"/>
      <c r="AF135" s="284"/>
      <c r="AG135" s="285"/>
      <c r="AH135" s="285"/>
      <c r="AI135" s="286"/>
    </row>
    <row r="136" spans="1:35" ht="210.75" hidden="1" customHeight="1" outlineLevel="1" x14ac:dyDescent="0.2">
      <c r="A136" s="751"/>
      <c r="B136" s="604"/>
      <c r="C136" s="604"/>
      <c r="D136" s="603"/>
      <c r="E136" s="770"/>
      <c r="F136" s="721"/>
      <c r="G136" s="527"/>
      <c r="H136" s="527"/>
      <c r="I136" s="442" t="s">
        <v>520</v>
      </c>
      <c r="J136" s="257" t="s">
        <v>518</v>
      </c>
      <c r="K136" s="327" t="s">
        <v>52</v>
      </c>
      <c r="L136" s="326">
        <v>957950</v>
      </c>
      <c r="M136" s="280">
        <v>44593</v>
      </c>
      <c r="N136" s="280">
        <v>44925</v>
      </c>
      <c r="O136" s="280">
        <v>44652</v>
      </c>
      <c r="P136" s="281">
        <f t="shared" ref="P136" si="6">+(+_xlfn.DAYS(M136,O136))/(+_xlfn.DAYS(M136,N136))</f>
        <v>0.17771084337349397</v>
      </c>
      <c r="Q136" s="281">
        <f t="shared" ref="Q136" si="7">+IF(P136&gt;=100,100,IF(P136&lt;=0,0,P136))</f>
        <v>0.17771084337349397</v>
      </c>
      <c r="R136" s="282">
        <v>0.5</v>
      </c>
      <c r="S136" s="283">
        <v>0.28000000000000003</v>
      </c>
      <c r="T136" s="283">
        <v>0.25</v>
      </c>
      <c r="U136" s="283">
        <v>0.45</v>
      </c>
      <c r="V136" s="283">
        <v>0.5</v>
      </c>
      <c r="W136" s="308">
        <v>0.25</v>
      </c>
      <c r="X136" s="283" t="s">
        <v>521</v>
      </c>
      <c r="Y136" s="354" t="s">
        <v>506</v>
      </c>
      <c r="Z136" s="284"/>
      <c r="AA136" s="285"/>
      <c r="AB136" s="285"/>
      <c r="AC136" s="284"/>
      <c r="AD136" s="285"/>
      <c r="AE136" s="285"/>
      <c r="AF136" s="284"/>
      <c r="AG136" s="285"/>
      <c r="AH136" s="285"/>
      <c r="AI136" s="286"/>
    </row>
    <row r="137" spans="1:35" ht="139.5" hidden="1" customHeight="1" outlineLevel="1" x14ac:dyDescent="0.2">
      <c r="A137" s="751"/>
      <c r="B137" s="604"/>
      <c r="C137" s="604"/>
      <c r="D137" s="603"/>
      <c r="E137" s="770"/>
      <c r="F137" s="562" t="s">
        <v>522</v>
      </c>
      <c r="G137" s="304" t="s">
        <v>501</v>
      </c>
      <c r="H137" s="304" t="s">
        <v>523</v>
      </c>
      <c r="I137" s="525" t="s">
        <v>524</v>
      </c>
      <c r="J137" s="257" t="s">
        <v>518</v>
      </c>
      <c r="K137" s="326" t="s">
        <v>52</v>
      </c>
      <c r="L137" s="326" t="s">
        <v>52</v>
      </c>
      <c r="M137" s="280">
        <v>44593</v>
      </c>
      <c r="N137" s="280">
        <v>44925</v>
      </c>
      <c r="O137" s="280">
        <v>44652</v>
      </c>
      <c r="P137" s="281">
        <f t="shared" ref="P137" si="8">+(+_xlfn.DAYS(M137,O137))/(+_xlfn.DAYS(M137,N137))</f>
        <v>0.17771084337349397</v>
      </c>
      <c r="Q137" s="281">
        <f t="shared" ref="Q137" si="9">+IF(P137&gt;=100,100,IF(P137&lt;=0,0,P137))</f>
        <v>0.17771084337349397</v>
      </c>
      <c r="R137" s="282">
        <v>1</v>
      </c>
      <c r="S137" s="283">
        <v>0.65</v>
      </c>
      <c r="T137" s="283">
        <v>0.78</v>
      </c>
      <c r="U137" s="283">
        <v>0.88</v>
      </c>
      <c r="V137" s="283">
        <v>1</v>
      </c>
      <c r="W137" s="308">
        <v>0.5</v>
      </c>
      <c r="X137" s="283" t="s">
        <v>519</v>
      </c>
      <c r="Y137" s="352" t="s">
        <v>525</v>
      </c>
      <c r="Z137" s="284"/>
      <c r="AA137" s="285"/>
      <c r="AB137" s="285"/>
      <c r="AC137" s="284"/>
      <c r="AD137" s="285"/>
      <c r="AE137" s="285"/>
      <c r="AF137" s="284"/>
      <c r="AG137" s="285"/>
      <c r="AH137" s="285"/>
      <c r="AI137" s="286"/>
    </row>
    <row r="138" spans="1:35" ht="93.6" hidden="1" customHeight="1" outlineLevel="1" x14ac:dyDescent="0.2">
      <c r="A138" s="751"/>
      <c r="B138" s="604"/>
      <c r="C138" s="604"/>
      <c r="D138" s="603"/>
      <c r="E138" s="770"/>
      <c r="F138" s="721"/>
      <c r="G138" s="304" t="s">
        <v>501</v>
      </c>
      <c r="H138" s="304" t="s">
        <v>526</v>
      </c>
      <c r="I138" s="527"/>
      <c r="J138" s="257" t="s">
        <v>527</v>
      </c>
      <c r="K138" s="326">
        <v>35000000</v>
      </c>
      <c r="L138" s="326">
        <v>7000000</v>
      </c>
      <c r="M138" s="280">
        <v>44593</v>
      </c>
      <c r="N138" s="280">
        <v>44925</v>
      </c>
      <c r="O138" s="280">
        <v>44652</v>
      </c>
      <c r="P138" s="281">
        <f t="shared" ref="P138" si="10">+(+_xlfn.DAYS(M138,O138))/(+_xlfn.DAYS(M138,N138))</f>
        <v>0.17771084337349397</v>
      </c>
      <c r="Q138" s="281">
        <f t="shared" ref="Q138" si="11">+IF(P138&gt;=100,100,IF(P138&lt;=0,0,P138))</f>
        <v>0.17771084337349397</v>
      </c>
      <c r="R138" s="282">
        <v>0.5</v>
      </c>
      <c r="S138" s="283">
        <v>0.31</v>
      </c>
      <c r="T138" s="283">
        <v>0.37</v>
      </c>
      <c r="U138" s="283">
        <v>0.44</v>
      </c>
      <c r="V138" s="283">
        <v>0.5</v>
      </c>
      <c r="W138" s="308">
        <v>0.25</v>
      </c>
      <c r="X138" s="283" t="s">
        <v>528</v>
      </c>
      <c r="Y138" s="354" t="s">
        <v>506</v>
      </c>
      <c r="Z138" s="284"/>
      <c r="AA138" s="285"/>
      <c r="AB138" s="285"/>
      <c r="AC138" s="284"/>
      <c r="AD138" s="285"/>
      <c r="AE138" s="285"/>
      <c r="AF138" s="284"/>
      <c r="AG138" s="285"/>
      <c r="AH138" s="285"/>
      <c r="AI138" s="286"/>
    </row>
    <row r="139" spans="1:35" ht="93.75" hidden="1" customHeight="1" outlineLevel="1" x14ac:dyDescent="0.2">
      <c r="A139" s="751"/>
      <c r="B139" s="604"/>
      <c r="C139" s="604"/>
      <c r="D139" s="603"/>
      <c r="E139" s="770"/>
      <c r="F139" s="462" t="s">
        <v>529</v>
      </c>
      <c r="G139" s="304" t="s">
        <v>501</v>
      </c>
      <c r="H139" s="304" t="s">
        <v>513</v>
      </c>
      <c r="I139" s="304" t="s">
        <v>530</v>
      </c>
      <c r="J139" s="257" t="s">
        <v>116</v>
      </c>
      <c r="K139" s="326" t="s">
        <v>52</v>
      </c>
      <c r="L139" s="326" t="s">
        <v>52</v>
      </c>
      <c r="M139" s="280">
        <v>44593</v>
      </c>
      <c r="N139" s="280">
        <v>44925</v>
      </c>
      <c r="O139" s="280">
        <v>44652</v>
      </c>
      <c r="P139" s="281">
        <f t="shared" si="2"/>
        <v>0.17771084337349397</v>
      </c>
      <c r="Q139" s="281">
        <f t="shared" si="1"/>
        <v>0.17771084337349397</v>
      </c>
      <c r="R139" s="282">
        <v>0.5</v>
      </c>
      <c r="S139" s="283">
        <v>0.25</v>
      </c>
      <c r="T139" s="283">
        <v>0.33</v>
      </c>
      <c r="U139" s="283">
        <v>0.43</v>
      </c>
      <c r="V139" s="283">
        <v>0.5</v>
      </c>
      <c r="W139" s="308">
        <v>0</v>
      </c>
      <c r="X139" s="283" t="s">
        <v>531</v>
      </c>
      <c r="Y139" s="352" t="s">
        <v>52</v>
      </c>
      <c r="Z139" s="284"/>
      <c r="AA139" s="285"/>
      <c r="AB139" s="285"/>
      <c r="AC139" s="284"/>
      <c r="AD139" s="285"/>
      <c r="AE139" s="285"/>
      <c r="AF139" s="284"/>
      <c r="AG139" s="285"/>
      <c r="AH139" s="285"/>
      <c r="AI139" s="286"/>
    </row>
    <row r="140" spans="1:35" ht="75" hidden="1" customHeight="1" outlineLevel="1" x14ac:dyDescent="0.2">
      <c r="A140" s="751"/>
      <c r="B140" s="604" t="s">
        <v>532</v>
      </c>
      <c r="C140" s="604" t="s">
        <v>533</v>
      </c>
      <c r="D140" s="603"/>
      <c r="E140" s="562" t="s">
        <v>534</v>
      </c>
      <c r="F140" s="562" t="s">
        <v>535</v>
      </c>
      <c r="G140" s="304" t="s">
        <v>501</v>
      </c>
      <c r="H140" s="246" t="s">
        <v>536</v>
      </c>
      <c r="I140" s="525" t="s">
        <v>284</v>
      </c>
      <c r="J140" s="257" t="s">
        <v>510</v>
      </c>
      <c r="K140" s="326">
        <v>34133333</v>
      </c>
      <c r="L140" s="326" t="s">
        <v>52</v>
      </c>
      <c r="M140" s="280">
        <v>44593</v>
      </c>
      <c r="N140" s="280">
        <v>44925</v>
      </c>
      <c r="O140" s="280">
        <v>44652</v>
      </c>
      <c r="P140" s="281">
        <f t="shared" ref="P140" si="12">+(+_xlfn.DAYS(M140,O140))/(+_xlfn.DAYS(M140,N140))</f>
        <v>0.17771084337349397</v>
      </c>
      <c r="Q140" s="281">
        <f t="shared" ref="Q140" si="13">+IF(P140&gt;=100,100,IF(P140&lt;=0,0,P140))</f>
        <v>0.17771084337349397</v>
      </c>
      <c r="R140" s="282">
        <v>0.5</v>
      </c>
      <c r="S140" s="283">
        <v>0.25</v>
      </c>
      <c r="T140" s="283">
        <v>0.33</v>
      </c>
      <c r="U140" s="283">
        <v>0.43</v>
      </c>
      <c r="V140" s="283">
        <v>0.5</v>
      </c>
      <c r="W140" s="308">
        <v>0.2</v>
      </c>
      <c r="X140" s="283" t="s">
        <v>537</v>
      </c>
      <c r="Y140" s="354" t="s">
        <v>506</v>
      </c>
      <c r="Z140" s="284"/>
      <c r="AA140" s="285"/>
      <c r="AB140" s="285"/>
      <c r="AC140" s="284"/>
      <c r="AD140" s="285"/>
      <c r="AE140" s="285"/>
      <c r="AF140" s="284"/>
      <c r="AG140" s="285"/>
      <c r="AH140" s="285"/>
      <c r="AI140" s="286"/>
    </row>
    <row r="141" spans="1:35" ht="96.75" hidden="1" customHeight="1" outlineLevel="1" x14ac:dyDescent="0.2">
      <c r="A141" s="751"/>
      <c r="B141" s="604"/>
      <c r="C141" s="604"/>
      <c r="D141" s="603"/>
      <c r="E141" s="563"/>
      <c r="F141" s="563"/>
      <c r="G141" s="304" t="s">
        <v>501</v>
      </c>
      <c r="H141" s="304" t="s">
        <v>538</v>
      </c>
      <c r="I141" s="526"/>
      <c r="J141" s="257" t="s">
        <v>539</v>
      </c>
      <c r="K141" s="326">
        <v>50582259</v>
      </c>
      <c r="L141" s="326" t="s">
        <v>52</v>
      </c>
      <c r="M141" s="280">
        <v>44593</v>
      </c>
      <c r="N141" s="280">
        <v>44925</v>
      </c>
      <c r="O141" s="280">
        <v>44652</v>
      </c>
      <c r="P141" s="281">
        <f t="shared" si="2"/>
        <v>0.17771084337349397</v>
      </c>
      <c r="Q141" s="281">
        <f t="shared" si="1"/>
        <v>0.17771084337349397</v>
      </c>
      <c r="R141" s="282">
        <v>1</v>
      </c>
      <c r="S141" s="283">
        <v>0.25</v>
      </c>
      <c r="T141" s="283">
        <v>0.5</v>
      </c>
      <c r="U141" s="283">
        <v>0.75</v>
      </c>
      <c r="V141" s="283">
        <v>1</v>
      </c>
      <c r="W141" s="308">
        <v>0.2</v>
      </c>
      <c r="X141" s="283" t="s">
        <v>540</v>
      </c>
      <c r="Y141" s="354" t="s">
        <v>506</v>
      </c>
      <c r="Z141" s="284"/>
      <c r="AA141" s="285"/>
      <c r="AB141" s="285"/>
      <c r="AC141" s="284"/>
      <c r="AD141" s="285"/>
      <c r="AE141" s="285"/>
      <c r="AF141" s="284"/>
      <c r="AG141" s="285"/>
      <c r="AH141" s="285"/>
      <c r="AI141" s="286"/>
    </row>
    <row r="142" spans="1:35" ht="85.5" hidden="1" customHeight="1" outlineLevel="1" x14ac:dyDescent="0.2">
      <c r="A142" s="751"/>
      <c r="B142" s="604"/>
      <c r="C142" s="604"/>
      <c r="D142" s="603"/>
      <c r="E142" s="562" t="s">
        <v>541</v>
      </c>
      <c r="F142" s="562" t="s">
        <v>542</v>
      </c>
      <c r="G142" s="304" t="s">
        <v>501</v>
      </c>
      <c r="H142" s="304" t="s">
        <v>543</v>
      </c>
      <c r="I142" s="525" t="s">
        <v>544</v>
      </c>
      <c r="J142" s="257" t="s">
        <v>545</v>
      </c>
      <c r="K142" s="373">
        <v>28146798</v>
      </c>
      <c r="L142" s="374">
        <v>28146798</v>
      </c>
      <c r="M142" s="280">
        <v>44593</v>
      </c>
      <c r="N142" s="280">
        <v>44925</v>
      </c>
      <c r="O142" s="280">
        <v>44652</v>
      </c>
      <c r="P142" s="281">
        <f t="shared" si="2"/>
        <v>0.17771084337349397</v>
      </c>
      <c r="Q142" s="281">
        <f t="shared" si="1"/>
        <v>0.17771084337349397</v>
      </c>
      <c r="R142" s="282">
        <v>1</v>
      </c>
      <c r="S142" s="283">
        <v>0.25</v>
      </c>
      <c r="T142" s="283">
        <v>0.5</v>
      </c>
      <c r="U142" s="283">
        <v>0.75</v>
      </c>
      <c r="V142" s="283">
        <v>1</v>
      </c>
      <c r="W142" s="308">
        <v>1</v>
      </c>
      <c r="X142" s="283" t="s">
        <v>546</v>
      </c>
      <c r="Y142" s="354" t="s">
        <v>506</v>
      </c>
      <c r="Z142" s="284"/>
      <c r="AA142" s="285"/>
      <c r="AB142" s="285"/>
      <c r="AC142" s="284"/>
      <c r="AD142" s="285"/>
      <c r="AE142" s="285"/>
      <c r="AF142" s="284"/>
      <c r="AG142" s="285"/>
      <c r="AH142" s="285"/>
      <c r="AI142" s="286"/>
    </row>
    <row r="143" spans="1:35" ht="167.25" hidden="1" customHeight="1" outlineLevel="1" x14ac:dyDescent="0.2">
      <c r="A143" s="751"/>
      <c r="B143" s="604"/>
      <c r="C143" s="604"/>
      <c r="D143" s="603"/>
      <c r="E143" s="721"/>
      <c r="F143" s="721"/>
      <c r="G143" s="304" t="s">
        <v>501</v>
      </c>
      <c r="H143" s="304" t="s">
        <v>547</v>
      </c>
      <c r="I143" s="527"/>
      <c r="J143" s="257" t="s">
        <v>548</v>
      </c>
      <c r="K143" s="12" t="s">
        <v>52</v>
      </c>
      <c r="L143" s="12"/>
      <c r="M143" s="280">
        <v>44593</v>
      </c>
      <c r="N143" s="280">
        <v>44925</v>
      </c>
      <c r="O143" s="280">
        <v>44652</v>
      </c>
      <c r="P143" s="281">
        <f t="shared" si="2"/>
        <v>0.17771084337349397</v>
      </c>
      <c r="Q143" s="281">
        <f t="shared" si="1"/>
        <v>0.17771084337349397</v>
      </c>
      <c r="R143" s="282">
        <v>1</v>
      </c>
      <c r="S143" s="283">
        <v>0.25</v>
      </c>
      <c r="T143" s="283">
        <v>0.5</v>
      </c>
      <c r="U143" s="283">
        <v>0.75</v>
      </c>
      <c r="V143" s="283">
        <v>1</v>
      </c>
      <c r="W143" s="308">
        <v>0.25</v>
      </c>
      <c r="X143" s="283" t="s">
        <v>549</v>
      </c>
      <c r="Y143" s="352" t="s">
        <v>550</v>
      </c>
      <c r="Z143" s="284"/>
      <c r="AA143" s="285"/>
      <c r="AB143" s="285"/>
      <c r="AC143" s="284"/>
      <c r="AD143" s="285"/>
      <c r="AE143" s="285"/>
      <c r="AF143" s="284"/>
      <c r="AG143" s="285"/>
      <c r="AH143" s="285"/>
      <c r="AI143" s="286"/>
    </row>
    <row r="144" spans="1:35" ht="165" hidden="1" customHeight="1" outlineLevel="1" x14ac:dyDescent="0.2">
      <c r="A144" s="751"/>
      <c r="B144" s="604"/>
      <c r="C144" s="604"/>
      <c r="D144" s="603"/>
      <c r="E144" s="562" t="s">
        <v>551</v>
      </c>
      <c r="F144" s="562" t="s">
        <v>552</v>
      </c>
      <c r="G144" s="304" t="s">
        <v>501</v>
      </c>
      <c r="H144" s="304" t="s">
        <v>553</v>
      </c>
      <c r="I144" s="304" t="s">
        <v>554</v>
      </c>
      <c r="J144" s="257" t="s">
        <v>501</v>
      </c>
      <c r="K144" s="326">
        <v>13490974</v>
      </c>
      <c r="L144" s="326">
        <v>16640974</v>
      </c>
      <c r="M144" s="280">
        <v>44593</v>
      </c>
      <c r="N144" s="280">
        <v>44925</v>
      </c>
      <c r="O144" s="280">
        <v>44652</v>
      </c>
      <c r="P144" s="281">
        <f t="shared" si="2"/>
        <v>0.17771084337349397</v>
      </c>
      <c r="Q144" s="281">
        <f t="shared" si="1"/>
        <v>0.17771084337349397</v>
      </c>
      <c r="R144" s="282">
        <v>0.95</v>
      </c>
      <c r="S144" s="283">
        <v>0.92</v>
      </c>
      <c r="T144" s="283">
        <v>0.93</v>
      </c>
      <c r="U144" s="283">
        <v>0.94</v>
      </c>
      <c r="V144" s="283">
        <v>0.95</v>
      </c>
      <c r="W144" s="308">
        <v>0.25</v>
      </c>
      <c r="X144" s="283" t="s">
        <v>555</v>
      </c>
      <c r="Y144" s="354" t="s">
        <v>506</v>
      </c>
      <c r="Z144" s="284"/>
      <c r="AA144" s="285"/>
      <c r="AB144" s="285"/>
      <c r="AC144" s="284"/>
      <c r="AD144" s="285"/>
      <c r="AE144" s="285"/>
      <c r="AF144" s="284"/>
      <c r="AG144" s="285"/>
      <c r="AH144" s="285"/>
      <c r="AI144" s="286"/>
    </row>
    <row r="145" spans="1:35" ht="112.5" hidden="1" customHeight="1" outlineLevel="1" x14ac:dyDescent="0.2">
      <c r="A145" s="751"/>
      <c r="B145" s="604"/>
      <c r="C145" s="604"/>
      <c r="D145" s="603"/>
      <c r="E145" s="563"/>
      <c r="F145" s="563"/>
      <c r="G145" s="304" t="s">
        <v>501</v>
      </c>
      <c r="H145" s="246" t="s">
        <v>556</v>
      </c>
      <c r="I145" s="304" t="s">
        <v>557</v>
      </c>
      <c r="J145" s="257" t="s">
        <v>501</v>
      </c>
      <c r="K145" s="326">
        <v>55000000</v>
      </c>
      <c r="L145" s="326"/>
      <c r="M145" s="280">
        <v>44593</v>
      </c>
      <c r="N145" s="280">
        <v>44925</v>
      </c>
      <c r="O145" s="280">
        <v>44652</v>
      </c>
      <c r="P145" s="281">
        <f t="shared" si="2"/>
        <v>0.17771084337349397</v>
      </c>
      <c r="Q145" s="281">
        <f t="shared" si="1"/>
        <v>0.17771084337349397</v>
      </c>
      <c r="R145" s="282">
        <v>0.2</v>
      </c>
      <c r="S145" s="283">
        <v>0.12</v>
      </c>
      <c r="T145" s="283">
        <v>0.14000000000000001</v>
      </c>
      <c r="U145" s="283">
        <v>0.18</v>
      </c>
      <c r="V145" s="283">
        <v>0.2</v>
      </c>
      <c r="W145" s="308">
        <v>0.1</v>
      </c>
      <c r="X145" s="283" t="s">
        <v>558</v>
      </c>
      <c r="Y145" s="352" t="s">
        <v>559</v>
      </c>
      <c r="Z145" s="284"/>
      <c r="AA145" s="285"/>
      <c r="AB145" s="285"/>
      <c r="AC145" s="284"/>
      <c r="AD145" s="285"/>
      <c r="AE145" s="285"/>
      <c r="AF145" s="284"/>
      <c r="AG145" s="285"/>
      <c r="AH145" s="285"/>
      <c r="AI145" s="286"/>
    </row>
    <row r="146" spans="1:35" ht="168.75" hidden="1" customHeight="1" outlineLevel="1" x14ac:dyDescent="0.2">
      <c r="A146" s="751"/>
      <c r="B146" s="604"/>
      <c r="C146" s="604"/>
      <c r="D146" s="603"/>
      <c r="E146" s="721"/>
      <c r="F146" s="721"/>
      <c r="G146" s="304" t="s">
        <v>501</v>
      </c>
      <c r="H146" s="246" t="s">
        <v>560</v>
      </c>
      <c r="I146" s="304" t="s">
        <v>116</v>
      </c>
      <c r="J146" s="257" t="s">
        <v>501</v>
      </c>
      <c r="K146" s="326">
        <v>15043000</v>
      </c>
      <c r="L146" s="326">
        <v>3285391</v>
      </c>
      <c r="M146" s="280">
        <v>44593</v>
      </c>
      <c r="N146" s="280">
        <v>44925</v>
      </c>
      <c r="O146" s="280">
        <v>44652</v>
      </c>
      <c r="P146" s="281">
        <f t="shared" si="2"/>
        <v>0.17771084337349397</v>
      </c>
      <c r="Q146" s="281">
        <f t="shared" si="1"/>
        <v>0.17771084337349397</v>
      </c>
      <c r="R146" s="282">
        <v>1</v>
      </c>
      <c r="S146" s="283">
        <v>0.25</v>
      </c>
      <c r="T146" s="283">
        <v>0.5</v>
      </c>
      <c r="U146" s="283">
        <v>0.75</v>
      </c>
      <c r="V146" s="283">
        <v>1</v>
      </c>
      <c r="W146" s="308">
        <v>0.1</v>
      </c>
      <c r="X146" s="283" t="s">
        <v>561</v>
      </c>
      <c r="Y146" s="354" t="s">
        <v>506</v>
      </c>
      <c r="Z146" s="284"/>
      <c r="AA146" s="285"/>
      <c r="AB146" s="285"/>
      <c r="AC146" s="284"/>
      <c r="AD146" s="285"/>
      <c r="AE146" s="285"/>
      <c r="AF146" s="284"/>
      <c r="AG146" s="285"/>
      <c r="AH146" s="285"/>
      <c r="AI146" s="286"/>
    </row>
    <row r="147" spans="1:35" ht="112.5" hidden="1" customHeight="1" outlineLevel="1" x14ac:dyDescent="0.2">
      <c r="A147" s="751"/>
      <c r="B147" s="604"/>
      <c r="C147" s="604"/>
      <c r="D147" s="603"/>
      <c r="E147" s="562" t="s">
        <v>562</v>
      </c>
      <c r="F147" s="562" t="s">
        <v>563</v>
      </c>
      <c r="G147" s="304" t="s">
        <v>501</v>
      </c>
      <c r="H147" s="304" t="s">
        <v>564</v>
      </c>
      <c r="I147" s="525" t="s">
        <v>565</v>
      </c>
      <c r="J147" s="257" t="s">
        <v>566</v>
      </c>
      <c r="K147" s="274">
        <v>52000000</v>
      </c>
      <c r="L147" s="274">
        <v>13603200</v>
      </c>
      <c r="M147" s="280">
        <v>44593</v>
      </c>
      <c r="N147" s="280">
        <v>44925</v>
      </c>
      <c r="O147" s="280">
        <v>44652</v>
      </c>
      <c r="P147" s="281">
        <f t="shared" si="2"/>
        <v>0.17771084337349397</v>
      </c>
      <c r="Q147" s="281">
        <f t="shared" si="1"/>
        <v>0.17771084337349397</v>
      </c>
      <c r="R147" s="282">
        <v>0.24</v>
      </c>
      <c r="S147" s="283">
        <v>0.15</v>
      </c>
      <c r="T147" s="283">
        <v>0.19</v>
      </c>
      <c r="U147" s="283">
        <v>0.21</v>
      </c>
      <c r="V147" s="283">
        <v>0.24</v>
      </c>
      <c r="W147" s="308">
        <v>0.2616</v>
      </c>
      <c r="X147" s="283" t="s">
        <v>567</v>
      </c>
      <c r="Y147" s="352" t="s">
        <v>306</v>
      </c>
      <c r="Z147" s="284"/>
      <c r="AA147" s="285"/>
      <c r="AB147" s="285"/>
      <c r="AC147" s="284"/>
      <c r="AD147" s="285"/>
      <c r="AE147" s="285"/>
      <c r="AF147" s="284"/>
      <c r="AG147" s="285"/>
      <c r="AH147" s="285"/>
      <c r="AI147" s="286"/>
    </row>
    <row r="148" spans="1:35" ht="165" hidden="1" customHeight="1" outlineLevel="1" x14ac:dyDescent="0.2">
      <c r="A148" s="751"/>
      <c r="B148" s="604"/>
      <c r="C148" s="604"/>
      <c r="D148" s="603"/>
      <c r="E148" s="563"/>
      <c r="F148" s="563"/>
      <c r="G148" s="304" t="s">
        <v>501</v>
      </c>
      <c r="H148" s="304" t="s">
        <v>568</v>
      </c>
      <c r="I148" s="526"/>
      <c r="J148" s="257" t="s">
        <v>566</v>
      </c>
      <c r="K148" s="274">
        <v>33600000</v>
      </c>
      <c r="L148" s="274">
        <v>8413440</v>
      </c>
      <c r="M148" s="280">
        <v>44593</v>
      </c>
      <c r="N148" s="280">
        <v>44925</v>
      </c>
      <c r="O148" s="280">
        <v>44652</v>
      </c>
      <c r="P148" s="281">
        <f t="shared" si="2"/>
        <v>0.17771084337349397</v>
      </c>
      <c r="Q148" s="281">
        <f t="shared" si="1"/>
        <v>0.17771084337349397</v>
      </c>
      <c r="R148" s="282">
        <v>1</v>
      </c>
      <c r="S148" s="283">
        <v>0.25</v>
      </c>
      <c r="T148" s="283">
        <v>0.5</v>
      </c>
      <c r="U148" s="283">
        <v>0.75</v>
      </c>
      <c r="V148" s="283">
        <v>1</v>
      </c>
      <c r="W148" s="308">
        <v>0.25</v>
      </c>
      <c r="X148" s="283" t="s">
        <v>569</v>
      </c>
      <c r="Y148" s="354" t="s">
        <v>506</v>
      </c>
      <c r="Z148" s="284"/>
      <c r="AA148" s="285"/>
      <c r="AB148" s="285"/>
      <c r="AC148" s="284"/>
      <c r="AD148" s="285"/>
      <c r="AE148" s="285"/>
      <c r="AF148" s="284"/>
      <c r="AG148" s="285"/>
      <c r="AH148" s="285"/>
      <c r="AI148" s="286"/>
    </row>
    <row r="149" spans="1:35" ht="132" hidden="1" customHeight="1" outlineLevel="1" x14ac:dyDescent="0.2">
      <c r="A149" s="751"/>
      <c r="B149" s="604"/>
      <c r="C149" s="604"/>
      <c r="D149" s="603"/>
      <c r="E149" s="563"/>
      <c r="F149" s="563"/>
      <c r="G149" s="304" t="s">
        <v>501</v>
      </c>
      <c r="H149" s="304" t="s">
        <v>570</v>
      </c>
      <c r="I149" s="526"/>
      <c r="J149" s="257" t="s">
        <v>566</v>
      </c>
      <c r="K149" s="326">
        <v>15043000</v>
      </c>
      <c r="L149" s="326">
        <v>3285391</v>
      </c>
      <c r="M149" s="280">
        <v>44593</v>
      </c>
      <c r="N149" s="280">
        <v>44925</v>
      </c>
      <c r="O149" s="280">
        <v>44652</v>
      </c>
      <c r="P149" s="281">
        <f t="shared" si="2"/>
        <v>0.17771084337349397</v>
      </c>
      <c r="Q149" s="281">
        <f t="shared" si="1"/>
        <v>0.17771084337349397</v>
      </c>
      <c r="R149" s="282">
        <v>1</v>
      </c>
      <c r="S149" s="283">
        <v>0.25</v>
      </c>
      <c r="T149" s="283">
        <v>0.5</v>
      </c>
      <c r="U149" s="283">
        <v>0.75</v>
      </c>
      <c r="V149" s="283">
        <v>1</v>
      </c>
      <c r="W149" s="308">
        <v>0.22</v>
      </c>
      <c r="X149" s="283" t="s">
        <v>571</v>
      </c>
      <c r="Y149" s="354" t="s">
        <v>506</v>
      </c>
      <c r="Z149" s="284"/>
      <c r="AA149" s="285"/>
      <c r="AB149" s="285"/>
      <c r="AC149" s="284"/>
      <c r="AD149" s="285"/>
      <c r="AE149" s="285"/>
      <c r="AF149" s="284"/>
      <c r="AG149" s="285"/>
      <c r="AH149" s="285"/>
      <c r="AI149" s="286"/>
    </row>
    <row r="150" spans="1:35" ht="270" hidden="1" customHeight="1" outlineLevel="1" x14ac:dyDescent="0.2">
      <c r="A150" s="751"/>
      <c r="B150" s="604"/>
      <c r="C150" s="604"/>
      <c r="D150" s="603"/>
      <c r="E150" s="563"/>
      <c r="F150" s="563"/>
      <c r="G150" s="304" t="s">
        <v>501</v>
      </c>
      <c r="H150" s="304" t="s">
        <v>572</v>
      </c>
      <c r="I150" s="526"/>
      <c r="J150" s="257" t="s">
        <v>566</v>
      </c>
      <c r="K150" s="274">
        <v>131144300</v>
      </c>
      <c r="L150" s="274">
        <v>32786075</v>
      </c>
      <c r="M150" s="280">
        <v>44593</v>
      </c>
      <c r="N150" s="280">
        <v>44925</v>
      </c>
      <c r="O150" s="280">
        <v>44652</v>
      </c>
      <c r="P150" s="281">
        <f t="shared" si="2"/>
        <v>0.17771084337349397</v>
      </c>
      <c r="Q150" s="281">
        <f t="shared" si="1"/>
        <v>0.17771084337349397</v>
      </c>
      <c r="R150" s="282">
        <v>1</v>
      </c>
      <c r="S150" s="283">
        <v>0.25</v>
      </c>
      <c r="T150" s="283">
        <v>0.5</v>
      </c>
      <c r="U150" s="283">
        <v>0.75</v>
      </c>
      <c r="V150" s="283">
        <v>1</v>
      </c>
      <c r="W150" s="308">
        <v>0.25</v>
      </c>
      <c r="X150" s="283" t="s">
        <v>573</v>
      </c>
      <c r="Y150" s="354" t="s">
        <v>506</v>
      </c>
      <c r="Z150" s="284"/>
      <c r="AA150" s="285"/>
      <c r="AB150" s="285"/>
      <c r="AC150" s="284"/>
      <c r="AD150" s="285"/>
      <c r="AE150" s="285"/>
      <c r="AF150" s="284"/>
      <c r="AG150" s="285"/>
      <c r="AH150" s="285"/>
      <c r="AI150" s="286"/>
    </row>
    <row r="151" spans="1:35" ht="70.150000000000006" hidden="1" customHeight="1" outlineLevel="1" x14ac:dyDescent="0.2">
      <c r="A151" s="751"/>
      <c r="B151" s="604"/>
      <c r="C151" s="604"/>
      <c r="D151" s="603"/>
      <c r="E151" s="563"/>
      <c r="F151" s="563"/>
      <c r="G151" s="304" t="s">
        <v>501</v>
      </c>
      <c r="H151" s="304" t="s">
        <v>574</v>
      </c>
      <c r="I151" s="526"/>
      <c r="J151" s="257" t="s">
        <v>566</v>
      </c>
      <c r="K151" s="326">
        <v>35000000</v>
      </c>
      <c r="L151" s="326"/>
      <c r="M151" s="280">
        <v>44593</v>
      </c>
      <c r="N151" s="280">
        <v>44925</v>
      </c>
      <c r="O151" s="280">
        <v>44652</v>
      </c>
      <c r="P151" s="281">
        <f t="shared" si="2"/>
        <v>0.17771084337349397</v>
      </c>
      <c r="Q151" s="281">
        <f t="shared" ref="Q151:Q195" si="14">+IF(P151&gt;=100,100,IF(P151&lt;=0,0,P151))</f>
        <v>0.17771084337349397</v>
      </c>
      <c r="R151" s="282">
        <v>1</v>
      </c>
      <c r="S151" s="283">
        <v>0.25</v>
      </c>
      <c r="T151" s="283">
        <v>0.5</v>
      </c>
      <c r="U151" s="283">
        <v>0.75</v>
      </c>
      <c r="V151" s="283">
        <v>1</v>
      </c>
      <c r="W151" s="308">
        <v>0.05</v>
      </c>
      <c r="X151" s="283" t="s">
        <v>575</v>
      </c>
      <c r="Y151" s="352" t="s">
        <v>576</v>
      </c>
      <c r="Z151" s="284"/>
      <c r="AA151" s="285"/>
      <c r="AB151" s="285"/>
      <c r="AC151" s="284"/>
      <c r="AD151" s="285"/>
      <c r="AE151" s="285"/>
      <c r="AF151" s="284"/>
      <c r="AG151" s="285"/>
      <c r="AH151" s="285"/>
      <c r="AI151" s="286"/>
    </row>
    <row r="152" spans="1:35" ht="60" hidden="1" customHeight="1" outlineLevel="1" x14ac:dyDescent="0.2">
      <c r="A152" s="751"/>
      <c r="B152" s="604"/>
      <c r="C152" s="604"/>
      <c r="D152" s="603"/>
      <c r="E152" s="563"/>
      <c r="F152" s="563"/>
      <c r="G152" s="304" t="s">
        <v>501</v>
      </c>
      <c r="H152" s="271" t="s">
        <v>577</v>
      </c>
      <c r="I152" s="526"/>
      <c r="J152" s="257" t="s">
        <v>501</v>
      </c>
      <c r="K152" s="326">
        <v>200000000</v>
      </c>
      <c r="L152" s="326"/>
      <c r="M152" s="280">
        <v>44593</v>
      </c>
      <c r="N152" s="280">
        <v>44925</v>
      </c>
      <c r="O152" s="280">
        <v>44652</v>
      </c>
      <c r="P152" s="281">
        <f t="shared" si="2"/>
        <v>0.17771084337349397</v>
      </c>
      <c r="Q152" s="281">
        <f t="shared" si="14"/>
        <v>0.17771084337349397</v>
      </c>
      <c r="R152" s="282">
        <v>1</v>
      </c>
      <c r="S152" s="283">
        <v>0.25</v>
      </c>
      <c r="T152" s="283">
        <v>0.5</v>
      </c>
      <c r="U152" s="283">
        <v>0.75</v>
      </c>
      <c r="V152" s="283">
        <v>1</v>
      </c>
      <c r="W152" s="308">
        <v>0</v>
      </c>
      <c r="X152" s="283" t="s">
        <v>578</v>
      </c>
      <c r="Y152" s="352" t="s">
        <v>52</v>
      </c>
      <c r="Z152" s="284"/>
      <c r="AA152" s="285"/>
      <c r="AB152" s="285"/>
      <c r="AC152" s="284"/>
      <c r="AD152" s="285"/>
      <c r="AE152" s="285"/>
      <c r="AF152" s="284"/>
      <c r="AG152" s="285"/>
      <c r="AH152" s="285"/>
      <c r="AI152" s="286"/>
    </row>
    <row r="153" spans="1:35" ht="108" hidden="1" customHeight="1" outlineLevel="1" x14ac:dyDescent="0.2">
      <c r="A153" s="751"/>
      <c r="B153" s="604"/>
      <c r="C153" s="604"/>
      <c r="D153" s="603"/>
      <c r="E153" s="563"/>
      <c r="F153" s="563"/>
      <c r="G153" s="304" t="s">
        <v>501</v>
      </c>
      <c r="H153" s="246" t="s">
        <v>579</v>
      </c>
      <c r="I153" s="526"/>
      <c r="J153" s="257" t="s">
        <v>501</v>
      </c>
      <c r="K153" s="326">
        <v>20000000</v>
      </c>
      <c r="L153" s="326"/>
      <c r="M153" s="280">
        <v>44593</v>
      </c>
      <c r="N153" s="280">
        <v>44925</v>
      </c>
      <c r="O153" s="280">
        <v>44652</v>
      </c>
      <c r="P153" s="281">
        <f t="shared" si="2"/>
        <v>0.17771084337349397</v>
      </c>
      <c r="Q153" s="281">
        <f t="shared" si="14"/>
        <v>0.17771084337349397</v>
      </c>
      <c r="R153" s="282">
        <v>1</v>
      </c>
      <c r="S153" s="283">
        <v>0.25</v>
      </c>
      <c r="T153" s="283">
        <v>0.5</v>
      </c>
      <c r="U153" s="283">
        <v>0.75</v>
      </c>
      <c r="V153" s="283">
        <v>1</v>
      </c>
      <c r="W153" s="308">
        <v>0.05</v>
      </c>
      <c r="X153" s="283" t="s">
        <v>580</v>
      </c>
      <c r="Y153" s="352" t="s">
        <v>576</v>
      </c>
      <c r="Z153" s="284"/>
      <c r="AA153" s="285"/>
      <c r="AB153" s="285"/>
      <c r="AC153" s="284"/>
      <c r="AD153" s="285"/>
      <c r="AE153" s="285"/>
      <c r="AF153" s="284"/>
      <c r="AG153" s="285"/>
      <c r="AH153" s="285"/>
      <c r="AI153" s="286"/>
    </row>
    <row r="154" spans="1:35" ht="150" hidden="1" customHeight="1" outlineLevel="1" x14ac:dyDescent="0.2">
      <c r="A154" s="751"/>
      <c r="B154" s="604"/>
      <c r="C154" s="604"/>
      <c r="D154" s="603"/>
      <c r="E154" s="563"/>
      <c r="F154" s="563"/>
      <c r="G154" s="304" t="s">
        <v>501</v>
      </c>
      <c r="H154" s="271" t="s">
        <v>581</v>
      </c>
      <c r="I154" s="526"/>
      <c r="J154" s="257" t="s">
        <v>501</v>
      </c>
      <c r="K154" s="326">
        <v>25000000</v>
      </c>
      <c r="L154" s="326"/>
      <c r="M154" s="280">
        <v>44593</v>
      </c>
      <c r="N154" s="280">
        <v>44925</v>
      </c>
      <c r="O154" s="280">
        <v>44652</v>
      </c>
      <c r="P154" s="281">
        <f t="shared" si="2"/>
        <v>0.17771084337349397</v>
      </c>
      <c r="Q154" s="281">
        <f t="shared" si="14"/>
        <v>0.17771084337349397</v>
      </c>
      <c r="R154" s="282">
        <v>1</v>
      </c>
      <c r="S154" s="283">
        <v>0.25</v>
      </c>
      <c r="T154" s="283">
        <v>0.5</v>
      </c>
      <c r="U154" s="283">
        <v>0.75</v>
      </c>
      <c r="V154" s="283">
        <v>1</v>
      </c>
      <c r="W154" s="308">
        <v>0.05</v>
      </c>
      <c r="X154" s="283" t="s">
        <v>580</v>
      </c>
      <c r="Y154" s="352" t="s">
        <v>576</v>
      </c>
      <c r="Z154" s="284"/>
      <c r="AA154" s="285"/>
      <c r="AB154" s="285"/>
      <c r="AC154" s="284"/>
      <c r="AD154" s="285"/>
      <c r="AE154" s="285"/>
      <c r="AF154" s="284"/>
      <c r="AG154" s="285"/>
      <c r="AH154" s="285"/>
      <c r="AI154" s="286"/>
    </row>
    <row r="155" spans="1:35" ht="295.5" hidden="1" customHeight="1" outlineLevel="1" x14ac:dyDescent="0.2">
      <c r="A155" s="751"/>
      <c r="B155" s="604"/>
      <c r="C155" s="604"/>
      <c r="D155" s="603"/>
      <c r="E155" s="563"/>
      <c r="F155" s="563"/>
      <c r="G155" s="304" t="s">
        <v>501</v>
      </c>
      <c r="H155" s="304" t="s">
        <v>582</v>
      </c>
      <c r="I155" s="526"/>
      <c r="J155" s="257" t="s">
        <v>189</v>
      </c>
      <c r="K155" s="326">
        <v>670000000</v>
      </c>
      <c r="L155" s="326"/>
      <c r="M155" s="280">
        <v>44593</v>
      </c>
      <c r="N155" s="280">
        <v>44925</v>
      </c>
      <c r="O155" s="280">
        <v>44652</v>
      </c>
      <c r="P155" s="281">
        <f t="shared" si="2"/>
        <v>0.17771084337349397</v>
      </c>
      <c r="Q155" s="281">
        <f t="shared" si="14"/>
        <v>0.17771084337349397</v>
      </c>
      <c r="R155" s="282">
        <v>1</v>
      </c>
      <c r="S155" s="283">
        <v>0.25</v>
      </c>
      <c r="T155" s="283">
        <v>0.5</v>
      </c>
      <c r="U155" s="283">
        <v>0.75</v>
      </c>
      <c r="V155" s="283">
        <v>1</v>
      </c>
      <c r="W155" s="308">
        <v>0.2</v>
      </c>
      <c r="X155" s="283" t="s">
        <v>583</v>
      </c>
      <c r="Y155" s="354" t="s">
        <v>506</v>
      </c>
      <c r="Z155" s="284"/>
      <c r="AA155" s="285"/>
      <c r="AB155" s="285"/>
      <c r="AC155" s="284"/>
      <c r="AD155" s="285"/>
      <c r="AE155" s="285"/>
      <c r="AF155" s="284"/>
      <c r="AG155" s="285"/>
      <c r="AH155" s="285"/>
      <c r="AI155" s="286"/>
    </row>
    <row r="156" spans="1:35" ht="96.75" hidden="1" customHeight="1" outlineLevel="1" x14ac:dyDescent="0.2">
      <c r="A156" s="751"/>
      <c r="B156" s="604"/>
      <c r="C156" s="604"/>
      <c r="D156" s="603"/>
      <c r="E156" s="563"/>
      <c r="F156" s="563"/>
      <c r="G156" s="304" t="s">
        <v>501</v>
      </c>
      <c r="H156" s="304" t="s">
        <v>584</v>
      </c>
      <c r="I156" s="526"/>
      <c r="J156" s="257" t="s">
        <v>189</v>
      </c>
      <c r="K156" s="326">
        <v>67000000</v>
      </c>
      <c r="L156" s="326"/>
      <c r="M156" s="280">
        <v>44593</v>
      </c>
      <c r="N156" s="280">
        <v>44925</v>
      </c>
      <c r="O156" s="280">
        <v>44652</v>
      </c>
      <c r="P156" s="281">
        <f t="shared" si="2"/>
        <v>0.17771084337349397</v>
      </c>
      <c r="Q156" s="281">
        <f t="shared" si="14"/>
        <v>0.17771084337349397</v>
      </c>
      <c r="R156" s="282">
        <v>1</v>
      </c>
      <c r="S156" s="283">
        <v>0.25</v>
      </c>
      <c r="T156" s="283">
        <v>0.5</v>
      </c>
      <c r="U156" s="283">
        <v>0.75</v>
      </c>
      <c r="V156" s="283">
        <v>1</v>
      </c>
      <c r="W156" s="308">
        <v>0.1</v>
      </c>
      <c r="X156" s="283" t="s">
        <v>585</v>
      </c>
      <c r="Y156" s="354" t="s">
        <v>506</v>
      </c>
      <c r="Z156" s="284"/>
      <c r="AA156" s="285"/>
      <c r="AB156" s="285"/>
      <c r="AC156" s="284"/>
      <c r="AD156" s="285"/>
      <c r="AE156" s="285"/>
      <c r="AF156" s="284"/>
      <c r="AG156" s="285"/>
      <c r="AH156" s="285"/>
      <c r="AI156" s="286"/>
    </row>
    <row r="157" spans="1:35" ht="93.75" hidden="1" customHeight="1" outlineLevel="1" x14ac:dyDescent="0.2">
      <c r="A157" s="751"/>
      <c r="B157" s="604"/>
      <c r="C157" s="604"/>
      <c r="D157" s="603"/>
      <c r="E157" s="563"/>
      <c r="F157" s="563"/>
      <c r="G157" s="304" t="s">
        <v>501</v>
      </c>
      <c r="H157" s="304" t="s">
        <v>586</v>
      </c>
      <c r="I157" s="526"/>
      <c r="J157" s="257" t="s">
        <v>296</v>
      </c>
      <c r="K157" s="326">
        <v>550000000</v>
      </c>
      <c r="L157" s="326"/>
      <c r="M157" s="280">
        <v>44593</v>
      </c>
      <c r="N157" s="280">
        <v>44925</v>
      </c>
      <c r="O157" s="280">
        <v>44652</v>
      </c>
      <c r="P157" s="281">
        <f t="shared" si="2"/>
        <v>0.17771084337349397</v>
      </c>
      <c r="Q157" s="281">
        <f t="shared" si="14"/>
        <v>0.17771084337349397</v>
      </c>
      <c r="R157" s="282">
        <v>1</v>
      </c>
      <c r="S157" s="283">
        <v>0.25</v>
      </c>
      <c r="T157" s="283">
        <v>0.5</v>
      </c>
      <c r="U157" s="283">
        <v>0.75</v>
      </c>
      <c r="V157" s="283">
        <v>1</v>
      </c>
      <c r="W157" s="308">
        <v>0.05</v>
      </c>
      <c r="X157" s="283" t="s">
        <v>587</v>
      </c>
      <c r="Y157" s="352" t="s">
        <v>576</v>
      </c>
      <c r="Z157" s="284"/>
      <c r="AA157" s="285"/>
      <c r="AB157" s="285"/>
      <c r="AC157" s="284"/>
      <c r="AD157" s="285"/>
      <c r="AE157" s="285"/>
      <c r="AF157" s="284"/>
      <c r="AG157" s="285"/>
      <c r="AH157" s="285"/>
      <c r="AI157" s="286"/>
    </row>
    <row r="158" spans="1:35" ht="93.75" hidden="1" customHeight="1" outlineLevel="1" x14ac:dyDescent="0.2">
      <c r="A158" s="751"/>
      <c r="B158" s="604"/>
      <c r="C158" s="604"/>
      <c r="D158" s="603"/>
      <c r="E158" s="563"/>
      <c r="F158" s="563"/>
      <c r="G158" s="304"/>
      <c r="H158" s="304" t="s">
        <v>588</v>
      </c>
      <c r="I158" s="526"/>
      <c r="J158" s="257"/>
      <c r="K158" s="375">
        <v>6000000000</v>
      </c>
      <c r="L158" s="375">
        <v>1100000000</v>
      </c>
      <c r="M158" s="280">
        <v>44593</v>
      </c>
      <c r="N158" s="280">
        <v>44925</v>
      </c>
      <c r="O158" s="280">
        <v>44652</v>
      </c>
      <c r="P158" s="281">
        <f t="shared" ref="P158" si="15">+(+_xlfn.DAYS(M158,O158))/(+_xlfn.DAYS(M158,N158))</f>
        <v>0.17771084337349397</v>
      </c>
      <c r="Q158" s="281">
        <f t="shared" ref="Q158" si="16">+IF(P158&gt;=100,100,IF(P158&lt;=0,0,P158))</f>
        <v>0.17771084337349397</v>
      </c>
      <c r="R158" s="282">
        <v>1</v>
      </c>
      <c r="S158" s="283">
        <v>0.25</v>
      </c>
      <c r="T158" s="283">
        <v>0.5</v>
      </c>
      <c r="U158" s="283">
        <v>0.75</v>
      </c>
      <c r="V158" s="283">
        <v>1</v>
      </c>
      <c r="W158" s="308">
        <v>0.18</v>
      </c>
      <c r="X158" s="283" t="s">
        <v>589</v>
      </c>
      <c r="Y158" s="354" t="s">
        <v>506</v>
      </c>
      <c r="Z158" s="284"/>
      <c r="AA158" s="285"/>
      <c r="AB158" s="285"/>
      <c r="AC158" s="284"/>
      <c r="AD158" s="285"/>
      <c r="AE158" s="285"/>
      <c r="AF158" s="284"/>
      <c r="AG158" s="285"/>
      <c r="AH158" s="285"/>
      <c r="AI158" s="286"/>
    </row>
    <row r="159" spans="1:35" ht="187.5" hidden="1" customHeight="1" outlineLevel="1" x14ac:dyDescent="0.2">
      <c r="A159" s="751"/>
      <c r="B159" s="604"/>
      <c r="C159" s="604"/>
      <c r="D159" s="603"/>
      <c r="E159" s="563"/>
      <c r="F159" s="563"/>
      <c r="G159" s="304" t="s">
        <v>501</v>
      </c>
      <c r="H159" s="304" t="s">
        <v>590</v>
      </c>
      <c r="I159" s="526"/>
      <c r="J159" s="257" t="s">
        <v>501</v>
      </c>
      <c r="K159" s="326" t="s">
        <v>52</v>
      </c>
      <c r="L159" s="326"/>
      <c r="M159" s="280">
        <v>44593</v>
      </c>
      <c r="N159" s="280">
        <v>44925</v>
      </c>
      <c r="O159" s="280">
        <v>44652</v>
      </c>
      <c r="P159" s="281">
        <f t="shared" si="2"/>
        <v>0.17771084337349397</v>
      </c>
      <c r="Q159" s="281">
        <f t="shared" si="14"/>
        <v>0.17771084337349397</v>
      </c>
      <c r="R159" s="282">
        <v>1</v>
      </c>
      <c r="S159" s="283">
        <v>0.25</v>
      </c>
      <c r="T159" s="283">
        <v>0.5</v>
      </c>
      <c r="U159" s="283">
        <v>0.75</v>
      </c>
      <c r="V159" s="283">
        <v>1</v>
      </c>
      <c r="W159" s="308">
        <v>0.25</v>
      </c>
      <c r="X159" s="283" t="s">
        <v>591</v>
      </c>
      <c r="Y159" s="354" t="s">
        <v>506</v>
      </c>
      <c r="Z159" s="284"/>
      <c r="AA159" s="285"/>
      <c r="AB159" s="285"/>
      <c r="AC159" s="284"/>
      <c r="AD159" s="285"/>
      <c r="AE159" s="285"/>
      <c r="AF159" s="284"/>
      <c r="AG159" s="285"/>
      <c r="AH159" s="285"/>
      <c r="AI159" s="286"/>
    </row>
    <row r="160" spans="1:35" ht="100.9" hidden="1" customHeight="1" outlineLevel="1" x14ac:dyDescent="0.2">
      <c r="A160" s="751"/>
      <c r="B160" s="604"/>
      <c r="C160" s="604"/>
      <c r="D160" s="603"/>
      <c r="E160" s="563"/>
      <c r="F160" s="562" t="s">
        <v>592</v>
      </c>
      <c r="G160" s="304" t="s">
        <v>501</v>
      </c>
      <c r="H160" s="304" t="s">
        <v>593</v>
      </c>
      <c r="I160" s="525" t="s">
        <v>594</v>
      </c>
      <c r="J160" s="257" t="s">
        <v>595</v>
      </c>
      <c r="K160" s="326">
        <v>600000000</v>
      </c>
      <c r="L160" s="326"/>
      <c r="M160" s="280">
        <v>44593</v>
      </c>
      <c r="N160" s="280">
        <v>44925</v>
      </c>
      <c r="O160" s="280">
        <v>44652</v>
      </c>
      <c r="P160" s="281">
        <f t="shared" si="2"/>
        <v>0.17771084337349397</v>
      </c>
      <c r="Q160" s="281">
        <f t="shared" si="14"/>
        <v>0.17771084337349397</v>
      </c>
      <c r="R160" s="282">
        <v>0.04</v>
      </c>
      <c r="S160" s="283">
        <v>0.25</v>
      </c>
      <c r="T160" s="283">
        <v>0.5</v>
      </c>
      <c r="U160" s="283">
        <v>0.75</v>
      </c>
      <c r="V160" s="283">
        <v>1</v>
      </c>
      <c r="W160" s="308">
        <v>0.1</v>
      </c>
      <c r="X160" s="283" t="s">
        <v>596</v>
      </c>
      <c r="Y160" s="352" t="s">
        <v>597</v>
      </c>
      <c r="Z160" s="284"/>
      <c r="AA160" s="285"/>
      <c r="AB160" s="285"/>
      <c r="AC160" s="284"/>
      <c r="AD160" s="285"/>
      <c r="AE160" s="285"/>
      <c r="AF160" s="284"/>
      <c r="AG160" s="285"/>
      <c r="AH160" s="285"/>
      <c r="AI160" s="286"/>
    </row>
    <row r="161" spans="1:35" ht="100.9" hidden="1" customHeight="1" outlineLevel="1" x14ac:dyDescent="0.2">
      <c r="A161" s="751"/>
      <c r="B161" s="604"/>
      <c r="C161" s="604"/>
      <c r="D161" s="603"/>
      <c r="E161" s="563"/>
      <c r="F161" s="563"/>
      <c r="G161" s="304"/>
      <c r="H161" s="304" t="s">
        <v>598</v>
      </c>
      <c r="I161" s="526"/>
      <c r="J161" s="257"/>
      <c r="K161" s="326">
        <v>60000000</v>
      </c>
      <c r="L161" s="326"/>
      <c r="M161" s="280">
        <v>44593</v>
      </c>
      <c r="N161" s="280">
        <v>44925</v>
      </c>
      <c r="O161" s="280">
        <v>44652</v>
      </c>
      <c r="P161" s="281">
        <f t="shared" ref="P161" si="17">+(+_xlfn.DAYS(M161,O161))/(+_xlfn.DAYS(M161,N161))</f>
        <v>0.17771084337349397</v>
      </c>
      <c r="Q161" s="281">
        <f t="shared" ref="Q161" si="18">+IF(P161&gt;=100,100,IF(P161&lt;=0,0,P161))</f>
        <v>0.17771084337349397</v>
      </c>
      <c r="R161" s="282">
        <v>0.04</v>
      </c>
      <c r="S161" s="283">
        <v>0.25</v>
      </c>
      <c r="T161" s="283">
        <v>0.5</v>
      </c>
      <c r="U161" s="283">
        <v>0.75</v>
      </c>
      <c r="V161" s="283">
        <v>1</v>
      </c>
      <c r="W161" s="308">
        <v>0</v>
      </c>
      <c r="X161" s="283" t="s">
        <v>599</v>
      </c>
      <c r="Y161" s="354" t="s">
        <v>506</v>
      </c>
      <c r="Z161" s="284"/>
      <c r="AA161" s="285"/>
      <c r="AB161" s="285"/>
      <c r="AC161" s="284"/>
      <c r="AD161" s="285"/>
      <c r="AE161" s="285"/>
      <c r="AF161" s="284"/>
      <c r="AG161" s="285"/>
      <c r="AH161" s="285"/>
      <c r="AI161" s="286"/>
    </row>
    <row r="162" spans="1:35" ht="93.6" hidden="1" customHeight="1" outlineLevel="1" x14ac:dyDescent="0.2">
      <c r="A162" s="751"/>
      <c r="B162" s="604"/>
      <c r="C162" s="604"/>
      <c r="D162" s="603"/>
      <c r="E162" s="563"/>
      <c r="F162" s="462" t="s">
        <v>600</v>
      </c>
      <c r="G162" s="304" t="s">
        <v>501</v>
      </c>
      <c r="H162" s="304" t="s">
        <v>601</v>
      </c>
      <c r="I162" s="304" t="s">
        <v>602</v>
      </c>
      <c r="J162" s="257" t="s">
        <v>501</v>
      </c>
      <c r="K162" s="326">
        <v>2909550</v>
      </c>
      <c r="L162" s="326"/>
      <c r="M162" s="280">
        <v>44593</v>
      </c>
      <c r="N162" s="280">
        <v>44925</v>
      </c>
      <c r="O162" s="280">
        <v>44652</v>
      </c>
      <c r="P162" s="281">
        <f t="shared" ref="P162:P223" si="19">+(+_xlfn.DAYS(M162,O162))/(+_xlfn.DAYS(M162,N162))</f>
        <v>0.17771084337349397</v>
      </c>
      <c r="Q162" s="281">
        <f t="shared" si="14"/>
        <v>0.17771084337349397</v>
      </c>
      <c r="R162" s="282">
        <v>0.7</v>
      </c>
      <c r="S162" s="283">
        <v>0.55000000000000004</v>
      </c>
      <c r="T162" s="283">
        <v>0.6</v>
      </c>
      <c r="U162" s="283">
        <v>0.65</v>
      </c>
      <c r="V162" s="283">
        <v>0.7</v>
      </c>
      <c r="W162" s="308">
        <v>0.25</v>
      </c>
      <c r="X162" s="283" t="s">
        <v>603</v>
      </c>
      <c r="Y162" s="354" t="s">
        <v>506</v>
      </c>
      <c r="Z162" s="284"/>
      <c r="AA162" s="285"/>
      <c r="AB162" s="285"/>
      <c r="AC162" s="284"/>
      <c r="AD162" s="285"/>
      <c r="AE162" s="285"/>
      <c r="AF162" s="284"/>
      <c r="AG162" s="285"/>
      <c r="AH162" s="285"/>
      <c r="AI162" s="286"/>
    </row>
    <row r="163" spans="1:35" ht="206.25" hidden="1" customHeight="1" outlineLevel="1" x14ac:dyDescent="0.2">
      <c r="A163" s="751"/>
      <c r="B163" s="604"/>
      <c r="C163" s="604"/>
      <c r="D163" s="603"/>
      <c r="E163" s="563"/>
      <c r="F163" s="462" t="s">
        <v>604</v>
      </c>
      <c r="G163" s="304" t="s">
        <v>501</v>
      </c>
      <c r="H163" s="304" t="s">
        <v>605</v>
      </c>
      <c r="I163" s="304" t="s">
        <v>606</v>
      </c>
      <c r="J163" s="257" t="s">
        <v>527</v>
      </c>
      <c r="K163" s="326" t="s">
        <v>52</v>
      </c>
      <c r="L163" s="326">
        <v>101121</v>
      </c>
      <c r="M163" s="280">
        <v>44593</v>
      </c>
      <c r="N163" s="280">
        <v>44925</v>
      </c>
      <c r="O163" s="280">
        <v>44652</v>
      </c>
      <c r="P163" s="281">
        <f t="shared" si="19"/>
        <v>0.17771084337349397</v>
      </c>
      <c r="Q163" s="281">
        <f t="shared" si="14"/>
        <v>0.17771084337349397</v>
      </c>
      <c r="R163" s="282">
        <v>0.8</v>
      </c>
      <c r="S163" s="283">
        <v>0.72</v>
      </c>
      <c r="T163" s="283">
        <v>0.75</v>
      </c>
      <c r="U163" s="283">
        <v>0.78</v>
      </c>
      <c r="V163" s="283">
        <v>0.8</v>
      </c>
      <c r="W163" s="308">
        <v>0.25</v>
      </c>
      <c r="X163" s="283" t="s">
        <v>607</v>
      </c>
      <c r="Y163" s="354" t="s">
        <v>506</v>
      </c>
      <c r="Z163" s="284"/>
      <c r="AA163" s="285"/>
      <c r="AB163" s="285"/>
      <c r="AC163" s="284"/>
      <c r="AD163" s="285"/>
      <c r="AE163" s="285"/>
      <c r="AF163" s="284"/>
      <c r="AG163" s="285"/>
      <c r="AH163" s="285"/>
      <c r="AI163" s="286"/>
    </row>
    <row r="164" spans="1:35" ht="135" hidden="1" customHeight="1" outlineLevel="1" x14ac:dyDescent="0.2">
      <c r="A164" s="751"/>
      <c r="B164" s="604"/>
      <c r="C164" s="604"/>
      <c r="D164" s="603"/>
      <c r="E164" s="563"/>
      <c r="F164" s="562" t="s">
        <v>608</v>
      </c>
      <c r="G164" s="525" t="s">
        <v>501</v>
      </c>
      <c r="H164" s="377" t="s">
        <v>609</v>
      </c>
      <c r="I164" s="304" t="s">
        <v>610</v>
      </c>
      <c r="J164" s="611" t="s">
        <v>611</v>
      </c>
      <c r="K164" s="326">
        <v>50000000</v>
      </c>
      <c r="L164" s="326"/>
      <c r="M164" s="280">
        <v>44593</v>
      </c>
      <c r="N164" s="280">
        <v>44925</v>
      </c>
      <c r="O164" s="280">
        <v>44652</v>
      </c>
      <c r="P164" s="281">
        <f t="shared" si="19"/>
        <v>0.17771084337349397</v>
      </c>
      <c r="Q164" s="281">
        <f t="shared" si="14"/>
        <v>0.17771084337349397</v>
      </c>
      <c r="R164" s="282">
        <v>1</v>
      </c>
      <c r="S164" s="283">
        <v>0.7</v>
      </c>
      <c r="T164" s="283">
        <v>0.8</v>
      </c>
      <c r="U164" s="283">
        <v>0.9</v>
      </c>
      <c r="V164" s="283">
        <v>1</v>
      </c>
      <c r="W164" s="308">
        <v>0</v>
      </c>
      <c r="X164" s="283" t="s">
        <v>612</v>
      </c>
      <c r="Y164" s="352" t="s">
        <v>52</v>
      </c>
      <c r="Z164" s="284"/>
      <c r="AA164" s="285"/>
      <c r="AB164" s="285"/>
      <c r="AC164" s="284"/>
      <c r="AD164" s="285"/>
      <c r="AE164" s="285"/>
      <c r="AF164" s="284"/>
      <c r="AG164" s="285"/>
      <c r="AH164" s="285"/>
      <c r="AI164" s="286"/>
    </row>
    <row r="165" spans="1:35" ht="103.5" hidden="1" customHeight="1" outlineLevel="1" x14ac:dyDescent="0.2">
      <c r="A165" s="751"/>
      <c r="B165" s="604"/>
      <c r="C165" s="604"/>
      <c r="D165" s="603"/>
      <c r="E165" s="563"/>
      <c r="F165" s="721"/>
      <c r="G165" s="527"/>
      <c r="H165" s="376" t="s">
        <v>613</v>
      </c>
      <c r="I165" s="442" t="s">
        <v>614</v>
      </c>
      <c r="J165" s="613"/>
      <c r="K165" s="326" t="s">
        <v>116</v>
      </c>
      <c r="L165" s="326"/>
      <c r="M165" s="280">
        <v>44593</v>
      </c>
      <c r="N165" s="280">
        <v>44925</v>
      </c>
      <c r="O165" s="280">
        <v>44652</v>
      </c>
      <c r="P165" s="281">
        <f t="shared" si="19"/>
        <v>0.17771084337349397</v>
      </c>
      <c r="Q165" s="281">
        <f t="shared" ref="Q165" si="20">+IF(P165&gt;=100,100,IF(P165&lt;=0,0,P165))</f>
        <v>0.17771084337349397</v>
      </c>
      <c r="R165" s="282">
        <v>0.3</v>
      </c>
      <c r="S165" s="283">
        <v>0.15</v>
      </c>
      <c r="T165" s="283">
        <v>0.2</v>
      </c>
      <c r="U165" s="283">
        <v>0.25</v>
      </c>
      <c r="V165" s="283">
        <v>0.3</v>
      </c>
      <c r="W165" s="308">
        <v>0.6</v>
      </c>
      <c r="X165" s="283" t="s">
        <v>615</v>
      </c>
      <c r="Y165" s="354" t="s">
        <v>506</v>
      </c>
      <c r="Z165" s="284"/>
      <c r="AA165" s="285"/>
      <c r="AB165" s="285"/>
      <c r="AC165" s="284"/>
      <c r="AD165" s="285"/>
      <c r="AE165" s="285"/>
      <c r="AF165" s="284"/>
      <c r="AG165" s="285"/>
      <c r="AH165" s="285"/>
      <c r="AI165" s="286"/>
    </row>
    <row r="166" spans="1:35" ht="60" hidden="1" customHeight="1" outlineLevel="1" x14ac:dyDescent="0.2">
      <c r="A166" s="751"/>
      <c r="B166" s="604"/>
      <c r="C166" s="604"/>
      <c r="D166" s="603"/>
      <c r="E166" s="563"/>
      <c r="F166" s="562" t="s">
        <v>616</v>
      </c>
      <c r="G166" s="304" t="s">
        <v>501</v>
      </c>
      <c r="H166" s="304" t="s">
        <v>617</v>
      </c>
      <c r="I166" s="525" t="s">
        <v>618</v>
      </c>
      <c r="J166" s="257" t="s">
        <v>501</v>
      </c>
      <c r="K166" s="326" t="s">
        <v>52</v>
      </c>
      <c r="L166" s="326"/>
      <c r="M166" s="280">
        <v>44593</v>
      </c>
      <c r="N166" s="280">
        <v>44925</v>
      </c>
      <c r="O166" s="280">
        <v>44652</v>
      </c>
      <c r="P166" s="281">
        <f t="shared" si="19"/>
        <v>0.17771084337349397</v>
      </c>
      <c r="Q166" s="281">
        <f t="shared" si="14"/>
        <v>0.17771084337349397</v>
      </c>
      <c r="R166" s="282">
        <v>0.6</v>
      </c>
      <c r="S166" s="283">
        <v>0.45</v>
      </c>
      <c r="T166" s="283">
        <v>0.5</v>
      </c>
      <c r="U166" s="283">
        <v>0.55000000000000004</v>
      </c>
      <c r="V166" s="283">
        <v>0.6</v>
      </c>
      <c r="W166" s="308">
        <v>0</v>
      </c>
      <c r="X166" s="283" t="s">
        <v>612</v>
      </c>
      <c r="Y166" s="352" t="s">
        <v>52</v>
      </c>
      <c r="Z166" s="284"/>
      <c r="AA166" s="285"/>
      <c r="AB166" s="285"/>
      <c r="AC166" s="284"/>
      <c r="AD166" s="285"/>
      <c r="AE166" s="285"/>
      <c r="AF166" s="284"/>
      <c r="AG166" s="285"/>
      <c r="AH166" s="285"/>
      <c r="AI166" s="286"/>
    </row>
    <row r="167" spans="1:35" ht="70.150000000000006" hidden="1" customHeight="1" outlineLevel="1" x14ac:dyDescent="0.2">
      <c r="A167" s="751"/>
      <c r="B167" s="604"/>
      <c r="C167" s="604"/>
      <c r="D167" s="603"/>
      <c r="E167" s="563"/>
      <c r="F167" s="721"/>
      <c r="G167" s="304" t="s">
        <v>501</v>
      </c>
      <c r="H167" s="304" t="s">
        <v>619</v>
      </c>
      <c r="I167" s="527"/>
      <c r="J167" s="257" t="s">
        <v>620</v>
      </c>
      <c r="K167" s="326">
        <v>90000000</v>
      </c>
      <c r="L167" s="326"/>
      <c r="M167" s="280">
        <v>44593</v>
      </c>
      <c r="N167" s="280">
        <v>44925</v>
      </c>
      <c r="O167" s="280">
        <v>44652</v>
      </c>
      <c r="P167" s="281">
        <f t="shared" si="19"/>
        <v>0.17771084337349397</v>
      </c>
      <c r="Q167" s="281">
        <f t="shared" si="14"/>
        <v>0.17771084337349397</v>
      </c>
      <c r="R167" s="282">
        <v>1</v>
      </c>
      <c r="S167" s="283">
        <v>0.25</v>
      </c>
      <c r="T167" s="283">
        <v>0.5</v>
      </c>
      <c r="U167" s="283">
        <v>0.75</v>
      </c>
      <c r="V167" s="283">
        <v>1</v>
      </c>
      <c r="W167" s="308">
        <v>0</v>
      </c>
      <c r="X167" s="283" t="s">
        <v>612</v>
      </c>
      <c r="Y167" s="352" t="s">
        <v>52</v>
      </c>
      <c r="Z167" s="284"/>
      <c r="AA167" s="285"/>
      <c r="AB167" s="285"/>
      <c r="AC167" s="284"/>
      <c r="AD167" s="285"/>
      <c r="AE167" s="285"/>
      <c r="AF167" s="284"/>
      <c r="AG167" s="285"/>
      <c r="AH167" s="285"/>
      <c r="AI167" s="286"/>
    </row>
    <row r="168" spans="1:35" ht="60" hidden="1" customHeight="1" outlineLevel="1" x14ac:dyDescent="0.2">
      <c r="A168" s="751"/>
      <c r="B168" s="604"/>
      <c r="C168" s="604"/>
      <c r="D168" s="603"/>
      <c r="E168" s="563"/>
      <c r="F168" s="562" t="s">
        <v>621</v>
      </c>
      <c r="G168" s="304" t="s">
        <v>501</v>
      </c>
      <c r="H168" s="304" t="s">
        <v>622</v>
      </c>
      <c r="I168" s="525" t="s">
        <v>623</v>
      </c>
      <c r="J168" s="257" t="s">
        <v>624</v>
      </c>
      <c r="K168" s="326" t="s">
        <v>52</v>
      </c>
      <c r="L168" s="326" t="s">
        <v>52</v>
      </c>
      <c r="M168" s="280">
        <v>44593</v>
      </c>
      <c r="N168" s="280">
        <v>44925</v>
      </c>
      <c r="O168" s="280">
        <v>44652</v>
      </c>
      <c r="P168" s="281">
        <f t="shared" si="19"/>
        <v>0.17771084337349397</v>
      </c>
      <c r="Q168" s="281">
        <f t="shared" si="14"/>
        <v>0.17771084337349397</v>
      </c>
      <c r="R168" s="282">
        <v>0.6</v>
      </c>
      <c r="S168" s="283">
        <v>0.45</v>
      </c>
      <c r="T168" s="283">
        <v>0.5</v>
      </c>
      <c r="U168" s="283">
        <v>0.55000000000000004</v>
      </c>
      <c r="V168" s="283">
        <v>0.6</v>
      </c>
      <c r="W168" s="308">
        <v>0.5</v>
      </c>
      <c r="X168" s="283" t="s">
        <v>625</v>
      </c>
      <c r="Y168" s="354" t="s">
        <v>506</v>
      </c>
      <c r="Z168" s="284"/>
      <c r="AA168" s="285"/>
      <c r="AB168" s="285"/>
      <c r="AC168" s="284"/>
      <c r="AD168" s="285"/>
      <c r="AE168" s="285"/>
      <c r="AF168" s="284"/>
      <c r="AG168" s="285"/>
      <c r="AH168" s="285"/>
      <c r="AI168" s="286"/>
    </row>
    <row r="169" spans="1:35" ht="119.25" hidden="1" customHeight="1" outlineLevel="1" x14ac:dyDescent="0.2">
      <c r="A169" s="751"/>
      <c r="B169" s="604"/>
      <c r="C169" s="604"/>
      <c r="D169" s="603"/>
      <c r="E169" s="563"/>
      <c r="F169" s="563"/>
      <c r="G169" s="304" t="s">
        <v>501</v>
      </c>
      <c r="H169" s="304" t="s">
        <v>626</v>
      </c>
      <c r="I169" s="526"/>
      <c r="J169" s="257" t="s">
        <v>624</v>
      </c>
      <c r="K169" s="326">
        <v>228313171</v>
      </c>
      <c r="L169" s="326">
        <v>7738004</v>
      </c>
      <c r="M169" s="280">
        <v>44593</v>
      </c>
      <c r="N169" s="280">
        <v>44925</v>
      </c>
      <c r="O169" s="280">
        <v>44652</v>
      </c>
      <c r="P169" s="281">
        <f t="shared" si="19"/>
        <v>0.17771084337349397</v>
      </c>
      <c r="Q169" s="281">
        <f t="shared" si="14"/>
        <v>0.17771084337349397</v>
      </c>
      <c r="R169" s="282">
        <v>1</v>
      </c>
      <c r="S169" s="283">
        <v>0.25</v>
      </c>
      <c r="T169" s="283">
        <v>0.5</v>
      </c>
      <c r="U169" s="283">
        <v>0.75</v>
      </c>
      <c r="V169" s="283">
        <v>1</v>
      </c>
      <c r="W169" s="308">
        <v>0.6</v>
      </c>
      <c r="X169" s="283" t="s">
        <v>627</v>
      </c>
      <c r="Y169" s="354" t="s">
        <v>506</v>
      </c>
      <c r="Z169" s="284"/>
      <c r="AA169" s="285"/>
      <c r="AB169" s="285"/>
      <c r="AC169" s="284"/>
      <c r="AD169" s="285"/>
      <c r="AE169" s="285"/>
      <c r="AF169" s="284"/>
      <c r="AG169" s="285"/>
      <c r="AH169" s="285"/>
      <c r="AI169" s="286"/>
    </row>
    <row r="170" spans="1:35" ht="147" hidden="1" customHeight="1" outlineLevel="1" x14ac:dyDescent="0.2">
      <c r="A170" s="751"/>
      <c r="B170" s="545" t="s">
        <v>39</v>
      </c>
      <c r="C170" s="545" t="s">
        <v>628</v>
      </c>
      <c r="D170" s="723" t="s">
        <v>629</v>
      </c>
      <c r="E170" s="586" t="s">
        <v>630</v>
      </c>
      <c r="F170" s="586" t="s">
        <v>631</v>
      </c>
      <c r="G170" s="534" t="s">
        <v>632</v>
      </c>
      <c r="H170" s="15" t="s">
        <v>633</v>
      </c>
      <c r="I170" s="534" t="s">
        <v>634</v>
      </c>
      <c r="J170" s="257" t="s">
        <v>189</v>
      </c>
      <c r="K170" s="362">
        <v>47733861</v>
      </c>
      <c r="L170" s="362"/>
      <c r="M170" s="280">
        <v>44593</v>
      </c>
      <c r="N170" s="280">
        <v>44925</v>
      </c>
      <c r="O170" s="280">
        <v>44652</v>
      </c>
      <c r="P170" s="281">
        <f t="shared" si="19"/>
        <v>0.17771084337349397</v>
      </c>
      <c r="Q170" s="281">
        <f t="shared" si="14"/>
        <v>0.17771084337349397</v>
      </c>
      <c r="R170" s="282">
        <v>1</v>
      </c>
      <c r="S170" s="283">
        <v>0.25</v>
      </c>
      <c r="T170" s="283">
        <v>0.5</v>
      </c>
      <c r="U170" s="283">
        <v>0.75</v>
      </c>
      <c r="V170" s="283">
        <v>1</v>
      </c>
      <c r="W170" s="308">
        <v>0.25</v>
      </c>
      <c r="X170" s="283" t="s">
        <v>635</v>
      </c>
      <c r="Y170" s="352" t="s">
        <v>636</v>
      </c>
      <c r="Z170" s="284"/>
      <c r="AA170" s="285"/>
      <c r="AB170" s="285"/>
      <c r="AC170" s="284"/>
      <c r="AD170" s="285"/>
      <c r="AE170" s="285"/>
      <c r="AF170" s="284"/>
      <c r="AG170" s="285"/>
      <c r="AH170" s="285"/>
      <c r="AI170" s="286"/>
    </row>
    <row r="171" spans="1:35" ht="61.5" hidden="1" customHeight="1" outlineLevel="1" x14ac:dyDescent="0.2">
      <c r="A171" s="751"/>
      <c r="B171" s="546"/>
      <c r="C171" s="546"/>
      <c r="D171" s="724"/>
      <c r="E171" s="587"/>
      <c r="F171" s="587"/>
      <c r="G171" s="536"/>
      <c r="H171" s="15" t="s">
        <v>637</v>
      </c>
      <c r="I171" s="535"/>
      <c r="J171" s="257" t="s">
        <v>638</v>
      </c>
      <c r="K171" s="268" t="s">
        <v>52</v>
      </c>
      <c r="L171" s="268"/>
      <c r="M171" s="280">
        <v>44593</v>
      </c>
      <c r="N171" s="280">
        <v>44925</v>
      </c>
      <c r="O171" s="280">
        <v>44652</v>
      </c>
      <c r="P171" s="281">
        <f t="shared" si="19"/>
        <v>0.17771084337349397</v>
      </c>
      <c r="Q171" s="281">
        <f t="shared" ref="Q171:Q172" si="21">+IF(P171&gt;=100,100,IF(P171&lt;=0,0,P171))</f>
        <v>0.17771084337349397</v>
      </c>
      <c r="R171" s="282">
        <v>1</v>
      </c>
      <c r="S171" s="283">
        <v>0.25</v>
      </c>
      <c r="T171" s="283">
        <v>0.5</v>
      </c>
      <c r="U171" s="283">
        <v>0.75</v>
      </c>
      <c r="V171" s="283">
        <v>1</v>
      </c>
      <c r="W171" s="308">
        <v>0.5</v>
      </c>
      <c r="X171" s="283" t="s">
        <v>639</v>
      </c>
      <c r="Y171" s="352" t="s">
        <v>640</v>
      </c>
      <c r="Z171" s="284"/>
      <c r="AA171" s="285"/>
      <c r="AB171" s="285"/>
      <c r="AC171" s="284"/>
      <c r="AD171" s="285"/>
      <c r="AE171" s="285"/>
      <c r="AF171" s="284"/>
      <c r="AG171" s="285"/>
      <c r="AH171" s="285"/>
      <c r="AI171" s="286"/>
    </row>
    <row r="172" spans="1:35" ht="96" hidden="1" customHeight="1" outlineLevel="1" x14ac:dyDescent="0.2">
      <c r="A172" s="751"/>
      <c r="B172" s="547"/>
      <c r="C172" s="547"/>
      <c r="D172" s="725"/>
      <c r="E172" s="722"/>
      <c r="F172" s="722"/>
      <c r="G172" s="15" t="s">
        <v>359</v>
      </c>
      <c r="H172" s="15" t="s">
        <v>641</v>
      </c>
      <c r="I172" s="536"/>
      <c r="J172" s="288" t="s">
        <v>642</v>
      </c>
      <c r="K172" s="326">
        <v>5000000</v>
      </c>
      <c r="L172" s="326"/>
      <c r="M172" s="280">
        <v>44593</v>
      </c>
      <c r="N172" s="280">
        <v>44925</v>
      </c>
      <c r="O172" s="280">
        <v>44652</v>
      </c>
      <c r="P172" s="281">
        <f t="shared" si="19"/>
        <v>0.17771084337349397</v>
      </c>
      <c r="Q172" s="281">
        <f t="shared" si="21"/>
        <v>0.17771084337349397</v>
      </c>
      <c r="R172" s="282">
        <v>1</v>
      </c>
      <c r="S172" s="283">
        <v>0.25</v>
      </c>
      <c r="T172" s="283">
        <v>0.5</v>
      </c>
      <c r="U172" s="283">
        <v>0.75</v>
      </c>
      <c r="V172" s="283">
        <v>1</v>
      </c>
      <c r="W172" s="308">
        <v>0.25</v>
      </c>
      <c r="X172" s="283" t="s">
        <v>643</v>
      </c>
      <c r="Y172" s="352" t="s">
        <v>52</v>
      </c>
      <c r="Z172" s="284"/>
      <c r="AA172" s="285"/>
      <c r="AB172" s="285"/>
      <c r="AC172" s="284"/>
      <c r="AD172" s="285"/>
      <c r="AE172" s="285"/>
      <c r="AF172" s="284"/>
      <c r="AG172" s="285"/>
      <c r="AH172" s="285"/>
      <c r="AI172" s="286"/>
    </row>
    <row r="173" spans="1:35" ht="118.5" hidden="1" customHeight="1" outlineLevel="1" x14ac:dyDescent="0.2">
      <c r="A173" s="751"/>
      <c r="B173" s="447" t="s">
        <v>39</v>
      </c>
      <c r="C173" s="444" t="s">
        <v>644</v>
      </c>
      <c r="D173" s="453" t="s">
        <v>645</v>
      </c>
      <c r="E173" s="13" t="s">
        <v>646</v>
      </c>
      <c r="F173" s="13" t="s">
        <v>647</v>
      </c>
      <c r="G173" s="14" t="s">
        <v>205</v>
      </c>
      <c r="H173" s="14" t="s">
        <v>648</v>
      </c>
      <c r="I173" s="14" t="s">
        <v>649</v>
      </c>
      <c r="J173" s="268" t="s">
        <v>116</v>
      </c>
      <c r="K173" s="268" t="s">
        <v>116</v>
      </c>
      <c r="L173" s="268"/>
      <c r="M173" s="280">
        <v>44593</v>
      </c>
      <c r="N173" s="280">
        <v>44925</v>
      </c>
      <c r="O173" s="280">
        <v>44652</v>
      </c>
      <c r="P173" s="281">
        <f t="shared" si="19"/>
        <v>0.17771084337349397</v>
      </c>
      <c r="Q173" s="281">
        <f t="shared" si="14"/>
        <v>0.17771084337349397</v>
      </c>
      <c r="R173" s="282">
        <v>0.4</v>
      </c>
      <c r="S173" s="283">
        <v>0.25</v>
      </c>
      <c r="T173" s="283">
        <v>0.3</v>
      </c>
      <c r="U173" s="283">
        <v>0.35</v>
      </c>
      <c r="V173" s="283">
        <v>0.4</v>
      </c>
      <c r="W173" s="308">
        <v>0</v>
      </c>
      <c r="X173" s="355"/>
      <c r="Y173" s="352"/>
      <c r="Z173" s="283"/>
      <c r="AA173" s="285"/>
      <c r="AB173" s="285"/>
      <c r="AC173" s="284"/>
      <c r="AD173" s="285"/>
      <c r="AE173" s="285"/>
      <c r="AF173" s="284"/>
      <c r="AG173" s="285"/>
      <c r="AH173" s="285"/>
      <c r="AI173" s="286"/>
    </row>
    <row r="174" spans="1:35" ht="101.25" hidden="1" customHeight="1" outlineLevel="1" x14ac:dyDescent="0.2">
      <c r="A174" s="751"/>
      <c r="B174" s="545" t="s">
        <v>39</v>
      </c>
      <c r="C174" s="545" t="s">
        <v>99</v>
      </c>
      <c r="D174" s="582" t="s">
        <v>650</v>
      </c>
      <c r="E174" s="575" t="s">
        <v>651</v>
      </c>
      <c r="F174" s="575" t="s">
        <v>652</v>
      </c>
      <c r="G174" s="752" t="s">
        <v>653</v>
      </c>
      <c r="H174" s="472" t="s">
        <v>654</v>
      </c>
      <c r="I174" s="752" t="s">
        <v>655</v>
      </c>
      <c r="J174" s="268" t="s">
        <v>189</v>
      </c>
      <c r="K174" s="326">
        <v>60172000</v>
      </c>
      <c r="L174" s="326"/>
      <c r="M174" s="280">
        <v>44593</v>
      </c>
      <c r="N174" s="280">
        <v>44925</v>
      </c>
      <c r="O174" s="280">
        <v>44652</v>
      </c>
      <c r="P174" s="281">
        <f t="shared" si="19"/>
        <v>0.17771084337349397</v>
      </c>
      <c r="Q174" s="281">
        <f t="shared" si="14"/>
        <v>0.17771084337349397</v>
      </c>
      <c r="R174" s="282">
        <v>0.09</v>
      </c>
      <c r="S174" s="283">
        <v>0.06</v>
      </c>
      <c r="T174" s="283">
        <v>7.0000000000000007E-2</v>
      </c>
      <c r="U174" s="283">
        <v>0.08</v>
      </c>
      <c r="V174" s="283">
        <v>0.09</v>
      </c>
      <c r="W174" s="308">
        <v>0.25</v>
      </c>
      <c r="X174" s="283" t="s">
        <v>656</v>
      </c>
      <c r="Y174" s="352" t="s">
        <v>657</v>
      </c>
      <c r="Z174" s="284"/>
      <c r="AA174" s="285"/>
      <c r="AB174" s="285"/>
      <c r="AC174" s="284"/>
      <c r="AD174" s="285"/>
      <c r="AE174" s="285"/>
      <c r="AF174" s="284"/>
      <c r="AG174" s="285"/>
      <c r="AH174" s="285"/>
      <c r="AI174" s="286"/>
    </row>
    <row r="175" spans="1:35" ht="93.75" hidden="1" customHeight="1" outlineLevel="1" x14ac:dyDescent="0.2">
      <c r="A175" s="751"/>
      <c r="B175" s="546"/>
      <c r="C175" s="546"/>
      <c r="D175" s="583"/>
      <c r="E175" s="576"/>
      <c r="F175" s="576"/>
      <c r="G175" s="753"/>
      <c r="H175" s="272" t="s">
        <v>658</v>
      </c>
      <c r="I175" s="753"/>
      <c r="J175" s="268" t="s">
        <v>659</v>
      </c>
      <c r="K175" s="327">
        <v>0</v>
      </c>
      <c r="L175" s="327"/>
      <c r="M175" s="280">
        <v>44593</v>
      </c>
      <c r="N175" s="280">
        <v>44925</v>
      </c>
      <c r="O175" s="280">
        <v>44652</v>
      </c>
      <c r="P175" s="281">
        <f t="shared" si="19"/>
        <v>0.17771084337349397</v>
      </c>
      <c r="Q175" s="281">
        <f t="shared" si="14"/>
        <v>0.17771084337349397</v>
      </c>
      <c r="R175" s="282">
        <v>1</v>
      </c>
      <c r="S175" s="283">
        <v>0.25</v>
      </c>
      <c r="T175" s="283">
        <v>0.5</v>
      </c>
      <c r="U175" s="283">
        <v>0.75</v>
      </c>
      <c r="V175" s="283">
        <v>1</v>
      </c>
      <c r="W175" s="308">
        <v>0.1</v>
      </c>
      <c r="X175" s="283" t="s">
        <v>660</v>
      </c>
      <c r="Y175" s="352" t="s">
        <v>371</v>
      </c>
      <c r="Z175" s="284"/>
      <c r="AA175" s="285"/>
      <c r="AB175" s="285"/>
      <c r="AC175" s="284"/>
      <c r="AD175" s="285"/>
      <c r="AE175" s="285"/>
      <c r="AF175" s="284"/>
      <c r="AG175" s="285"/>
      <c r="AH175" s="285"/>
      <c r="AI175" s="286"/>
    </row>
    <row r="176" spans="1:35" ht="112.5" hidden="1" customHeight="1" outlineLevel="1" x14ac:dyDescent="0.2">
      <c r="A176" s="751"/>
      <c r="B176" s="546"/>
      <c r="C176" s="546"/>
      <c r="D176" s="583"/>
      <c r="E176" s="576"/>
      <c r="F176" s="576"/>
      <c r="G176" s="753"/>
      <c r="H176" s="273" t="s">
        <v>661</v>
      </c>
      <c r="I176" s="753"/>
      <c r="J176" s="268" t="s">
        <v>662</v>
      </c>
      <c r="K176" s="327" t="s">
        <v>663</v>
      </c>
      <c r="L176" s="327"/>
      <c r="M176" s="280">
        <v>44593</v>
      </c>
      <c r="N176" s="280">
        <v>44925</v>
      </c>
      <c r="O176" s="280">
        <v>44652</v>
      </c>
      <c r="P176" s="281">
        <f t="shared" si="19"/>
        <v>0.17771084337349397</v>
      </c>
      <c r="Q176" s="281">
        <f t="shared" si="14"/>
        <v>0.17771084337349397</v>
      </c>
      <c r="R176" s="282">
        <v>1</v>
      </c>
      <c r="S176" s="283">
        <v>0.25</v>
      </c>
      <c r="T176" s="283">
        <v>0.5</v>
      </c>
      <c r="U176" s="283">
        <v>0.75</v>
      </c>
      <c r="V176" s="283">
        <v>1</v>
      </c>
      <c r="W176" s="308">
        <v>0.05</v>
      </c>
      <c r="X176" s="283" t="s">
        <v>664</v>
      </c>
      <c r="Y176" s="352" t="s">
        <v>52</v>
      </c>
      <c r="Z176" s="284"/>
      <c r="AA176" s="285"/>
      <c r="AB176" s="285"/>
      <c r="AC176" s="284"/>
      <c r="AD176" s="285"/>
      <c r="AE176" s="285"/>
      <c r="AF176" s="284"/>
      <c r="AG176" s="285"/>
      <c r="AH176" s="285"/>
      <c r="AI176" s="286"/>
    </row>
    <row r="177" spans="1:35" ht="95.25" hidden="1" customHeight="1" outlineLevel="1" x14ac:dyDescent="0.2">
      <c r="A177" s="751"/>
      <c r="B177" s="546"/>
      <c r="C177" s="546"/>
      <c r="D177" s="583"/>
      <c r="E177" s="576"/>
      <c r="F177" s="576"/>
      <c r="G177" s="753"/>
      <c r="H177" s="273" t="s">
        <v>665</v>
      </c>
      <c r="I177" s="753"/>
      <c r="J177" s="268" t="s">
        <v>666</v>
      </c>
      <c r="K177" s="268" t="s">
        <v>116</v>
      </c>
      <c r="L177" s="268"/>
      <c r="M177" s="280">
        <v>44593</v>
      </c>
      <c r="N177" s="280">
        <v>44925</v>
      </c>
      <c r="O177" s="280">
        <v>44652</v>
      </c>
      <c r="P177" s="281">
        <f t="shared" si="19"/>
        <v>0.17771084337349397</v>
      </c>
      <c r="Q177" s="281">
        <f t="shared" si="14"/>
        <v>0.17771084337349397</v>
      </c>
      <c r="R177" s="282">
        <v>1</v>
      </c>
      <c r="S177" s="283">
        <v>0.25</v>
      </c>
      <c r="T177" s="283">
        <v>0.5</v>
      </c>
      <c r="U177" s="283">
        <v>0.75</v>
      </c>
      <c r="V177" s="283">
        <v>1</v>
      </c>
      <c r="W177" s="308">
        <v>0.1</v>
      </c>
      <c r="X177" s="283" t="s">
        <v>667</v>
      </c>
      <c r="Y177" s="352" t="s">
        <v>52</v>
      </c>
      <c r="Z177" s="284"/>
      <c r="AA177" s="285"/>
      <c r="AB177" s="285"/>
      <c r="AC177" s="284"/>
      <c r="AD177" s="285"/>
      <c r="AE177" s="285"/>
      <c r="AF177" s="284"/>
      <c r="AG177" s="285"/>
      <c r="AH177" s="285"/>
      <c r="AI177" s="286"/>
    </row>
    <row r="178" spans="1:35" ht="75" hidden="1" customHeight="1" outlineLevel="1" x14ac:dyDescent="0.2">
      <c r="A178" s="751"/>
      <c r="B178" s="547"/>
      <c r="C178" s="547"/>
      <c r="D178" s="584"/>
      <c r="E178" s="577"/>
      <c r="F178" s="577"/>
      <c r="G178" s="754"/>
      <c r="H178" s="273" t="s">
        <v>668</v>
      </c>
      <c r="I178" s="754"/>
      <c r="J178" s="268" t="s">
        <v>669</v>
      </c>
      <c r="K178" s="268" t="s">
        <v>116</v>
      </c>
      <c r="L178" s="268"/>
      <c r="M178" s="280">
        <v>44593</v>
      </c>
      <c r="N178" s="280">
        <v>44925</v>
      </c>
      <c r="O178" s="280">
        <v>44652</v>
      </c>
      <c r="P178" s="281">
        <f t="shared" si="19"/>
        <v>0.17771084337349397</v>
      </c>
      <c r="Q178" s="281">
        <f t="shared" si="14"/>
        <v>0.17771084337349397</v>
      </c>
      <c r="R178" s="282">
        <v>1</v>
      </c>
      <c r="S178" s="283">
        <v>0.25</v>
      </c>
      <c r="T178" s="283">
        <v>0.5</v>
      </c>
      <c r="U178" s="283">
        <v>0.75</v>
      </c>
      <c r="V178" s="283">
        <v>1</v>
      </c>
      <c r="W178" s="308">
        <v>0.25</v>
      </c>
      <c r="X178" s="283" t="s">
        <v>670</v>
      </c>
      <c r="Y178" s="352" t="s">
        <v>52</v>
      </c>
      <c r="Z178" s="284"/>
      <c r="AA178" s="285"/>
      <c r="AB178" s="285"/>
      <c r="AC178" s="284"/>
      <c r="AD178" s="285"/>
      <c r="AE178" s="285"/>
      <c r="AF178" s="284"/>
      <c r="AG178" s="285"/>
      <c r="AH178" s="285"/>
      <c r="AI178" s="286"/>
    </row>
    <row r="179" spans="1:35" ht="96.75" hidden="1" customHeight="1" outlineLevel="1" x14ac:dyDescent="0.2">
      <c r="A179" s="751"/>
      <c r="B179" s="545" t="s">
        <v>39</v>
      </c>
      <c r="C179" s="444" t="s">
        <v>644</v>
      </c>
      <c r="D179" s="537" t="s">
        <v>671</v>
      </c>
      <c r="E179" s="465" t="s">
        <v>42</v>
      </c>
      <c r="F179" s="4" t="s">
        <v>43</v>
      </c>
      <c r="G179" s="5" t="s">
        <v>672</v>
      </c>
      <c r="H179" s="5" t="s">
        <v>673</v>
      </c>
      <c r="I179" s="5" t="s">
        <v>46</v>
      </c>
      <c r="J179" s="268" t="s">
        <v>674</v>
      </c>
      <c r="K179" s="268" t="s">
        <v>52</v>
      </c>
      <c r="L179" s="268"/>
      <c r="M179" s="280">
        <v>44593</v>
      </c>
      <c r="N179" s="280">
        <v>44925</v>
      </c>
      <c r="O179" s="280">
        <v>44652</v>
      </c>
      <c r="P179" s="281">
        <f t="shared" si="19"/>
        <v>0.17771084337349397</v>
      </c>
      <c r="Q179" s="281">
        <f t="shared" si="14"/>
        <v>0.17771084337349397</v>
      </c>
      <c r="R179" s="282">
        <v>1</v>
      </c>
      <c r="S179" s="283">
        <v>0.25</v>
      </c>
      <c r="T179" s="283">
        <v>0.5</v>
      </c>
      <c r="U179" s="283">
        <v>0.75</v>
      </c>
      <c r="V179" s="283">
        <v>1</v>
      </c>
      <c r="W179" s="308">
        <v>0.25</v>
      </c>
      <c r="X179" s="283" t="s">
        <v>675</v>
      </c>
      <c r="Y179" s="352" t="s">
        <v>676</v>
      </c>
      <c r="Z179" s="284"/>
      <c r="AA179" s="285"/>
      <c r="AB179" s="285"/>
      <c r="AC179" s="284"/>
      <c r="AD179" s="285"/>
      <c r="AE179" s="285"/>
      <c r="AF179" s="284"/>
      <c r="AG179" s="285"/>
      <c r="AH179" s="285"/>
      <c r="AI179" s="286"/>
    </row>
    <row r="180" spans="1:35" ht="77.25" hidden="1" customHeight="1" outlineLevel="1" x14ac:dyDescent="0.2">
      <c r="A180" s="751"/>
      <c r="B180" s="547"/>
      <c r="C180" s="446" t="s">
        <v>99</v>
      </c>
      <c r="D180" s="538"/>
      <c r="E180" s="454" t="s">
        <v>651</v>
      </c>
      <c r="F180" s="443" t="s">
        <v>426</v>
      </c>
      <c r="G180" s="456" t="s">
        <v>677</v>
      </c>
      <c r="H180" s="5" t="s">
        <v>678</v>
      </c>
      <c r="I180" s="456" t="s">
        <v>429</v>
      </c>
      <c r="J180" s="268" t="s">
        <v>679</v>
      </c>
      <c r="K180" s="268" t="s">
        <v>52</v>
      </c>
      <c r="L180" s="268"/>
      <c r="M180" s="280">
        <v>44593</v>
      </c>
      <c r="N180" s="280">
        <v>44925</v>
      </c>
      <c r="O180" s="280">
        <v>44652</v>
      </c>
      <c r="P180" s="281">
        <f t="shared" si="19"/>
        <v>0.17771084337349397</v>
      </c>
      <c r="Q180" s="281">
        <f t="shared" si="14"/>
        <v>0.17771084337349397</v>
      </c>
      <c r="R180" s="282">
        <v>1</v>
      </c>
      <c r="S180" s="283">
        <v>0.25</v>
      </c>
      <c r="T180" s="283">
        <v>0.5</v>
      </c>
      <c r="U180" s="283">
        <v>0.75</v>
      </c>
      <c r="V180" s="283">
        <v>1</v>
      </c>
      <c r="W180" s="308">
        <v>0.25</v>
      </c>
      <c r="X180" s="283" t="s">
        <v>680</v>
      </c>
      <c r="Y180" s="352" t="s">
        <v>681</v>
      </c>
      <c r="Z180" s="284"/>
      <c r="AA180" s="285"/>
      <c r="AB180" s="285"/>
      <c r="AC180" s="284"/>
      <c r="AD180" s="285"/>
      <c r="AE180" s="285"/>
      <c r="AF180" s="284"/>
      <c r="AG180" s="285"/>
      <c r="AH180" s="285"/>
      <c r="AI180" s="286"/>
    </row>
    <row r="181" spans="1:35" ht="112.5" hidden="1" customHeight="1" outlineLevel="1" x14ac:dyDescent="0.2">
      <c r="A181" s="751"/>
      <c r="B181" s="545" t="s">
        <v>39</v>
      </c>
      <c r="C181" s="545" t="s">
        <v>682</v>
      </c>
      <c r="D181" s="516" t="s">
        <v>683</v>
      </c>
      <c r="E181" s="564" t="s">
        <v>684</v>
      </c>
      <c r="F181" s="486" t="s">
        <v>685</v>
      </c>
      <c r="G181" s="249" t="s">
        <v>175</v>
      </c>
      <c r="H181" s="249" t="s">
        <v>686</v>
      </c>
      <c r="I181" s="249" t="s">
        <v>687</v>
      </c>
      <c r="J181" s="268" t="s">
        <v>688</v>
      </c>
      <c r="K181" s="268" t="s">
        <v>52</v>
      </c>
      <c r="L181" s="268"/>
      <c r="M181" s="280">
        <v>44593</v>
      </c>
      <c r="N181" s="280">
        <v>44925</v>
      </c>
      <c r="O181" s="280">
        <v>44652</v>
      </c>
      <c r="P181" s="281">
        <f t="shared" si="19"/>
        <v>0.17771084337349397</v>
      </c>
      <c r="Q181" s="281">
        <f t="shared" si="14"/>
        <v>0.17771084337349397</v>
      </c>
      <c r="R181" s="290">
        <v>7.0000000000000001E-3</v>
      </c>
      <c r="S181" s="291">
        <v>5.0000000000000001E-3</v>
      </c>
      <c r="T181" s="291">
        <v>6.0000000000000001E-3</v>
      </c>
      <c r="U181" s="291">
        <v>6.0000000000000001E-3</v>
      </c>
      <c r="V181" s="291">
        <v>7.0000000000000001E-3</v>
      </c>
      <c r="W181" s="308">
        <v>0.2</v>
      </c>
      <c r="X181" s="283" t="s">
        <v>689</v>
      </c>
      <c r="Y181" s="352" t="s">
        <v>690</v>
      </c>
      <c r="Z181" s="284"/>
      <c r="AA181" s="285"/>
      <c r="AB181" s="285"/>
      <c r="AC181" s="284"/>
      <c r="AD181" s="285"/>
      <c r="AE181" s="285"/>
      <c r="AF181" s="284"/>
      <c r="AG181" s="285"/>
      <c r="AH181" s="285"/>
      <c r="AI181" s="286"/>
    </row>
    <row r="182" spans="1:35" ht="211.5" hidden="1" customHeight="1" outlineLevel="1" x14ac:dyDescent="0.2">
      <c r="A182" s="751"/>
      <c r="B182" s="546"/>
      <c r="C182" s="546"/>
      <c r="D182" s="516"/>
      <c r="E182" s="565"/>
      <c r="F182" s="564" t="s">
        <v>691</v>
      </c>
      <c r="G182" s="559" t="s">
        <v>175</v>
      </c>
      <c r="H182" s="249" t="s">
        <v>692</v>
      </c>
      <c r="I182" s="559" t="s">
        <v>693</v>
      </c>
      <c r="J182" s="268" t="s">
        <v>694</v>
      </c>
      <c r="K182" s="268" t="s">
        <v>52</v>
      </c>
      <c r="L182" s="268"/>
      <c r="M182" s="280">
        <v>44593</v>
      </c>
      <c r="N182" s="280">
        <v>44925</v>
      </c>
      <c r="O182" s="280">
        <v>44652</v>
      </c>
      <c r="P182" s="281">
        <f t="shared" si="19"/>
        <v>0.17771084337349397</v>
      </c>
      <c r="Q182" s="281">
        <f t="shared" si="14"/>
        <v>0.17771084337349397</v>
      </c>
      <c r="R182" s="290">
        <v>7.4999999999999997E-2</v>
      </c>
      <c r="S182" s="291">
        <v>7.4999999999999997E-2</v>
      </c>
      <c r="T182" s="291">
        <v>7.4999999999999997E-2</v>
      </c>
      <c r="U182" s="291">
        <v>7.4999999999999997E-2</v>
      </c>
      <c r="V182" s="291">
        <v>7.4999999999999997E-2</v>
      </c>
      <c r="W182" s="308">
        <v>0.25</v>
      </c>
      <c r="X182" s="283" t="s">
        <v>695</v>
      </c>
      <c r="Y182" s="352" t="s">
        <v>242</v>
      </c>
      <c r="Z182" s="284"/>
      <c r="AA182" s="285"/>
      <c r="AB182" s="285"/>
      <c r="AC182" s="284"/>
      <c r="AD182" s="285"/>
      <c r="AE182" s="285"/>
      <c r="AF182" s="284"/>
      <c r="AG182" s="285"/>
      <c r="AH182" s="285"/>
      <c r="AI182" s="286"/>
    </row>
    <row r="183" spans="1:35" ht="168" hidden="1" customHeight="1" outlineLevel="1" x14ac:dyDescent="0.2">
      <c r="A183" s="751"/>
      <c r="B183" s="546"/>
      <c r="C183" s="546"/>
      <c r="D183" s="516"/>
      <c r="E183" s="565"/>
      <c r="F183" s="565"/>
      <c r="G183" s="719"/>
      <c r="H183" s="249" t="s">
        <v>696</v>
      </c>
      <c r="I183" s="719"/>
      <c r="J183" s="268" t="s">
        <v>697</v>
      </c>
      <c r="K183" s="268" t="s">
        <v>52</v>
      </c>
      <c r="L183" s="268"/>
      <c r="M183" s="280">
        <v>44593</v>
      </c>
      <c r="N183" s="280">
        <v>44925</v>
      </c>
      <c r="O183" s="280">
        <v>44652</v>
      </c>
      <c r="P183" s="281">
        <f t="shared" si="19"/>
        <v>0.17771084337349397</v>
      </c>
      <c r="Q183" s="281">
        <f t="shared" si="14"/>
        <v>0.17771084337349397</v>
      </c>
      <c r="R183" s="282">
        <v>1</v>
      </c>
      <c r="S183" s="283">
        <v>0.25</v>
      </c>
      <c r="T183" s="283">
        <v>0.5</v>
      </c>
      <c r="U183" s="283">
        <v>0.75</v>
      </c>
      <c r="V183" s="283">
        <v>1</v>
      </c>
      <c r="W183" s="308">
        <v>0.25</v>
      </c>
      <c r="X183" s="283" t="s">
        <v>698</v>
      </c>
      <c r="Y183" s="352" t="s">
        <v>699</v>
      </c>
      <c r="Z183" s="284"/>
      <c r="AA183" s="285"/>
      <c r="AB183" s="285"/>
      <c r="AC183" s="284"/>
      <c r="AD183" s="285"/>
      <c r="AE183" s="285"/>
      <c r="AF183" s="284"/>
      <c r="AG183" s="285"/>
      <c r="AH183" s="285"/>
      <c r="AI183" s="286"/>
    </row>
    <row r="184" spans="1:35" ht="90" hidden="1" customHeight="1" outlineLevel="1" x14ac:dyDescent="0.2">
      <c r="A184" s="751"/>
      <c r="B184" s="547"/>
      <c r="C184" s="547"/>
      <c r="D184" s="516"/>
      <c r="E184" s="566"/>
      <c r="F184" s="566"/>
      <c r="G184" s="560"/>
      <c r="H184" s="249" t="s">
        <v>700</v>
      </c>
      <c r="I184" s="560"/>
      <c r="J184" s="268" t="s">
        <v>701</v>
      </c>
      <c r="K184" s="268" t="s">
        <v>52</v>
      </c>
      <c r="L184" s="268"/>
      <c r="M184" s="280">
        <v>44593</v>
      </c>
      <c r="N184" s="280">
        <v>44925</v>
      </c>
      <c r="O184" s="280">
        <v>44652</v>
      </c>
      <c r="P184" s="281">
        <f t="shared" si="19"/>
        <v>0.17771084337349397</v>
      </c>
      <c r="Q184" s="281">
        <f t="shared" si="14"/>
        <v>0.17771084337349397</v>
      </c>
      <c r="R184" s="282">
        <v>1</v>
      </c>
      <c r="S184" s="283">
        <v>0.25</v>
      </c>
      <c r="T184" s="283">
        <v>0.5</v>
      </c>
      <c r="U184" s="283">
        <v>0.75</v>
      </c>
      <c r="V184" s="283">
        <v>1</v>
      </c>
      <c r="W184" s="308">
        <v>0.25</v>
      </c>
      <c r="X184" s="283" t="s">
        <v>702</v>
      </c>
      <c r="Y184" s="352" t="s">
        <v>703</v>
      </c>
      <c r="Z184" s="284"/>
      <c r="AA184" s="285"/>
      <c r="AB184" s="285"/>
      <c r="AC184" s="284"/>
      <c r="AD184" s="285"/>
      <c r="AE184" s="285"/>
      <c r="AF184" s="284"/>
      <c r="AG184" s="285"/>
      <c r="AH184" s="285"/>
      <c r="AI184" s="286"/>
    </row>
    <row r="185" spans="1:35" ht="90" hidden="1" customHeight="1" outlineLevel="1" x14ac:dyDescent="0.2">
      <c r="A185" s="751"/>
      <c r="B185" s="545" t="s">
        <v>39</v>
      </c>
      <c r="C185" s="545" t="s">
        <v>704</v>
      </c>
      <c r="D185" s="516"/>
      <c r="E185" s="561" t="s">
        <v>705</v>
      </c>
      <c r="F185" s="487" t="s">
        <v>706</v>
      </c>
      <c r="G185" s="249" t="s">
        <v>707</v>
      </c>
      <c r="H185" s="249" t="s">
        <v>708</v>
      </c>
      <c r="I185" s="249" t="s">
        <v>693</v>
      </c>
      <c r="J185" s="12" t="s">
        <v>709</v>
      </c>
      <c r="K185" s="268" t="s">
        <v>52</v>
      </c>
      <c r="L185" s="268"/>
      <c r="M185" s="280">
        <v>44593</v>
      </c>
      <c r="N185" s="280">
        <v>44925</v>
      </c>
      <c r="O185" s="280">
        <v>44652</v>
      </c>
      <c r="P185" s="281">
        <f t="shared" si="19"/>
        <v>0.17771084337349397</v>
      </c>
      <c r="Q185" s="281">
        <f t="shared" si="14"/>
        <v>0.17771084337349397</v>
      </c>
      <c r="R185" s="282">
        <v>1</v>
      </c>
      <c r="S185" s="283">
        <v>1</v>
      </c>
      <c r="T185" s="283">
        <v>1</v>
      </c>
      <c r="U185" s="283">
        <v>1</v>
      </c>
      <c r="V185" s="283">
        <v>1</v>
      </c>
      <c r="W185" s="308">
        <v>0.25</v>
      </c>
      <c r="X185" s="283" t="s">
        <v>710</v>
      </c>
      <c r="Y185" s="352" t="s">
        <v>711</v>
      </c>
      <c r="Z185" s="284"/>
      <c r="AA185" s="285"/>
      <c r="AB185" s="285"/>
      <c r="AC185" s="284"/>
      <c r="AD185" s="285"/>
      <c r="AE185" s="285"/>
      <c r="AF185" s="284"/>
      <c r="AG185" s="285"/>
      <c r="AH185" s="285"/>
      <c r="AI185" s="286"/>
    </row>
    <row r="186" spans="1:35" ht="90" hidden="1" customHeight="1" outlineLevel="1" x14ac:dyDescent="0.2">
      <c r="A186" s="751"/>
      <c r="B186" s="546"/>
      <c r="C186" s="546"/>
      <c r="D186" s="516"/>
      <c r="E186" s="561"/>
      <c r="F186" s="486" t="s">
        <v>712</v>
      </c>
      <c r="G186" s="559" t="s">
        <v>707</v>
      </c>
      <c r="H186" s="470" t="s">
        <v>713</v>
      </c>
      <c r="I186" s="470" t="s">
        <v>714</v>
      </c>
      <c r="J186" s="268" t="s">
        <v>624</v>
      </c>
      <c r="K186" s="268" t="s">
        <v>52</v>
      </c>
      <c r="L186" s="268"/>
      <c r="M186" s="280">
        <v>44593</v>
      </c>
      <c r="N186" s="280">
        <v>44925</v>
      </c>
      <c r="O186" s="280">
        <v>44652</v>
      </c>
      <c r="P186" s="281">
        <f t="shared" si="19"/>
        <v>0.17771084337349397</v>
      </c>
      <c r="Q186" s="281">
        <f t="shared" si="14"/>
        <v>0.17771084337349397</v>
      </c>
      <c r="R186" s="282">
        <v>1</v>
      </c>
      <c r="S186" s="283">
        <v>1</v>
      </c>
      <c r="T186" s="283">
        <v>1</v>
      </c>
      <c r="U186" s="283">
        <v>1</v>
      </c>
      <c r="V186" s="283">
        <v>1</v>
      </c>
      <c r="W186" s="308">
        <v>0.25</v>
      </c>
      <c r="X186" s="283" t="s">
        <v>689</v>
      </c>
      <c r="Y186" s="352" t="s">
        <v>690</v>
      </c>
      <c r="Z186" s="284"/>
      <c r="AA186" s="285"/>
      <c r="AB186" s="285"/>
      <c r="AC186" s="284"/>
      <c r="AD186" s="285"/>
      <c r="AE186" s="285"/>
      <c r="AF186" s="284"/>
      <c r="AG186" s="285"/>
      <c r="AH186" s="285"/>
      <c r="AI186" s="286"/>
    </row>
    <row r="187" spans="1:35" ht="90" hidden="1" customHeight="1" outlineLevel="1" x14ac:dyDescent="0.2">
      <c r="A187" s="751"/>
      <c r="B187" s="546"/>
      <c r="C187" s="546"/>
      <c r="D187" s="516"/>
      <c r="E187" s="561"/>
      <c r="F187" s="486" t="s">
        <v>715</v>
      </c>
      <c r="G187" s="560"/>
      <c r="H187" s="249" t="s">
        <v>716</v>
      </c>
      <c r="I187" s="249" t="s">
        <v>717</v>
      </c>
      <c r="J187" s="268" t="s">
        <v>718</v>
      </c>
      <c r="K187" s="268" t="s">
        <v>52</v>
      </c>
      <c r="L187" s="268"/>
      <c r="M187" s="280">
        <v>44593</v>
      </c>
      <c r="N187" s="280">
        <v>44925</v>
      </c>
      <c r="O187" s="280">
        <v>44652</v>
      </c>
      <c r="P187" s="281">
        <f t="shared" si="19"/>
        <v>0.17771084337349397</v>
      </c>
      <c r="Q187" s="281">
        <f t="shared" si="14"/>
        <v>0.17771084337349397</v>
      </c>
      <c r="R187" s="282">
        <v>1</v>
      </c>
      <c r="S187" s="283">
        <v>1</v>
      </c>
      <c r="T187" s="283">
        <v>1</v>
      </c>
      <c r="U187" s="283">
        <v>1</v>
      </c>
      <c r="V187" s="283">
        <v>1</v>
      </c>
      <c r="W187" s="308">
        <v>0.25</v>
      </c>
      <c r="X187" s="283" t="s">
        <v>719</v>
      </c>
      <c r="Y187" s="352" t="s">
        <v>720</v>
      </c>
      <c r="Z187" s="284"/>
      <c r="AA187" s="285"/>
      <c r="AB187" s="285"/>
      <c r="AC187" s="284"/>
      <c r="AD187" s="285"/>
      <c r="AE187" s="285"/>
      <c r="AF187" s="284"/>
      <c r="AG187" s="285"/>
      <c r="AH187" s="285"/>
      <c r="AI187" s="286"/>
    </row>
    <row r="188" spans="1:35" ht="90" hidden="1" customHeight="1" outlineLevel="1" x14ac:dyDescent="0.2">
      <c r="A188" s="751"/>
      <c r="B188" s="547"/>
      <c r="C188" s="547"/>
      <c r="D188" s="516"/>
      <c r="E188" s="488" t="s">
        <v>721</v>
      </c>
      <c r="F188" s="487" t="s">
        <v>722</v>
      </c>
      <c r="G188" s="469" t="s">
        <v>350</v>
      </c>
      <c r="H188" s="249" t="s">
        <v>723</v>
      </c>
      <c r="I188" s="468" t="s">
        <v>724</v>
      </c>
      <c r="J188" s="268" t="s">
        <v>725</v>
      </c>
      <c r="K188" s="268" t="s">
        <v>52</v>
      </c>
      <c r="L188" s="268"/>
      <c r="M188" s="280">
        <v>44593</v>
      </c>
      <c r="N188" s="280">
        <v>44925</v>
      </c>
      <c r="O188" s="280">
        <v>44652</v>
      </c>
      <c r="P188" s="281">
        <f t="shared" si="19"/>
        <v>0.17771084337349397</v>
      </c>
      <c r="Q188" s="281">
        <f t="shared" ref="Q188" si="22">+IF(P188&gt;=100,100,IF(P188&lt;=0,0,P188))</f>
        <v>0.17771084337349397</v>
      </c>
      <c r="R188" s="282">
        <v>0.6</v>
      </c>
      <c r="S188" s="283">
        <v>0.45</v>
      </c>
      <c r="T188" s="283">
        <v>0.5</v>
      </c>
      <c r="U188" s="283">
        <v>0.55000000000000004</v>
      </c>
      <c r="V188" s="283">
        <v>0.6</v>
      </c>
      <c r="W188" s="308">
        <v>0</v>
      </c>
      <c r="X188" s="355" t="s">
        <v>726</v>
      </c>
      <c r="Y188" s="352"/>
      <c r="Z188" s="284"/>
      <c r="AA188" s="285"/>
      <c r="AB188" s="285"/>
      <c r="AC188" s="284"/>
      <c r="AD188" s="285"/>
      <c r="AE188" s="285"/>
      <c r="AF188" s="284"/>
      <c r="AG188" s="285"/>
      <c r="AH188" s="285"/>
      <c r="AI188" s="286"/>
    </row>
    <row r="189" spans="1:35" ht="93.75" hidden="1" customHeight="1" outlineLevel="1" x14ac:dyDescent="0.2">
      <c r="A189" s="751"/>
      <c r="B189" s="545" t="s">
        <v>39</v>
      </c>
      <c r="C189" s="545" t="s">
        <v>727</v>
      </c>
      <c r="D189" s="516"/>
      <c r="E189" s="539" t="s">
        <v>88</v>
      </c>
      <c r="F189" s="539" t="s">
        <v>728</v>
      </c>
      <c r="G189" s="531" t="s">
        <v>729</v>
      </c>
      <c r="H189" s="11" t="s">
        <v>730</v>
      </c>
      <c r="I189" s="531" t="s">
        <v>693</v>
      </c>
      <c r="J189" s="268" t="s">
        <v>731</v>
      </c>
      <c r="K189" s="363">
        <v>18000000</v>
      </c>
      <c r="L189" s="363"/>
      <c r="M189" s="280">
        <v>44593</v>
      </c>
      <c r="N189" s="280">
        <v>44925</v>
      </c>
      <c r="O189" s="280">
        <v>44652</v>
      </c>
      <c r="P189" s="281">
        <f t="shared" si="19"/>
        <v>0.17771084337349397</v>
      </c>
      <c r="Q189" s="281">
        <f t="shared" si="14"/>
        <v>0.17771084337349397</v>
      </c>
      <c r="R189" s="282">
        <v>1</v>
      </c>
      <c r="S189" s="283">
        <v>0.25</v>
      </c>
      <c r="T189" s="283">
        <v>0.5</v>
      </c>
      <c r="U189" s="283">
        <v>0.75</v>
      </c>
      <c r="V189" s="283">
        <v>1</v>
      </c>
      <c r="W189" s="308">
        <v>0.25</v>
      </c>
      <c r="X189" s="283" t="s">
        <v>732</v>
      </c>
      <c r="Y189" s="352" t="s">
        <v>733</v>
      </c>
      <c r="Z189" s="284"/>
      <c r="AA189" s="285"/>
      <c r="AB189" s="285"/>
      <c r="AC189" s="284"/>
      <c r="AD189" s="285"/>
      <c r="AE189" s="285"/>
      <c r="AF189" s="284"/>
      <c r="AG189" s="285"/>
      <c r="AH189" s="285"/>
      <c r="AI189" s="286"/>
    </row>
    <row r="190" spans="1:35" ht="75" hidden="1" customHeight="1" outlineLevel="1" x14ac:dyDescent="0.2">
      <c r="A190" s="751"/>
      <c r="B190" s="546"/>
      <c r="C190" s="546"/>
      <c r="D190" s="516"/>
      <c r="E190" s="540"/>
      <c r="F190" s="540"/>
      <c r="G190" s="532"/>
      <c r="H190" s="11" t="s">
        <v>734</v>
      </c>
      <c r="I190" s="532"/>
      <c r="J190" s="268" t="s">
        <v>735</v>
      </c>
      <c r="K190" s="363" t="s">
        <v>736</v>
      </c>
      <c r="L190" s="363"/>
      <c r="M190" s="280">
        <v>44593</v>
      </c>
      <c r="N190" s="280">
        <v>44925</v>
      </c>
      <c r="O190" s="280">
        <v>44652</v>
      </c>
      <c r="P190" s="281">
        <f t="shared" si="19"/>
        <v>0.17771084337349397</v>
      </c>
      <c r="Q190" s="281">
        <f t="shared" si="14"/>
        <v>0.17771084337349397</v>
      </c>
      <c r="R190" s="282">
        <v>1</v>
      </c>
      <c r="S190" s="283">
        <v>0.25</v>
      </c>
      <c r="T190" s="283">
        <v>0.5</v>
      </c>
      <c r="U190" s="283">
        <v>0.75</v>
      </c>
      <c r="V190" s="283">
        <v>1</v>
      </c>
      <c r="W190" s="308">
        <v>0.25</v>
      </c>
      <c r="X190" s="283" t="s">
        <v>737</v>
      </c>
      <c r="Y190" s="352" t="s">
        <v>733</v>
      </c>
      <c r="Z190" s="284"/>
      <c r="AA190" s="285"/>
      <c r="AB190" s="285"/>
      <c r="AC190" s="284"/>
      <c r="AD190" s="285"/>
      <c r="AE190" s="285"/>
      <c r="AF190" s="284"/>
      <c r="AG190" s="285"/>
      <c r="AH190" s="285"/>
      <c r="AI190" s="286"/>
    </row>
    <row r="191" spans="1:35" ht="75" hidden="1" customHeight="1" outlineLevel="1" x14ac:dyDescent="0.2">
      <c r="A191" s="751"/>
      <c r="B191" s="546"/>
      <c r="C191" s="546"/>
      <c r="D191" s="516"/>
      <c r="E191" s="540"/>
      <c r="F191" s="540"/>
      <c r="G191" s="533"/>
      <c r="H191" s="11" t="s">
        <v>738</v>
      </c>
      <c r="I191" s="532"/>
      <c r="J191" s="268" t="s">
        <v>739</v>
      </c>
      <c r="K191" s="363" t="s">
        <v>736</v>
      </c>
      <c r="L191" s="363"/>
      <c r="M191" s="280">
        <v>44593</v>
      </c>
      <c r="N191" s="280">
        <v>44925</v>
      </c>
      <c r="O191" s="280">
        <v>44652</v>
      </c>
      <c r="P191" s="281">
        <f t="shared" si="19"/>
        <v>0.17771084337349397</v>
      </c>
      <c r="Q191" s="281">
        <f t="shared" si="14"/>
        <v>0.17771084337349397</v>
      </c>
      <c r="R191" s="282">
        <v>1</v>
      </c>
      <c r="S191" s="283">
        <v>0.25</v>
      </c>
      <c r="T191" s="283">
        <v>0.5</v>
      </c>
      <c r="U191" s="283">
        <v>0.75</v>
      </c>
      <c r="V191" s="283">
        <v>1</v>
      </c>
      <c r="W191" s="308">
        <v>0.25</v>
      </c>
      <c r="X191" s="283" t="s">
        <v>737</v>
      </c>
      <c r="Y191" s="352" t="s">
        <v>733</v>
      </c>
      <c r="Z191" s="284"/>
      <c r="AA191" s="285"/>
      <c r="AB191" s="285"/>
      <c r="AC191" s="284"/>
      <c r="AD191" s="285"/>
      <c r="AE191" s="285"/>
      <c r="AF191" s="284"/>
      <c r="AG191" s="285"/>
      <c r="AH191" s="285"/>
      <c r="AI191" s="286"/>
    </row>
    <row r="192" spans="1:35" ht="75" hidden="1" customHeight="1" outlineLevel="1" x14ac:dyDescent="0.2">
      <c r="A192" s="751"/>
      <c r="B192" s="546"/>
      <c r="C192" s="546"/>
      <c r="D192" s="516"/>
      <c r="E192" s="540"/>
      <c r="F192" s="540"/>
      <c r="G192" s="448" t="s">
        <v>740</v>
      </c>
      <c r="H192" s="506" t="s">
        <v>741</v>
      </c>
      <c r="I192" s="532"/>
      <c r="J192" s="268" t="s">
        <v>742</v>
      </c>
      <c r="K192" s="328">
        <v>916700</v>
      </c>
      <c r="L192" s="328"/>
      <c r="M192" s="280">
        <v>44593</v>
      </c>
      <c r="N192" s="280">
        <v>44925</v>
      </c>
      <c r="O192" s="280">
        <v>44652</v>
      </c>
      <c r="P192" s="281">
        <f t="shared" si="19"/>
        <v>0.17771084337349397</v>
      </c>
      <c r="Q192" s="281">
        <f t="shared" si="14"/>
        <v>0.17771084337349397</v>
      </c>
      <c r="R192" s="282">
        <v>1</v>
      </c>
      <c r="S192" s="283">
        <v>0.25</v>
      </c>
      <c r="T192" s="283">
        <v>0.5</v>
      </c>
      <c r="U192" s="283">
        <v>0.75</v>
      </c>
      <c r="V192" s="283">
        <v>1</v>
      </c>
      <c r="W192" s="308">
        <v>0.25</v>
      </c>
      <c r="X192" s="283" t="s">
        <v>743</v>
      </c>
      <c r="Y192" s="352" t="s">
        <v>371</v>
      </c>
      <c r="Z192" s="284"/>
      <c r="AA192" s="285"/>
      <c r="AB192" s="285"/>
      <c r="AC192" s="284"/>
      <c r="AD192" s="285"/>
      <c r="AE192" s="285"/>
      <c r="AF192" s="284"/>
      <c r="AG192" s="285"/>
      <c r="AH192" s="285"/>
      <c r="AI192" s="286"/>
    </row>
    <row r="193" spans="1:35" ht="72" hidden="1" customHeight="1" outlineLevel="1" x14ac:dyDescent="0.2">
      <c r="A193" s="751"/>
      <c r="B193" s="546"/>
      <c r="C193" s="546"/>
      <c r="D193" s="516"/>
      <c r="E193" s="540"/>
      <c r="F193" s="540"/>
      <c r="G193" s="449"/>
      <c r="H193" s="506" t="s">
        <v>744</v>
      </c>
      <c r="I193" s="532"/>
      <c r="J193" s="268" t="s">
        <v>745</v>
      </c>
      <c r="K193" s="328">
        <v>1145000</v>
      </c>
      <c r="L193" s="328"/>
      <c r="M193" s="280">
        <v>44593</v>
      </c>
      <c r="N193" s="280">
        <v>44925</v>
      </c>
      <c r="O193" s="280">
        <v>44652</v>
      </c>
      <c r="P193" s="281">
        <f t="shared" si="19"/>
        <v>0.17771084337349397</v>
      </c>
      <c r="Q193" s="281">
        <f t="shared" si="14"/>
        <v>0.17771084337349397</v>
      </c>
      <c r="R193" s="282">
        <v>1</v>
      </c>
      <c r="S193" s="283">
        <v>0.25</v>
      </c>
      <c r="T193" s="283">
        <v>0.5</v>
      </c>
      <c r="U193" s="283">
        <v>0.75</v>
      </c>
      <c r="V193" s="283">
        <v>1</v>
      </c>
      <c r="W193" s="308">
        <v>0.25</v>
      </c>
      <c r="X193" s="283" t="s">
        <v>743</v>
      </c>
      <c r="Y193" s="352" t="s">
        <v>371</v>
      </c>
      <c r="Z193" s="284"/>
      <c r="AA193" s="285"/>
      <c r="AB193" s="285"/>
      <c r="AC193" s="284"/>
      <c r="AD193" s="285"/>
      <c r="AE193" s="285"/>
      <c r="AF193" s="284"/>
      <c r="AG193" s="285"/>
      <c r="AH193" s="285"/>
      <c r="AI193" s="286"/>
    </row>
    <row r="194" spans="1:35" ht="72" hidden="1" customHeight="1" outlineLevel="1" x14ac:dyDescent="0.2">
      <c r="A194" s="751"/>
      <c r="B194" s="546"/>
      <c r="C194" s="546"/>
      <c r="D194" s="516"/>
      <c r="E194" s="540"/>
      <c r="F194" s="540"/>
      <c r="G194" s="449"/>
      <c r="H194" s="11" t="s">
        <v>1855</v>
      </c>
      <c r="I194" s="532"/>
      <c r="J194" s="268" t="s">
        <v>746</v>
      </c>
      <c r="K194" s="328" t="s">
        <v>116</v>
      </c>
      <c r="L194" s="328"/>
      <c r="M194" s="280">
        <v>44593</v>
      </c>
      <c r="N194" s="280">
        <v>44925</v>
      </c>
      <c r="O194" s="280">
        <v>44652</v>
      </c>
      <c r="P194" s="281">
        <f t="shared" si="19"/>
        <v>0.17771084337349397</v>
      </c>
      <c r="Q194" s="281">
        <f t="shared" si="14"/>
        <v>0.17771084337349397</v>
      </c>
      <c r="R194" s="282">
        <v>1</v>
      </c>
      <c r="S194" s="283">
        <v>0.25</v>
      </c>
      <c r="T194" s="283">
        <v>0.5</v>
      </c>
      <c r="U194" s="283">
        <v>0.75</v>
      </c>
      <c r="V194" s="283">
        <v>1</v>
      </c>
      <c r="W194" s="308">
        <v>0</v>
      </c>
      <c r="X194" s="283" t="s">
        <v>747</v>
      </c>
      <c r="Y194" s="352" t="s">
        <v>52</v>
      </c>
      <c r="Z194" s="284"/>
      <c r="AA194" s="285"/>
      <c r="AB194" s="285"/>
      <c r="AC194" s="284"/>
      <c r="AD194" s="285"/>
      <c r="AE194" s="285"/>
      <c r="AF194" s="284"/>
      <c r="AG194" s="285"/>
      <c r="AH194" s="285"/>
      <c r="AI194" s="286"/>
    </row>
    <row r="195" spans="1:35" ht="72" hidden="1" customHeight="1" outlineLevel="1" x14ac:dyDescent="0.2">
      <c r="A195" s="751"/>
      <c r="B195" s="546"/>
      <c r="C195" s="546"/>
      <c r="D195" s="516"/>
      <c r="E195" s="540"/>
      <c r="F195" s="540"/>
      <c r="G195" s="449"/>
      <c r="H195" s="506"/>
      <c r="I195" s="532"/>
      <c r="J195" s="268" t="s">
        <v>748</v>
      </c>
      <c r="K195" s="328"/>
      <c r="L195" s="328"/>
      <c r="M195" s="280">
        <v>44593</v>
      </c>
      <c r="N195" s="280">
        <v>44925</v>
      </c>
      <c r="O195" s="280">
        <v>44652</v>
      </c>
      <c r="P195" s="281">
        <f t="shared" si="19"/>
        <v>0.17771084337349397</v>
      </c>
      <c r="Q195" s="281">
        <f t="shared" si="14"/>
        <v>0.17771084337349397</v>
      </c>
      <c r="R195" s="282">
        <v>1</v>
      </c>
      <c r="S195" s="283">
        <v>0.25</v>
      </c>
      <c r="T195" s="283">
        <v>0.5</v>
      </c>
      <c r="U195" s="283">
        <v>0.75</v>
      </c>
      <c r="V195" s="283">
        <v>1</v>
      </c>
      <c r="W195" s="308">
        <v>0</v>
      </c>
      <c r="X195" s="283" t="s">
        <v>747</v>
      </c>
      <c r="Y195" s="352" t="s">
        <v>52</v>
      </c>
      <c r="Z195" s="284"/>
      <c r="AA195" s="285"/>
      <c r="AB195" s="285"/>
      <c r="AC195" s="284"/>
      <c r="AD195" s="285"/>
      <c r="AE195" s="285"/>
      <c r="AF195" s="284"/>
      <c r="AG195" s="285"/>
      <c r="AH195" s="285"/>
      <c r="AI195" s="286"/>
    </row>
    <row r="196" spans="1:35" ht="75" hidden="1" customHeight="1" outlineLevel="1" x14ac:dyDescent="0.2">
      <c r="A196" s="751"/>
      <c r="B196" s="546"/>
      <c r="C196" s="546"/>
      <c r="D196" s="516"/>
      <c r="E196" s="540"/>
      <c r="F196" s="540"/>
      <c r="G196" s="449"/>
      <c r="H196" s="506"/>
      <c r="I196" s="532"/>
      <c r="J196" s="268" t="s">
        <v>749</v>
      </c>
      <c r="K196" s="328">
        <v>8937900</v>
      </c>
      <c r="L196" s="328"/>
      <c r="M196" s="280">
        <v>44593</v>
      </c>
      <c r="N196" s="280">
        <v>44925</v>
      </c>
      <c r="O196" s="280">
        <v>44652</v>
      </c>
      <c r="P196" s="281">
        <f t="shared" si="19"/>
        <v>0.17771084337349397</v>
      </c>
      <c r="Q196" s="281">
        <f t="shared" ref="Q196:Q242" si="23">+IF(P196&gt;=100,100,IF(P196&lt;=0,0,P196))</f>
        <v>0.17771084337349397</v>
      </c>
      <c r="R196" s="282">
        <v>1</v>
      </c>
      <c r="S196" s="283">
        <v>0.25</v>
      </c>
      <c r="T196" s="283">
        <v>0.5</v>
      </c>
      <c r="U196" s="283">
        <v>0.75</v>
      </c>
      <c r="V196" s="283">
        <v>1</v>
      </c>
      <c r="W196" s="308">
        <v>0</v>
      </c>
      <c r="X196" s="283" t="s">
        <v>747</v>
      </c>
      <c r="Y196" s="352" t="s">
        <v>52</v>
      </c>
      <c r="Z196" s="284"/>
      <c r="AA196" s="285"/>
      <c r="AB196" s="285"/>
      <c r="AC196" s="284"/>
      <c r="AD196" s="285"/>
      <c r="AE196" s="285"/>
      <c r="AF196" s="284"/>
      <c r="AG196" s="285"/>
      <c r="AH196" s="285"/>
      <c r="AI196" s="286"/>
    </row>
    <row r="197" spans="1:35" ht="85.5" hidden="1" customHeight="1" outlineLevel="1" x14ac:dyDescent="0.2">
      <c r="A197" s="751"/>
      <c r="B197" s="546"/>
      <c r="C197" s="546"/>
      <c r="D197" s="516"/>
      <c r="E197" s="540"/>
      <c r="F197" s="540"/>
      <c r="G197" s="449"/>
      <c r="H197" s="11" t="s">
        <v>750</v>
      </c>
      <c r="I197" s="532"/>
      <c r="J197" s="268" t="s">
        <v>751</v>
      </c>
      <c r="K197" s="328">
        <v>6000000</v>
      </c>
      <c r="L197" s="328"/>
      <c r="M197" s="280">
        <v>44593</v>
      </c>
      <c r="N197" s="280">
        <v>44925</v>
      </c>
      <c r="O197" s="280">
        <v>44652</v>
      </c>
      <c r="P197" s="281">
        <f t="shared" si="19"/>
        <v>0.17771084337349397</v>
      </c>
      <c r="Q197" s="281">
        <f t="shared" si="23"/>
        <v>0.17771084337349397</v>
      </c>
      <c r="R197" s="282">
        <v>1</v>
      </c>
      <c r="S197" s="283">
        <v>0.25</v>
      </c>
      <c r="T197" s="283">
        <v>0.5</v>
      </c>
      <c r="U197" s="283">
        <v>0.75</v>
      </c>
      <c r="V197" s="283">
        <v>1</v>
      </c>
      <c r="W197" s="308">
        <v>0.1</v>
      </c>
      <c r="X197" s="283" t="s">
        <v>743</v>
      </c>
      <c r="Y197" s="352" t="s">
        <v>371</v>
      </c>
      <c r="Z197" s="284"/>
      <c r="AA197" s="285"/>
      <c r="AB197" s="285"/>
      <c r="AC197" s="284"/>
      <c r="AD197" s="285"/>
      <c r="AE197" s="285"/>
      <c r="AF197" s="284"/>
      <c r="AG197" s="285"/>
      <c r="AH197" s="285"/>
      <c r="AI197" s="286"/>
    </row>
    <row r="198" spans="1:35" ht="56.25" hidden="1" customHeight="1" outlineLevel="1" x14ac:dyDescent="0.2">
      <c r="A198" s="751"/>
      <c r="B198" s="546"/>
      <c r="C198" s="546"/>
      <c r="D198" s="516"/>
      <c r="E198" s="540"/>
      <c r="F198" s="540"/>
      <c r="G198" s="449"/>
      <c r="H198" s="506" t="s">
        <v>752</v>
      </c>
      <c r="I198" s="532"/>
      <c r="J198" s="268" t="s">
        <v>363</v>
      </c>
      <c r="K198" s="328">
        <v>550000</v>
      </c>
      <c r="L198" s="328"/>
      <c r="M198" s="280">
        <v>44593</v>
      </c>
      <c r="N198" s="280">
        <v>44925</v>
      </c>
      <c r="O198" s="280">
        <v>44652</v>
      </c>
      <c r="P198" s="281">
        <f t="shared" si="19"/>
        <v>0.17771084337349397</v>
      </c>
      <c r="Q198" s="281">
        <f t="shared" si="23"/>
        <v>0.17771084337349397</v>
      </c>
      <c r="R198" s="282">
        <v>1</v>
      </c>
      <c r="S198" s="283">
        <v>0.25</v>
      </c>
      <c r="T198" s="283">
        <v>0.5</v>
      </c>
      <c r="U198" s="283">
        <v>0.75</v>
      </c>
      <c r="V198" s="283">
        <v>1</v>
      </c>
      <c r="W198" s="308">
        <v>0</v>
      </c>
      <c r="X198" s="283" t="s">
        <v>747</v>
      </c>
      <c r="Y198" s="352" t="s">
        <v>52</v>
      </c>
      <c r="Z198" s="284"/>
      <c r="AA198" s="285"/>
      <c r="AB198" s="285"/>
      <c r="AC198" s="284"/>
      <c r="AD198" s="285"/>
      <c r="AE198" s="285"/>
      <c r="AF198" s="284"/>
      <c r="AG198" s="285"/>
      <c r="AH198" s="285"/>
      <c r="AI198" s="286"/>
    </row>
    <row r="199" spans="1:35" ht="75" hidden="1" customHeight="1" outlineLevel="1" x14ac:dyDescent="0.2">
      <c r="A199" s="751"/>
      <c r="B199" s="546"/>
      <c r="C199" s="546"/>
      <c r="D199" s="516"/>
      <c r="E199" s="540"/>
      <c r="F199" s="540"/>
      <c r="G199" s="449"/>
      <c r="H199" s="506" t="s">
        <v>753</v>
      </c>
      <c r="I199" s="532"/>
      <c r="J199" s="268" t="s">
        <v>742</v>
      </c>
      <c r="K199" s="328">
        <v>401390</v>
      </c>
      <c r="L199" s="328"/>
      <c r="M199" s="280">
        <v>44593</v>
      </c>
      <c r="N199" s="280">
        <v>44925</v>
      </c>
      <c r="O199" s="280">
        <v>44652</v>
      </c>
      <c r="P199" s="281">
        <f t="shared" si="19"/>
        <v>0.17771084337349397</v>
      </c>
      <c r="Q199" s="281">
        <f t="shared" si="23"/>
        <v>0.17771084337349397</v>
      </c>
      <c r="R199" s="282">
        <v>1</v>
      </c>
      <c r="S199" s="283">
        <v>0.25</v>
      </c>
      <c r="T199" s="283">
        <v>0.5</v>
      </c>
      <c r="U199" s="283">
        <v>0.75</v>
      </c>
      <c r="V199" s="283">
        <v>1</v>
      </c>
      <c r="W199" s="308">
        <v>0</v>
      </c>
      <c r="X199" s="283" t="s">
        <v>747</v>
      </c>
      <c r="Y199" s="352" t="s">
        <v>52</v>
      </c>
      <c r="Z199" s="284"/>
      <c r="AA199" s="285"/>
      <c r="AB199" s="285"/>
      <c r="AC199" s="284"/>
      <c r="AD199" s="285"/>
      <c r="AE199" s="285"/>
      <c r="AF199" s="284"/>
      <c r="AG199" s="285"/>
      <c r="AH199" s="285"/>
      <c r="AI199" s="286"/>
    </row>
    <row r="200" spans="1:35" ht="93.75" hidden="1" customHeight="1" outlineLevel="1" x14ac:dyDescent="0.2">
      <c r="A200" s="751"/>
      <c r="B200" s="546"/>
      <c r="C200" s="546"/>
      <c r="D200" s="516"/>
      <c r="E200" s="540"/>
      <c r="F200" s="540"/>
      <c r="G200" s="449"/>
      <c r="H200" s="506" t="s">
        <v>754</v>
      </c>
      <c r="I200" s="532"/>
      <c r="J200" s="268" t="s">
        <v>755</v>
      </c>
      <c r="K200" s="328">
        <v>3667136</v>
      </c>
      <c r="L200" s="328"/>
      <c r="M200" s="280">
        <v>44593</v>
      </c>
      <c r="N200" s="280">
        <v>44925</v>
      </c>
      <c r="O200" s="280">
        <v>44652</v>
      </c>
      <c r="P200" s="281">
        <f t="shared" si="19"/>
        <v>0.17771084337349397</v>
      </c>
      <c r="Q200" s="281">
        <f t="shared" si="23"/>
        <v>0.17771084337349397</v>
      </c>
      <c r="R200" s="282">
        <v>1</v>
      </c>
      <c r="S200" s="283">
        <v>0.25</v>
      </c>
      <c r="T200" s="283">
        <v>0.5</v>
      </c>
      <c r="U200" s="283">
        <v>0.75</v>
      </c>
      <c r="V200" s="283">
        <v>1</v>
      </c>
      <c r="W200" s="308">
        <v>0</v>
      </c>
      <c r="X200" s="283" t="s">
        <v>747</v>
      </c>
      <c r="Y200" s="352" t="s">
        <v>52</v>
      </c>
      <c r="Z200" s="284"/>
      <c r="AA200" s="285"/>
      <c r="AB200" s="285"/>
      <c r="AC200" s="284"/>
      <c r="AD200" s="285"/>
      <c r="AE200" s="285"/>
      <c r="AF200" s="284"/>
      <c r="AG200" s="285"/>
      <c r="AH200" s="285"/>
      <c r="AI200" s="286"/>
    </row>
    <row r="201" spans="1:35" ht="56.25" hidden="1" customHeight="1" outlineLevel="1" x14ac:dyDescent="0.2">
      <c r="A201" s="751"/>
      <c r="B201" s="546"/>
      <c r="C201" s="546"/>
      <c r="D201" s="516"/>
      <c r="E201" s="540"/>
      <c r="F201" s="540"/>
      <c r="G201" s="449"/>
      <c r="H201" s="11" t="s">
        <v>756</v>
      </c>
      <c r="I201" s="532"/>
      <c r="J201" s="268" t="s">
        <v>757</v>
      </c>
      <c r="K201" s="328">
        <v>25000000</v>
      </c>
      <c r="L201" s="328"/>
      <c r="M201" s="280">
        <v>44593</v>
      </c>
      <c r="N201" s="280">
        <v>44925</v>
      </c>
      <c r="O201" s="280">
        <v>44652</v>
      </c>
      <c r="P201" s="281">
        <f t="shared" si="19"/>
        <v>0.17771084337349397</v>
      </c>
      <c r="Q201" s="281">
        <f t="shared" si="23"/>
        <v>0.17771084337349397</v>
      </c>
      <c r="R201" s="282">
        <v>1</v>
      </c>
      <c r="S201" s="283">
        <v>0.25</v>
      </c>
      <c r="T201" s="283">
        <v>0.5</v>
      </c>
      <c r="U201" s="283">
        <v>0.75</v>
      </c>
      <c r="V201" s="283">
        <v>1</v>
      </c>
      <c r="W201" s="308">
        <v>0</v>
      </c>
      <c r="X201" s="283" t="s">
        <v>747</v>
      </c>
      <c r="Y201" s="352" t="s">
        <v>52</v>
      </c>
      <c r="Z201" s="284"/>
      <c r="AA201" s="285"/>
      <c r="AB201" s="285"/>
      <c r="AC201" s="284"/>
      <c r="AD201" s="285"/>
      <c r="AE201" s="285"/>
      <c r="AF201" s="284"/>
      <c r="AG201" s="285"/>
      <c r="AH201" s="285"/>
      <c r="AI201" s="286"/>
    </row>
    <row r="202" spans="1:35" ht="56.25" hidden="1" customHeight="1" outlineLevel="1" x14ac:dyDescent="0.2">
      <c r="A202" s="751"/>
      <c r="B202" s="547"/>
      <c r="C202" s="547"/>
      <c r="D202" s="516"/>
      <c r="E202" s="541"/>
      <c r="F202" s="541"/>
      <c r="G202" s="450"/>
      <c r="H202" s="11" t="s">
        <v>758</v>
      </c>
      <c r="I202" s="533"/>
      <c r="J202" s="268" t="s">
        <v>759</v>
      </c>
      <c r="K202" s="328">
        <v>0</v>
      </c>
      <c r="L202" s="328"/>
      <c r="M202" s="280">
        <v>44593</v>
      </c>
      <c r="N202" s="280">
        <v>44925</v>
      </c>
      <c r="O202" s="280">
        <v>44652</v>
      </c>
      <c r="P202" s="281">
        <f t="shared" si="19"/>
        <v>0.17771084337349397</v>
      </c>
      <c r="Q202" s="281">
        <f t="shared" si="23"/>
        <v>0.17771084337349397</v>
      </c>
      <c r="R202" s="282">
        <v>1</v>
      </c>
      <c r="S202" s="283">
        <v>0.25</v>
      </c>
      <c r="T202" s="283">
        <v>0.5</v>
      </c>
      <c r="U202" s="283">
        <v>0.75</v>
      </c>
      <c r="V202" s="283">
        <v>1</v>
      </c>
      <c r="W202" s="308">
        <v>0</v>
      </c>
      <c r="X202" s="283" t="s">
        <v>747</v>
      </c>
      <c r="Y202" s="352" t="s">
        <v>52</v>
      </c>
      <c r="Z202" s="284"/>
      <c r="AA202" s="285"/>
      <c r="AB202" s="285"/>
      <c r="AC202" s="284"/>
      <c r="AD202" s="285"/>
      <c r="AE202" s="285"/>
      <c r="AF202" s="284"/>
      <c r="AG202" s="285"/>
      <c r="AH202" s="285"/>
      <c r="AI202" s="286"/>
    </row>
    <row r="203" spans="1:35" ht="131.25" hidden="1" customHeight="1" outlineLevel="1" x14ac:dyDescent="0.2">
      <c r="A203" s="751"/>
      <c r="B203" s="545" t="s">
        <v>760</v>
      </c>
      <c r="C203" s="545" t="s">
        <v>761</v>
      </c>
      <c r="D203" s="516"/>
      <c r="E203" s="539" t="s">
        <v>762</v>
      </c>
      <c r="F203" s="539" t="s">
        <v>763</v>
      </c>
      <c r="G203" s="531" t="s">
        <v>764</v>
      </c>
      <c r="H203" s="11" t="s">
        <v>765</v>
      </c>
      <c r="I203" s="531" t="s">
        <v>766</v>
      </c>
      <c r="J203" s="268" t="s">
        <v>767</v>
      </c>
      <c r="K203" s="328">
        <v>7500000</v>
      </c>
      <c r="L203" s="328"/>
      <c r="M203" s="280">
        <v>44593</v>
      </c>
      <c r="N203" s="280">
        <v>44925</v>
      </c>
      <c r="O203" s="280">
        <v>44652</v>
      </c>
      <c r="P203" s="281">
        <f t="shared" si="19"/>
        <v>0.17771084337349397</v>
      </c>
      <c r="Q203" s="281">
        <f t="shared" si="23"/>
        <v>0.17771084337349397</v>
      </c>
      <c r="R203" s="282">
        <v>1</v>
      </c>
      <c r="S203" s="283">
        <v>0.25</v>
      </c>
      <c r="T203" s="283">
        <v>0.5</v>
      </c>
      <c r="U203" s="283">
        <v>0.75</v>
      </c>
      <c r="V203" s="283">
        <v>1</v>
      </c>
      <c r="W203" s="308">
        <v>0</v>
      </c>
      <c r="X203" s="283" t="s">
        <v>747</v>
      </c>
      <c r="Y203" s="352" t="s">
        <v>52</v>
      </c>
      <c r="Z203" s="284"/>
      <c r="AA203" s="285"/>
      <c r="AB203" s="285"/>
      <c r="AC203" s="284"/>
      <c r="AD203" s="285"/>
      <c r="AE203" s="285"/>
      <c r="AF203" s="284"/>
      <c r="AG203" s="285"/>
      <c r="AH203" s="285"/>
      <c r="AI203" s="286"/>
    </row>
    <row r="204" spans="1:35" ht="46.5" hidden="1" customHeight="1" outlineLevel="1" x14ac:dyDescent="0.2">
      <c r="A204" s="751"/>
      <c r="B204" s="546"/>
      <c r="C204" s="546"/>
      <c r="D204" s="516"/>
      <c r="E204" s="540"/>
      <c r="F204" s="540"/>
      <c r="G204" s="532"/>
      <c r="H204" s="11" t="s">
        <v>768</v>
      </c>
      <c r="I204" s="532"/>
      <c r="J204" s="268" t="s">
        <v>769</v>
      </c>
      <c r="K204" s="328">
        <v>10256910</v>
      </c>
      <c r="L204" s="328"/>
      <c r="M204" s="280">
        <v>44593</v>
      </c>
      <c r="N204" s="280">
        <v>44925</v>
      </c>
      <c r="O204" s="280">
        <v>44652</v>
      </c>
      <c r="P204" s="281">
        <f t="shared" si="19"/>
        <v>0.17771084337349397</v>
      </c>
      <c r="Q204" s="281">
        <f t="shared" si="23"/>
        <v>0.17771084337349397</v>
      </c>
      <c r="R204" s="282">
        <v>1</v>
      </c>
      <c r="S204" s="283">
        <v>0.25</v>
      </c>
      <c r="T204" s="283">
        <v>0.5</v>
      </c>
      <c r="U204" s="283">
        <v>0.75</v>
      </c>
      <c r="V204" s="283">
        <v>1</v>
      </c>
      <c r="W204" s="308">
        <v>0</v>
      </c>
      <c r="X204" s="283" t="s">
        <v>747</v>
      </c>
      <c r="Y204" s="352" t="s">
        <v>52</v>
      </c>
      <c r="Z204" s="284"/>
      <c r="AA204" s="285"/>
      <c r="AB204" s="285"/>
      <c r="AC204" s="284"/>
      <c r="AD204" s="285"/>
      <c r="AE204" s="285"/>
      <c r="AF204" s="284"/>
      <c r="AG204" s="285"/>
      <c r="AH204" s="285"/>
      <c r="AI204" s="286"/>
    </row>
    <row r="205" spans="1:35" ht="56.25" hidden="1" customHeight="1" outlineLevel="1" x14ac:dyDescent="0.2">
      <c r="A205" s="751"/>
      <c r="B205" s="546"/>
      <c r="C205" s="546"/>
      <c r="D205" s="516"/>
      <c r="E205" s="540"/>
      <c r="F205" s="540"/>
      <c r="G205" s="532"/>
      <c r="H205" s="11" t="s">
        <v>770</v>
      </c>
      <c r="I205" s="532"/>
      <c r="J205" s="268" t="s">
        <v>771</v>
      </c>
      <c r="K205" s="328">
        <v>1188000</v>
      </c>
      <c r="L205" s="328"/>
      <c r="M205" s="280">
        <v>44593</v>
      </c>
      <c r="N205" s="280">
        <v>44925</v>
      </c>
      <c r="O205" s="280">
        <v>44652</v>
      </c>
      <c r="P205" s="281">
        <f t="shared" si="19"/>
        <v>0.17771084337349397</v>
      </c>
      <c r="Q205" s="281">
        <f t="shared" si="23"/>
        <v>0.17771084337349397</v>
      </c>
      <c r="R205" s="282">
        <v>1</v>
      </c>
      <c r="S205" s="283">
        <v>0.25</v>
      </c>
      <c r="T205" s="283">
        <v>0.5</v>
      </c>
      <c r="U205" s="283">
        <v>0.75</v>
      </c>
      <c r="V205" s="283">
        <v>1</v>
      </c>
      <c r="W205" s="308">
        <v>0</v>
      </c>
      <c r="X205" s="283" t="s">
        <v>747</v>
      </c>
      <c r="Y205" s="352" t="s">
        <v>52</v>
      </c>
      <c r="Z205" s="284"/>
      <c r="AA205" s="285"/>
      <c r="AB205" s="285"/>
      <c r="AC205" s="284"/>
      <c r="AD205" s="285"/>
      <c r="AE205" s="285"/>
      <c r="AF205" s="284"/>
      <c r="AG205" s="285"/>
      <c r="AH205" s="285"/>
      <c r="AI205" s="286"/>
    </row>
    <row r="206" spans="1:35" ht="112.5" hidden="1" customHeight="1" outlineLevel="1" x14ac:dyDescent="0.2">
      <c r="A206" s="751"/>
      <c r="B206" s="546"/>
      <c r="C206" s="546"/>
      <c r="D206" s="516"/>
      <c r="E206" s="540"/>
      <c r="F206" s="540"/>
      <c r="G206" s="532"/>
      <c r="H206" s="11" t="s">
        <v>772</v>
      </c>
      <c r="I206" s="532"/>
      <c r="J206" s="268" t="s">
        <v>773</v>
      </c>
      <c r="K206" s="328">
        <v>30200000</v>
      </c>
      <c r="L206" s="328"/>
      <c r="M206" s="280">
        <v>44593</v>
      </c>
      <c r="N206" s="280">
        <v>44925</v>
      </c>
      <c r="O206" s="280">
        <v>44652</v>
      </c>
      <c r="P206" s="281">
        <f t="shared" si="19"/>
        <v>0.17771084337349397</v>
      </c>
      <c r="Q206" s="281">
        <f t="shared" si="23"/>
        <v>0.17771084337349397</v>
      </c>
      <c r="R206" s="282">
        <v>1</v>
      </c>
      <c r="S206" s="283">
        <v>0.25</v>
      </c>
      <c r="T206" s="283">
        <v>0.5</v>
      </c>
      <c r="U206" s="283">
        <v>0.75</v>
      </c>
      <c r="V206" s="283">
        <v>1</v>
      </c>
      <c r="W206" s="308">
        <v>0.25</v>
      </c>
      <c r="X206" s="283" t="s">
        <v>774</v>
      </c>
      <c r="Y206" s="352" t="s">
        <v>371</v>
      </c>
      <c r="Z206" s="284"/>
      <c r="AA206" s="285"/>
      <c r="AB206" s="285"/>
      <c r="AC206" s="284"/>
      <c r="AD206" s="285"/>
      <c r="AE206" s="285"/>
      <c r="AF206" s="284"/>
      <c r="AG206" s="285"/>
      <c r="AH206" s="285"/>
      <c r="AI206" s="286"/>
    </row>
    <row r="207" spans="1:35" ht="56.25" hidden="1" customHeight="1" outlineLevel="1" x14ac:dyDescent="0.2">
      <c r="A207" s="751"/>
      <c r="B207" s="546"/>
      <c r="C207" s="546"/>
      <c r="D207" s="516"/>
      <c r="E207" s="540"/>
      <c r="F207" s="540"/>
      <c r="G207" s="532"/>
      <c r="H207" s="11" t="s">
        <v>775</v>
      </c>
      <c r="I207" s="532"/>
      <c r="J207" s="268" t="s">
        <v>776</v>
      </c>
      <c r="K207" s="328">
        <v>94870000</v>
      </c>
      <c r="L207" s="328"/>
      <c r="M207" s="280">
        <v>44593</v>
      </c>
      <c r="N207" s="280">
        <v>44925</v>
      </c>
      <c r="O207" s="280">
        <v>44652</v>
      </c>
      <c r="P207" s="281">
        <f t="shared" si="19"/>
        <v>0.17771084337349397</v>
      </c>
      <c r="Q207" s="281">
        <f t="shared" si="23"/>
        <v>0.17771084337349397</v>
      </c>
      <c r="R207" s="282">
        <v>1</v>
      </c>
      <c r="S207" s="283">
        <v>0.25</v>
      </c>
      <c r="T207" s="283">
        <v>0.5</v>
      </c>
      <c r="U207" s="283">
        <v>0.75</v>
      </c>
      <c r="V207" s="283">
        <v>1</v>
      </c>
      <c r="W207" s="308">
        <v>0.25</v>
      </c>
      <c r="X207" s="283" t="s">
        <v>777</v>
      </c>
      <c r="Y207" s="352" t="s">
        <v>371</v>
      </c>
      <c r="Z207" s="284"/>
      <c r="AA207" s="285"/>
      <c r="AB207" s="285"/>
      <c r="AC207" s="284"/>
      <c r="AD207" s="285"/>
      <c r="AE207" s="285"/>
      <c r="AF207" s="284"/>
      <c r="AG207" s="285"/>
      <c r="AH207" s="285"/>
      <c r="AI207" s="286"/>
    </row>
    <row r="208" spans="1:35" ht="56.25" hidden="1" customHeight="1" outlineLevel="1" x14ac:dyDescent="0.2">
      <c r="A208" s="751"/>
      <c r="B208" s="546"/>
      <c r="C208" s="546"/>
      <c r="D208" s="516"/>
      <c r="E208" s="540"/>
      <c r="F208" s="540"/>
      <c r="G208" s="532"/>
      <c r="H208" s="11" t="s">
        <v>778</v>
      </c>
      <c r="I208" s="532"/>
      <c r="J208" s="268" t="s">
        <v>779</v>
      </c>
      <c r="K208" s="328">
        <v>14896000</v>
      </c>
      <c r="L208" s="328"/>
      <c r="M208" s="280">
        <v>44593</v>
      </c>
      <c r="N208" s="280">
        <v>44925</v>
      </c>
      <c r="O208" s="280">
        <v>44652</v>
      </c>
      <c r="P208" s="281">
        <f t="shared" si="19"/>
        <v>0.17771084337349397</v>
      </c>
      <c r="Q208" s="281">
        <f t="shared" si="23"/>
        <v>0.17771084337349397</v>
      </c>
      <c r="R208" s="282">
        <v>1</v>
      </c>
      <c r="S208" s="283">
        <v>0.25</v>
      </c>
      <c r="T208" s="283">
        <v>0.5</v>
      </c>
      <c r="U208" s="283">
        <v>0.75</v>
      </c>
      <c r="V208" s="283">
        <v>1</v>
      </c>
      <c r="W208" s="308">
        <v>0.25</v>
      </c>
      <c r="X208" s="283" t="s">
        <v>777</v>
      </c>
      <c r="Y208" s="352" t="s">
        <v>371</v>
      </c>
      <c r="Z208" s="284"/>
      <c r="AA208" s="285"/>
      <c r="AB208" s="285"/>
      <c r="AC208" s="284"/>
      <c r="AD208" s="285"/>
      <c r="AE208" s="285"/>
      <c r="AF208" s="284"/>
      <c r="AG208" s="285"/>
      <c r="AH208" s="285"/>
      <c r="AI208" s="286"/>
    </row>
    <row r="209" spans="1:35" ht="56.25" hidden="1" customHeight="1" outlineLevel="1" x14ac:dyDescent="0.2">
      <c r="A209" s="751"/>
      <c r="B209" s="546"/>
      <c r="C209" s="546"/>
      <c r="D209" s="516"/>
      <c r="E209" s="540"/>
      <c r="F209" s="540"/>
      <c r="G209" s="532"/>
      <c r="H209" s="11" t="s">
        <v>780</v>
      </c>
      <c r="I209" s="532"/>
      <c r="J209" s="268" t="s">
        <v>781</v>
      </c>
      <c r="K209" s="328">
        <v>45786000</v>
      </c>
      <c r="L209" s="328"/>
      <c r="M209" s="280">
        <v>44593</v>
      </c>
      <c r="N209" s="280">
        <v>44925</v>
      </c>
      <c r="O209" s="280">
        <v>44652</v>
      </c>
      <c r="P209" s="281">
        <f t="shared" si="19"/>
        <v>0.17771084337349397</v>
      </c>
      <c r="Q209" s="281">
        <f t="shared" si="23"/>
        <v>0.17771084337349397</v>
      </c>
      <c r="R209" s="282">
        <v>1</v>
      </c>
      <c r="S209" s="283">
        <v>0.25</v>
      </c>
      <c r="T209" s="283">
        <v>0.5</v>
      </c>
      <c r="U209" s="283">
        <v>0.75</v>
      </c>
      <c r="V209" s="283">
        <v>1</v>
      </c>
      <c r="W209" s="308">
        <v>0.2</v>
      </c>
      <c r="X209" s="283" t="s">
        <v>777</v>
      </c>
      <c r="Y209" s="352" t="s">
        <v>371</v>
      </c>
      <c r="Z209" s="284"/>
      <c r="AA209" s="285"/>
      <c r="AB209" s="285"/>
      <c r="AC209" s="284"/>
      <c r="AD209" s="285"/>
      <c r="AE209" s="285"/>
      <c r="AF209" s="284"/>
      <c r="AG209" s="285"/>
      <c r="AH209" s="285"/>
      <c r="AI209" s="286"/>
    </row>
    <row r="210" spans="1:35" ht="46.5" hidden="1" customHeight="1" outlineLevel="1" x14ac:dyDescent="0.2">
      <c r="A210" s="751"/>
      <c r="B210" s="546"/>
      <c r="C210" s="546"/>
      <c r="D210" s="516"/>
      <c r="E210" s="540"/>
      <c r="F210" s="540"/>
      <c r="G210" s="532"/>
      <c r="H210" s="11" t="s">
        <v>782</v>
      </c>
      <c r="I210" s="532"/>
      <c r="J210" s="268" t="s">
        <v>783</v>
      </c>
      <c r="K210" s="328">
        <v>5729900</v>
      </c>
      <c r="L210" s="328"/>
      <c r="M210" s="280">
        <v>44593</v>
      </c>
      <c r="N210" s="280">
        <v>44925</v>
      </c>
      <c r="O210" s="280">
        <v>44652</v>
      </c>
      <c r="P210" s="281">
        <f t="shared" si="19"/>
        <v>0.17771084337349397</v>
      </c>
      <c r="Q210" s="281">
        <f t="shared" si="23"/>
        <v>0.17771084337349397</v>
      </c>
      <c r="R210" s="282">
        <v>1</v>
      </c>
      <c r="S210" s="283">
        <v>0.25</v>
      </c>
      <c r="T210" s="283">
        <v>0.5</v>
      </c>
      <c r="U210" s="283">
        <v>0.75</v>
      </c>
      <c r="V210" s="283">
        <v>1</v>
      </c>
      <c r="W210" s="308">
        <v>0.2</v>
      </c>
      <c r="X210" s="283" t="s">
        <v>777</v>
      </c>
      <c r="Y210" s="352" t="s">
        <v>371</v>
      </c>
      <c r="Z210" s="284"/>
      <c r="AA210" s="285"/>
      <c r="AB210" s="285"/>
      <c r="AC210" s="284"/>
      <c r="AD210" s="285"/>
      <c r="AE210" s="285"/>
      <c r="AF210" s="284"/>
      <c r="AG210" s="285"/>
      <c r="AH210" s="285"/>
      <c r="AI210" s="286"/>
    </row>
    <row r="211" spans="1:35" ht="46.5" hidden="1" customHeight="1" outlineLevel="1" x14ac:dyDescent="0.2">
      <c r="A211" s="751"/>
      <c r="B211" s="547"/>
      <c r="C211" s="547"/>
      <c r="D211" s="517"/>
      <c r="E211" s="541"/>
      <c r="F211" s="541"/>
      <c r="G211" s="533"/>
      <c r="H211" s="11" t="s">
        <v>784</v>
      </c>
      <c r="I211" s="533"/>
      <c r="J211" s="268" t="s">
        <v>785</v>
      </c>
      <c r="K211" s="328">
        <v>1146000</v>
      </c>
      <c r="L211" s="328"/>
      <c r="M211" s="280">
        <v>44593</v>
      </c>
      <c r="N211" s="280">
        <v>44925</v>
      </c>
      <c r="O211" s="280">
        <v>44652</v>
      </c>
      <c r="P211" s="281">
        <f t="shared" si="19"/>
        <v>0.17771084337349397</v>
      </c>
      <c r="Q211" s="281">
        <f t="shared" si="23"/>
        <v>0.17771084337349397</v>
      </c>
      <c r="R211" s="282">
        <v>1</v>
      </c>
      <c r="S211" s="283">
        <v>0.25</v>
      </c>
      <c r="T211" s="283">
        <v>0.5</v>
      </c>
      <c r="U211" s="283">
        <v>0.75</v>
      </c>
      <c r="V211" s="283">
        <v>1</v>
      </c>
      <c r="W211" s="308">
        <v>0.2</v>
      </c>
      <c r="X211" s="283" t="s">
        <v>777</v>
      </c>
      <c r="Y211" s="352" t="s">
        <v>371</v>
      </c>
      <c r="Z211" s="284"/>
      <c r="AA211" s="285"/>
      <c r="AB211" s="285"/>
      <c r="AC211" s="284"/>
      <c r="AD211" s="285"/>
      <c r="AE211" s="285"/>
      <c r="AF211" s="284"/>
      <c r="AG211" s="285"/>
      <c r="AH211" s="285"/>
      <c r="AI211" s="286"/>
    </row>
    <row r="212" spans="1:35" ht="59.25" hidden="1" customHeight="1" outlineLevel="1" x14ac:dyDescent="0.2">
      <c r="A212" s="751"/>
      <c r="B212" s="548" t="s">
        <v>39</v>
      </c>
      <c r="C212" s="548" t="s">
        <v>786</v>
      </c>
      <c r="D212" s="759" t="s">
        <v>787</v>
      </c>
      <c r="E212" s="578" t="s">
        <v>788</v>
      </c>
      <c r="F212" s="578" t="s">
        <v>789</v>
      </c>
      <c r="G212" s="305" t="s">
        <v>501</v>
      </c>
      <c r="H212" s="305" t="s">
        <v>790</v>
      </c>
      <c r="I212" s="572" t="s">
        <v>791</v>
      </c>
      <c r="J212" s="274" t="s">
        <v>189</v>
      </c>
      <c r="K212" s="322">
        <v>244313413</v>
      </c>
      <c r="L212" s="322"/>
      <c r="M212" s="280">
        <v>44593</v>
      </c>
      <c r="N212" s="280">
        <v>44925</v>
      </c>
      <c r="O212" s="280">
        <v>44652</v>
      </c>
      <c r="P212" s="281">
        <f t="shared" si="19"/>
        <v>0.17771084337349397</v>
      </c>
      <c r="Q212" s="281">
        <f t="shared" si="23"/>
        <v>0.17771084337349397</v>
      </c>
      <c r="R212" s="282">
        <v>1</v>
      </c>
      <c r="S212" s="283">
        <v>0.25</v>
      </c>
      <c r="T212" s="283">
        <v>0.5</v>
      </c>
      <c r="U212" s="283">
        <v>0.75</v>
      </c>
      <c r="V212" s="283">
        <v>1</v>
      </c>
      <c r="W212" s="308">
        <v>0.25</v>
      </c>
      <c r="X212" s="283" t="s">
        <v>792</v>
      </c>
      <c r="Y212" s="352" t="s">
        <v>793</v>
      </c>
      <c r="Z212" s="284"/>
      <c r="AA212" s="285"/>
      <c r="AB212" s="285"/>
      <c r="AC212" s="284"/>
      <c r="AD212" s="285"/>
      <c r="AE212" s="285"/>
      <c r="AF212" s="284"/>
      <c r="AG212" s="285"/>
      <c r="AH212" s="285"/>
      <c r="AI212" s="286"/>
    </row>
    <row r="213" spans="1:35" ht="72" hidden="1" customHeight="1" outlineLevel="1" x14ac:dyDescent="0.2">
      <c r="A213" s="751"/>
      <c r="B213" s="548"/>
      <c r="C213" s="548"/>
      <c r="D213" s="759"/>
      <c r="E213" s="579"/>
      <c r="F213" s="579"/>
      <c r="G213" s="305" t="s">
        <v>501</v>
      </c>
      <c r="H213" s="305" t="s">
        <v>794</v>
      </c>
      <c r="I213" s="573"/>
      <c r="J213" s="268" t="s">
        <v>795</v>
      </c>
      <c r="K213" s="322">
        <v>16000000</v>
      </c>
      <c r="L213" s="322"/>
      <c r="M213" s="280">
        <v>44593</v>
      </c>
      <c r="N213" s="280">
        <v>44925</v>
      </c>
      <c r="O213" s="280">
        <v>44652</v>
      </c>
      <c r="P213" s="281">
        <f t="shared" si="19"/>
        <v>0.17771084337349397</v>
      </c>
      <c r="Q213" s="281">
        <f t="shared" si="23"/>
        <v>0.17771084337349397</v>
      </c>
      <c r="R213" s="282">
        <v>1</v>
      </c>
      <c r="S213" s="283">
        <v>0.25</v>
      </c>
      <c r="T213" s="283">
        <v>0.5</v>
      </c>
      <c r="U213" s="283">
        <v>0.75</v>
      </c>
      <c r="V213" s="283">
        <v>1</v>
      </c>
      <c r="W213" s="308">
        <v>0</v>
      </c>
      <c r="X213" s="283" t="s">
        <v>796</v>
      </c>
      <c r="Y213" s="352" t="s">
        <v>52</v>
      </c>
      <c r="Z213" s="284"/>
      <c r="AA213" s="285"/>
      <c r="AB213" s="285"/>
      <c r="AC213" s="284"/>
      <c r="AD213" s="285"/>
      <c r="AE213" s="285"/>
      <c r="AF213" s="284"/>
      <c r="AG213" s="285"/>
      <c r="AH213" s="285"/>
      <c r="AI213" s="286"/>
    </row>
    <row r="214" spans="1:35" ht="56.25" hidden="1" customHeight="1" outlineLevel="1" x14ac:dyDescent="0.2">
      <c r="A214" s="751"/>
      <c r="B214" s="548"/>
      <c r="C214" s="548"/>
      <c r="D214" s="759"/>
      <c r="E214" s="579"/>
      <c r="F214" s="579"/>
      <c r="G214" s="305" t="s">
        <v>501</v>
      </c>
      <c r="H214" s="305" t="s">
        <v>797</v>
      </c>
      <c r="I214" s="573"/>
      <c r="J214" s="268" t="s">
        <v>795</v>
      </c>
      <c r="K214" s="322">
        <v>19000000</v>
      </c>
      <c r="L214" s="322"/>
      <c r="M214" s="280">
        <v>44593</v>
      </c>
      <c r="N214" s="280">
        <v>44925</v>
      </c>
      <c r="O214" s="280">
        <v>44652</v>
      </c>
      <c r="P214" s="281">
        <f t="shared" si="19"/>
        <v>0.17771084337349397</v>
      </c>
      <c r="Q214" s="281">
        <f t="shared" si="23"/>
        <v>0.17771084337349397</v>
      </c>
      <c r="R214" s="282">
        <v>1</v>
      </c>
      <c r="S214" s="283">
        <v>0.25</v>
      </c>
      <c r="T214" s="283">
        <v>0.5</v>
      </c>
      <c r="U214" s="283">
        <v>0.75</v>
      </c>
      <c r="V214" s="283">
        <v>1</v>
      </c>
      <c r="W214" s="308">
        <v>0</v>
      </c>
      <c r="X214" s="370" t="s">
        <v>798</v>
      </c>
      <c r="Y214" s="352" t="s">
        <v>52</v>
      </c>
      <c r="Z214" s="284"/>
      <c r="AA214" s="285"/>
      <c r="AB214" s="285"/>
      <c r="AC214" s="284"/>
      <c r="AD214" s="285"/>
      <c r="AE214" s="285"/>
      <c r="AF214" s="284"/>
      <c r="AG214" s="285"/>
      <c r="AH214" s="285"/>
      <c r="AI214" s="286"/>
    </row>
    <row r="215" spans="1:35" ht="56.25" hidden="1" customHeight="1" outlineLevel="1" x14ac:dyDescent="0.2">
      <c r="A215" s="751"/>
      <c r="B215" s="548"/>
      <c r="C215" s="548"/>
      <c r="D215" s="759"/>
      <c r="E215" s="579"/>
      <c r="F215" s="579"/>
      <c r="G215" s="305" t="s">
        <v>501</v>
      </c>
      <c r="H215" s="305" t="s">
        <v>799</v>
      </c>
      <c r="I215" s="573"/>
      <c r="J215" s="268" t="s">
        <v>795</v>
      </c>
      <c r="K215" s="322">
        <v>19000000</v>
      </c>
      <c r="L215" s="322"/>
      <c r="M215" s="280">
        <v>44593</v>
      </c>
      <c r="N215" s="280">
        <v>44925</v>
      </c>
      <c r="O215" s="280">
        <v>44652</v>
      </c>
      <c r="P215" s="281">
        <f t="shared" si="19"/>
        <v>0.17771084337349397</v>
      </c>
      <c r="Q215" s="281">
        <f t="shared" si="23"/>
        <v>0.17771084337349397</v>
      </c>
      <c r="R215" s="282">
        <v>1</v>
      </c>
      <c r="S215" s="283">
        <v>0.25</v>
      </c>
      <c r="T215" s="283">
        <v>0.5</v>
      </c>
      <c r="U215" s="283">
        <v>0.75</v>
      </c>
      <c r="V215" s="283">
        <v>1</v>
      </c>
      <c r="W215" s="308">
        <v>0.25</v>
      </c>
      <c r="X215" s="283" t="s">
        <v>800</v>
      </c>
      <c r="Y215" s="352" t="s">
        <v>371</v>
      </c>
      <c r="Z215" s="284"/>
      <c r="AA215" s="285"/>
      <c r="AB215" s="285"/>
      <c r="AC215" s="284"/>
      <c r="AD215" s="285"/>
      <c r="AE215" s="285"/>
      <c r="AF215" s="284"/>
      <c r="AG215" s="285"/>
      <c r="AH215" s="285"/>
      <c r="AI215" s="286"/>
    </row>
    <row r="216" spans="1:35" ht="46.5" hidden="1" customHeight="1" outlineLevel="1" x14ac:dyDescent="0.2">
      <c r="A216" s="751"/>
      <c r="B216" s="548"/>
      <c r="C216" s="548"/>
      <c r="D216" s="759"/>
      <c r="E216" s="579"/>
      <c r="F216" s="579"/>
      <c r="G216" s="305" t="s">
        <v>501</v>
      </c>
      <c r="H216" s="305" t="s">
        <v>801</v>
      </c>
      <c r="I216" s="573"/>
      <c r="J216" s="268" t="s">
        <v>795</v>
      </c>
      <c r="K216" s="322">
        <v>21000000</v>
      </c>
      <c r="L216" s="322"/>
      <c r="M216" s="280">
        <v>44593</v>
      </c>
      <c r="N216" s="280">
        <v>44925</v>
      </c>
      <c r="O216" s="280">
        <v>44652</v>
      </c>
      <c r="P216" s="281">
        <f t="shared" si="19"/>
        <v>0.17771084337349397</v>
      </c>
      <c r="Q216" s="281">
        <f t="shared" si="23"/>
        <v>0.17771084337349397</v>
      </c>
      <c r="R216" s="282">
        <v>1</v>
      </c>
      <c r="S216" s="283">
        <v>0.25</v>
      </c>
      <c r="T216" s="283">
        <v>0.5</v>
      </c>
      <c r="U216" s="283">
        <v>0.75</v>
      </c>
      <c r="V216" s="283">
        <v>1</v>
      </c>
      <c r="W216" s="308">
        <v>0</v>
      </c>
      <c r="X216" s="370" t="s">
        <v>798</v>
      </c>
      <c r="Y216" s="352" t="s">
        <v>52</v>
      </c>
      <c r="Z216" s="284"/>
      <c r="AA216" s="285"/>
      <c r="AB216" s="285"/>
      <c r="AC216" s="284"/>
      <c r="AD216" s="285"/>
      <c r="AE216" s="285"/>
      <c r="AF216" s="284"/>
      <c r="AG216" s="285"/>
      <c r="AH216" s="285"/>
      <c r="AI216" s="286"/>
    </row>
    <row r="217" spans="1:35" ht="46.5" hidden="1" customHeight="1" outlineLevel="1" x14ac:dyDescent="0.2">
      <c r="A217" s="751"/>
      <c r="B217" s="548"/>
      <c r="C217" s="548"/>
      <c r="D217" s="759"/>
      <c r="E217" s="579"/>
      <c r="F217" s="579"/>
      <c r="G217" s="305" t="s">
        <v>501</v>
      </c>
      <c r="H217" s="305" t="s">
        <v>802</v>
      </c>
      <c r="I217" s="573"/>
      <c r="J217" s="268" t="s">
        <v>795</v>
      </c>
      <c r="K217" s="322">
        <v>53000000</v>
      </c>
      <c r="L217" s="322"/>
      <c r="M217" s="280">
        <v>44593</v>
      </c>
      <c r="N217" s="280">
        <v>44925</v>
      </c>
      <c r="O217" s="280">
        <v>44652</v>
      </c>
      <c r="P217" s="281">
        <f t="shared" si="19"/>
        <v>0.17771084337349397</v>
      </c>
      <c r="Q217" s="281">
        <f t="shared" si="23"/>
        <v>0.17771084337349397</v>
      </c>
      <c r="R217" s="282">
        <v>1</v>
      </c>
      <c r="S217" s="283">
        <v>0.25</v>
      </c>
      <c r="T217" s="283">
        <v>0.5</v>
      </c>
      <c r="U217" s="283">
        <v>0.75</v>
      </c>
      <c r="V217" s="283">
        <v>1</v>
      </c>
      <c r="W217" s="308">
        <v>0</v>
      </c>
      <c r="X217" s="283" t="s">
        <v>796</v>
      </c>
      <c r="Y217" s="352" t="s">
        <v>52</v>
      </c>
      <c r="Z217" s="284"/>
      <c r="AA217" s="285"/>
      <c r="AB217" s="285"/>
      <c r="AC217" s="284"/>
      <c r="AD217" s="285"/>
      <c r="AE217" s="285"/>
      <c r="AF217" s="284"/>
      <c r="AG217" s="285"/>
      <c r="AH217" s="285"/>
      <c r="AI217" s="286"/>
    </row>
    <row r="218" spans="1:35" ht="46.5" hidden="1" customHeight="1" outlineLevel="1" x14ac:dyDescent="0.2">
      <c r="A218" s="751"/>
      <c r="B218" s="548"/>
      <c r="C218" s="548"/>
      <c r="D218" s="759"/>
      <c r="E218" s="579"/>
      <c r="F218" s="579"/>
      <c r="G218" s="305" t="s">
        <v>501</v>
      </c>
      <c r="H218" s="305" t="s">
        <v>803</v>
      </c>
      <c r="I218" s="573"/>
      <c r="J218" s="268" t="s">
        <v>795</v>
      </c>
      <c r="K218" s="322">
        <v>35000000</v>
      </c>
      <c r="L218" s="322"/>
      <c r="M218" s="280">
        <v>44593</v>
      </c>
      <c r="N218" s="280">
        <v>44925</v>
      </c>
      <c r="O218" s="280">
        <v>44652</v>
      </c>
      <c r="P218" s="281">
        <f t="shared" si="19"/>
        <v>0.17771084337349397</v>
      </c>
      <c r="Q218" s="281">
        <f t="shared" si="23"/>
        <v>0.17771084337349397</v>
      </c>
      <c r="R218" s="282">
        <v>1</v>
      </c>
      <c r="S218" s="283">
        <v>0.25</v>
      </c>
      <c r="T218" s="283">
        <v>0.5</v>
      </c>
      <c r="U218" s="283">
        <v>0.75</v>
      </c>
      <c r="V218" s="283">
        <v>1</v>
      </c>
      <c r="W218" s="308">
        <v>0</v>
      </c>
      <c r="X218" s="283" t="s">
        <v>796</v>
      </c>
      <c r="Y218" s="352" t="s">
        <v>52</v>
      </c>
      <c r="Z218" s="284"/>
      <c r="AA218" s="285"/>
      <c r="AB218" s="285"/>
      <c r="AC218" s="284"/>
      <c r="AD218" s="285"/>
      <c r="AE218" s="285"/>
      <c r="AF218" s="284"/>
      <c r="AG218" s="285"/>
      <c r="AH218" s="285"/>
      <c r="AI218" s="286"/>
    </row>
    <row r="219" spans="1:35" ht="46.5" hidden="1" customHeight="1" outlineLevel="1" x14ac:dyDescent="0.2">
      <c r="A219" s="751"/>
      <c r="B219" s="548"/>
      <c r="C219" s="548"/>
      <c r="D219" s="759"/>
      <c r="E219" s="579"/>
      <c r="F219" s="579"/>
      <c r="G219" s="305" t="s">
        <v>501</v>
      </c>
      <c r="H219" s="305" t="s">
        <v>804</v>
      </c>
      <c r="I219" s="573"/>
      <c r="J219" s="268" t="s">
        <v>795</v>
      </c>
      <c r="K219" s="322">
        <v>25000000</v>
      </c>
      <c r="L219" s="322"/>
      <c r="M219" s="280">
        <v>44593</v>
      </c>
      <c r="N219" s="280">
        <v>44925</v>
      </c>
      <c r="O219" s="280">
        <v>44652</v>
      </c>
      <c r="P219" s="281">
        <f t="shared" si="19"/>
        <v>0.17771084337349397</v>
      </c>
      <c r="Q219" s="281">
        <f t="shared" si="23"/>
        <v>0.17771084337349397</v>
      </c>
      <c r="R219" s="282">
        <v>1</v>
      </c>
      <c r="S219" s="283">
        <v>0.25</v>
      </c>
      <c r="T219" s="283">
        <v>0.5</v>
      </c>
      <c r="U219" s="283">
        <v>0.75</v>
      </c>
      <c r="V219" s="283">
        <v>1</v>
      </c>
      <c r="W219" s="308">
        <v>0</v>
      </c>
      <c r="X219" s="283" t="s">
        <v>805</v>
      </c>
      <c r="Y219" s="352" t="s">
        <v>52</v>
      </c>
      <c r="Z219" s="284"/>
      <c r="AA219" s="285"/>
      <c r="AB219" s="285"/>
      <c r="AC219" s="284"/>
      <c r="AD219" s="285"/>
      <c r="AE219" s="285"/>
      <c r="AF219" s="284"/>
      <c r="AG219" s="285"/>
      <c r="AH219" s="285"/>
      <c r="AI219" s="286"/>
    </row>
    <row r="220" spans="1:35" ht="56.25" hidden="1" customHeight="1" outlineLevel="1" x14ac:dyDescent="0.2">
      <c r="A220" s="751"/>
      <c r="B220" s="548"/>
      <c r="C220" s="548"/>
      <c r="D220" s="759"/>
      <c r="E220" s="579"/>
      <c r="F220" s="579"/>
      <c r="G220" s="305" t="s">
        <v>501</v>
      </c>
      <c r="H220" s="305" t="s">
        <v>806</v>
      </c>
      <c r="I220" s="573"/>
      <c r="J220" s="268" t="s">
        <v>795</v>
      </c>
      <c r="K220" s="322">
        <v>149000000</v>
      </c>
      <c r="L220" s="322"/>
      <c r="M220" s="280">
        <v>44593</v>
      </c>
      <c r="N220" s="280">
        <v>44925</v>
      </c>
      <c r="O220" s="280">
        <v>44652</v>
      </c>
      <c r="P220" s="281">
        <f t="shared" si="19"/>
        <v>0.17771084337349397</v>
      </c>
      <c r="Q220" s="281">
        <f t="shared" si="23"/>
        <v>0.17771084337349397</v>
      </c>
      <c r="R220" s="282">
        <v>1</v>
      </c>
      <c r="S220" s="283">
        <v>0.25</v>
      </c>
      <c r="T220" s="283">
        <v>0.5</v>
      </c>
      <c r="U220" s="283">
        <v>0.75</v>
      </c>
      <c r="V220" s="283">
        <v>1</v>
      </c>
      <c r="W220" s="308">
        <v>0</v>
      </c>
      <c r="X220" s="283" t="s">
        <v>796</v>
      </c>
      <c r="Y220" s="352" t="s">
        <v>52</v>
      </c>
      <c r="Z220" s="284"/>
      <c r="AA220" s="285"/>
      <c r="AB220" s="285"/>
      <c r="AC220" s="284"/>
      <c r="AD220" s="285"/>
      <c r="AE220" s="285"/>
      <c r="AF220" s="284"/>
      <c r="AG220" s="285"/>
      <c r="AH220" s="285"/>
      <c r="AI220" s="286"/>
    </row>
    <row r="221" spans="1:35" ht="75" hidden="1" customHeight="1" outlineLevel="1" x14ac:dyDescent="0.2">
      <c r="A221" s="751"/>
      <c r="B221" s="548"/>
      <c r="C221" s="548"/>
      <c r="D221" s="759"/>
      <c r="E221" s="579"/>
      <c r="F221" s="579"/>
      <c r="G221" s="305" t="s">
        <v>501</v>
      </c>
      <c r="H221" s="305" t="s">
        <v>807</v>
      </c>
      <c r="I221" s="573"/>
      <c r="J221" s="268" t="s">
        <v>795</v>
      </c>
      <c r="K221" s="322">
        <v>58000000</v>
      </c>
      <c r="L221" s="322"/>
      <c r="M221" s="280">
        <v>44593</v>
      </c>
      <c r="N221" s="280">
        <v>44925</v>
      </c>
      <c r="O221" s="280">
        <v>44652</v>
      </c>
      <c r="P221" s="281">
        <f t="shared" si="19"/>
        <v>0.17771084337349397</v>
      </c>
      <c r="Q221" s="281">
        <f t="shared" si="23"/>
        <v>0.17771084337349397</v>
      </c>
      <c r="R221" s="282">
        <v>1</v>
      </c>
      <c r="S221" s="283">
        <v>0.25</v>
      </c>
      <c r="T221" s="283">
        <v>0.5</v>
      </c>
      <c r="U221" s="283">
        <v>0.75</v>
      </c>
      <c r="V221" s="283">
        <v>1</v>
      </c>
      <c r="W221" s="308">
        <v>0</v>
      </c>
      <c r="X221" s="283" t="s">
        <v>796</v>
      </c>
      <c r="Y221" s="352" t="s">
        <v>52</v>
      </c>
      <c r="Z221" s="284"/>
      <c r="AA221" s="285"/>
      <c r="AB221" s="285"/>
      <c r="AC221" s="284"/>
      <c r="AD221" s="285"/>
      <c r="AE221" s="285"/>
      <c r="AF221" s="284"/>
      <c r="AG221" s="285"/>
      <c r="AH221" s="285"/>
      <c r="AI221" s="286"/>
    </row>
    <row r="222" spans="1:35" ht="46.5" hidden="1" customHeight="1" outlineLevel="1" x14ac:dyDescent="0.2">
      <c r="A222" s="751"/>
      <c r="B222" s="548"/>
      <c r="C222" s="548"/>
      <c r="D222" s="759"/>
      <c r="E222" s="579"/>
      <c r="F222" s="579"/>
      <c r="G222" s="305" t="s">
        <v>501</v>
      </c>
      <c r="H222" s="305" t="s">
        <v>808</v>
      </c>
      <c r="I222" s="573"/>
      <c r="J222" s="268" t="s">
        <v>795</v>
      </c>
      <c r="K222" s="322">
        <v>17000000</v>
      </c>
      <c r="L222" s="322"/>
      <c r="M222" s="280">
        <v>44593</v>
      </c>
      <c r="N222" s="280">
        <v>44925</v>
      </c>
      <c r="O222" s="280">
        <v>44652</v>
      </c>
      <c r="P222" s="281">
        <f t="shared" si="19"/>
        <v>0.17771084337349397</v>
      </c>
      <c r="Q222" s="281">
        <f t="shared" si="23"/>
        <v>0.17771084337349397</v>
      </c>
      <c r="R222" s="282">
        <v>1</v>
      </c>
      <c r="S222" s="283">
        <v>0.25</v>
      </c>
      <c r="T222" s="283">
        <v>0.5</v>
      </c>
      <c r="U222" s="283">
        <v>0.75</v>
      </c>
      <c r="V222" s="283">
        <v>1</v>
      </c>
      <c r="W222" s="308">
        <v>0</v>
      </c>
      <c r="X222" s="283" t="s">
        <v>796</v>
      </c>
      <c r="Y222" s="352" t="s">
        <v>52</v>
      </c>
      <c r="Z222" s="284"/>
      <c r="AA222" s="285"/>
      <c r="AB222" s="285"/>
      <c r="AC222" s="284"/>
      <c r="AD222" s="285"/>
      <c r="AE222" s="285"/>
      <c r="AF222" s="284"/>
      <c r="AG222" s="285"/>
      <c r="AH222" s="285"/>
      <c r="AI222" s="286"/>
    </row>
    <row r="223" spans="1:35" ht="56.25" hidden="1" customHeight="1" outlineLevel="1" x14ac:dyDescent="0.2">
      <c r="A223" s="751"/>
      <c r="B223" s="548"/>
      <c r="C223" s="548"/>
      <c r="D223" s="759"/>
      <c r="E223" s="579"/>
      <c r="F223" s="579"/>
      <c r="G223" s="305" t="s">
        <v>501</v>
      </c>
      <c r="H223" s="305" t="s">
        <v>809</v>
      </c>
      <c r="I223" s="573"/>
      <c r="J223" s="268" t="s">
        <v>795</v>
      </c>
      <c r="K223" s="322">
        <v>29000000</v>
      </c>
      <c r="L223" s="322"/>
      <c r="M223" s="280">
        <v>44593</v>
      </c>
      <c r="N223" s="280">
        <v>44925</v>
      </c>
      <c r="O223" s="280">
        <v>44652</v>
      </c>
      <c r="P223" s="281">
        <f t="shared" si="19"/>
        <v>0.17771084337349397</v>
      </c>
      <c r="Q223" s="281">
        <f t="shared" si="23"/>
        <v>0.17771084337349397</v>
      </c>
      <c r="R223" s="282">
        <v>1</v>
      </c>
      <c r="S223" s="283">
        <v>0.25</v>
      </c>
      <c r="T223" s="283">
        <v>0.5</v>
      </c>
      <c r="U223" s="283">
        <v>0.75</v>
      </c>
      <c r="V223" s="283">
        <v>1</v>
      </c>
      <c r="W223" s="308">
        <v>0</v>
      </c>
      <c r="X223" s="283" t="s">
        <v>796</v>
      </c>
      <c r="Y223" s="352" t="s">
        <v>52</v>
      </c>
      <c r="Z223" s="284"/>
      <c r="AA223" s="285"/>
      <c r="AB223" s="285"/>
      <c r="AC223" s="284"/>
      <c r="AD223" s="285"/>
      <c r="AE223" s="285"/>
      <c r="AF223" s="284"/>
      <c r="AG223" s="285"/>
      <c r="AH223" s="285"/>
      <c r="AI223" s="286"/>
    </row>
    <row r="224" spans="1:35" ht="56.25" hidden="1" customHeight="1" outlineLevel="1" x14ac:dyDescent="0.2">
      <c r="A224" s="751"/>
      <c r="B224" s="548"/>
      <c r="C224" s="548"/>
      <c r="D224" s="759"/>
      <c r="E224" s="579"/>
      <c r="F224" s="579"/>
      <c r="G224" s="305" t="s">
        <v>501</v>
      </c>
      <c r="H224" s="305" t="s">
        <v>810</v>
      </c>
      <c r="I224" s="573"/>
      <c r="J224" s="268" t="s">
        <v>795</v>
      </c>
      <c r="K224" s="322">
        <v>39998000</v>
      </c>
      <c r="L224" s="322"/>
      <c r="M224" s="280">
        <v>44593</v>
      </c>
      <c r="N224" s="280">
        <v>44925</v>
      </c>
      <c r="O224" s="280">
        <v>44652</v>
      </c>
      <c r="P224" s="281">
        <f t="shared" ref="P224:P297" si="24">+(+_xlfn.DAYS(M224,O224))/(+_xlfn.DAYS(M224,N224))</f>
        <v>0.17771084337349397</v>
      </c>
      <c r="Q224" s="281">
        <f t="shared" si="23"/>
        <v>0.17771084337349397</v>
      </c>
      <c r="R224" s="282">
        <v>1</v>
      </c>
      <c r="S224" s="283">
        <v>0.25</v>
      </c>
      <c r="T224" s="283">
        <v>0.5</v>
      </c>
      <c r="U224" s="283">
        <v>0.75</v>
      </c>
      <c r="V224" s="283">
        <v>1</v>
      </c>
      <c r="W224" s="308">
        <v>0</v>
      </c>
      <c r="X224" s="283" t="s">
        <v>796</v>
      </c>
      <c r="Y224" s="352" t="s">
        <v>52</v>
      </c>
      <c r="Z224" s="284"/>
      <c r="AA224" s="285"/>
      <c r="AB224" s="285"/>
      <c r="AC224" s="284"/>
      <c r="AD224" s="285"/>
      <c r="AE224" s="285"/>
      <c r="AF224" s="284"/>
      <c r="AG224" s="285"/>
      <c r="AH224" s="285"/>
      <c r="AI224" s="286"/>
    </row>
    <row r="225" spans="1:35" ht="56.25" hidden="1" customHeight="1" outlineLevel="1" x14ac:dyDescent="0.2">
      <c r="A225" s="751"/>
      <c r="B225" s="548"/>
      <c r="C225" s="548"/>
      <c r="D225" s="759"/>
      <c r="E225" s="579"/>
      <c r="F225" s="579"/>
      <c r="G225" s="305" t="s">
        <v>501</v>
      </c>
      <c r="H225" s="305" t="s">
        <v>811</v>
      </c>
      <c r="I225" s="573"/>
      <c r="J225" s="268" t="s">
        <v>795</v>
      </c>
      <c r="K225" s="322">
        <v>13000000</v>
      </c>
      <c r="L225" s="322"/>
      <c r="M225" s="280">
        <v>44593</v>
      </c>
      <c r="N225" s="280">
        <v>44925</v>
      </c>
      <c r="O225" s="280">
        <v>44652</v>
      </c>
      <c r="P225" s="281">
        <f t="shared" si="24"/>
        <v>0.17771084337349397</v>
      </c>
      <c r="Q225" s="281">
        <f t="shared" si="23"/>
        <v>0.17771084337349397</v>
      </c>
      <c r="R225" s="282">
        <v>1</v>
      </c>
      <c r="S225" s="283">
        <v>0.25</v>
      </c>
      <c r="T225" s="283">
        <v>0.5</v>
      </c>
      <c r="U225" s="283">
        <v>0.75</v>
      </c>
      <c r="V225" s="283">
        <v>1</v>
      </c>
      <c r="W225" s="308">
        <v>0.25</v>
      </c>
      <c r="X225" s="283" t="s">
        <v>812</v>
      </c>
      <c r="Y225" s="352" t="s">
        <v>371</v>
      </c>
      <c r="Z225" s="284"/>
      <c r="AA225" s="285"/>
      <c r="AB225" s="285"/>
      <c r="AC225" s="284"/>
      <c r="AD225" s="285"/>
      <c r="AE225" s="285"/>
      <c r="AF225" s="284"/>
      <c r="AG225" s="285"/>
      <c r="AH225" s="285"/>
      <c r="AI225" s="286"/>
    </row>
    <row r="226" spans="1:35" ht="112.5" hidden="1" customHeight="1" outlineLevel="1" x14ac:dyDescent="0.2">
      <c r="A226" s="751"/>
      <c r="B226" s="548"/>
      <c r="C226" s="548"/>
      <c r="D226" s="759"/>
      <c r="E226" s="579"/>
      <c r="F226" s="579"/>
      <c r="G226" s="305" t="s">
        <v>501</v>
      </c>
      <c r="H226" s="305" t="s">
        <v>813</v>
      </c>
      <c r="I226" s="573"/>
      <c r="J226" s="268" t="s">
        <v>795</v>
      </c>
      <c r="K226" s="322">
        <v>3900000</v>
      </c>
      <c r="L226" s="322"/>
      <c r="M226" s="280">
        <v>44593</v>
      </c>
      <c r="N226" s="280">
        <v>44925</v>
      </c>
      <c r="O226" s="280">
        <v>44652</v>
      </c>
      <c r="P226" s="281">
        <f t="shared" si="24"/>
        <v>0.17771084337349397</v>
      </c>
      <c r="Q226" s="281">
        <f t="shared" si="23"/>
        <v>0.17771084337349397</v>
      </c>
      <c r="R226" s="282">
        <v>1</v>
      </c>
      <c r="S226" s="283">
        <v>0.25</v>
      </c>
      <c r="T226" s="283">
        <v>0.5</v>
      </c>
      <c r="U226" s="283">
        <v>0.75</v>
      </c>
      <c r="V226" s="283">
        <v>1</v>
      </c>
      <c r="W226" s="308">
        <v>0</v>
      </c>
      <c r="X226" s="283" t="s">
        <v>796</v>
      </c>
      <c r="Y226" s="352" t="s">
        <v>52</v>
      </c>
      <c r="Z226" s="284"/>
      <c r="AA226" s="285"/>
      <c r="AB226" s="285"/>
      <c r="AC226" s="284"/>
      <c r="AD226" s="285"/>
      <c r="AE226" s="285"/>
      <c r="AF226" s="284"/>
      <c r="AG226" s="285"/>
      <c r="AH226" s="285"/>
      <c r="AI226" s="286"/>
    </row>
    <row r="227" spans="1:35" ht="56.25" hidden="1" customHeight="1" outlineLevel="1" x14ac:dyDescent="0.2">
      <c r="A227" s="751"/>
      <c r="B227" s="548"/>
      <c r="C227" s="548"/>
      <c r="D227" s="759"/>
      <c r="E227" s="579"/>
      <c r="F227" s="579"/>
      <c r="G227" s="305" t="s">
        <v>501</v>
      </c>
      <c r="H227" s="305" t="s">
        <v>814</v>
      </c>
      <c r="I227" s="573"/>
      <c r="J227" s="268" t="s">
        <v>815</v>
      </c>
      <c r="K227" s="322">
        <v>32000000</v>
      </c>
      <c r="L227" s="322"/>
      <c r="M227" s="280">
        <v>44593</v>
      </c>
      <c r="N227" s="280">
        <v>44925</v>
      </c>
      <c r="O227" s="280">
        <v>44652</v>
      </c>
      <c r="P227" s="281">
        <f t="shared" si="24"/>
        <v>0.17771084337349397</v>
      </c>
      <c r="Q227" s="281">
        <f t="shared" si="23"/>
        <v>0.17771084337349397</v>
      </c>
      <c r="R227" s="282">
        <v>1</v>
      </c>
      <c r="S227" s="283">
        <v>0.25</v>
      </c>
      <c r="T227" s="283">
        <v>0.5</v>
      </c>
      <c r="U227" s="283">
        <v>0.75</v>
      </c>
      <c r="V227" s="283">
        <v>1</v>
      </c>
      <c r="W227" s="308">
        <v>0</v>
      </c>
      <c r="X227" s="283" t="s">
        <v>796</v>
      </c>
      <c r="Y227" s="352" t="s">
        <v>52</v>
      </c>
      <c r="Z227" s="284"/>
      <c r="AA227" s="285"/>
      <c r="AB227" s="285"/>
      <c r="AC227" s="284"/>
      <c r="AD227" s="285"/>
      <c r="AE227" s="285"/>
      <c r="AF227" s="284"/>
      <c r="AG227" s="285"/>
      <c r="AH227" s="285"/>
      <c r="AI227" s="286"/>
    </row>
    <row r="228" spans="1:35" ht="75" hidden="1" customHeight="1" outlineLevel="1" x14ac:dyDescent="0.2">
      <c r="A228" s="751"/>
      <c r="B228" s="548"/>
      <c r="C228" s="548"/>
      <c r="D228" s="759"/>
      <c r="E228" s="579"/>
      <c r="F228" s="579"/>
      <c r="G228" s="305" t="s">
        <v>501</v>
      </c>
      <c r="H228" s="305" t="s">
        <v>816</v>
      </c>
      <c r="I228" s="573"/>
      <c r="J228" s="268" t="s">
        <v>817</v>
      </c>
      <c r="K228" s="322">
        <v>23000000</v>
      </c>
      <c r="L228" s="322"/>
      <c r="M228" s="280">
        <v>44593</v>
      </c>
      <c r="N228" s="280">
        <v>44925</v>
      </c>
      <c r="O228" s="280">
        <v>44652</v>
      </c>
      <c r="P228" s="281">
        <f t="shared" si="24"/>
        <v>0.17771084337349397</v>
      </c>
      <c r="Q228" s="281">
        <f t="shared" si="23"/>
        <v>0.17771084337349397</v>
      </c>
      <c r="R228" s="282">
        <v>1</v>
      </c>
      <c r="S228" s="283">
        <v>0.25</v>
      </c>
      <c r="T228" s="283">
        <v>0.5</v>
      </c>
      <c r="U228" s="283">
        <v>0.75</v>
      </c>
      <c r="V228" s="283">
        <v>1</v>
      </c>
      <c r="W228" s="308">
        <v>0</v>
      </c>
      <c r="X228" s="283" t="s">
        <v>805</v>
      </c>
      <c r="Y228" s="352" t="s">
        <v>52</v>
      </c>
      <c r="Z228" s="284"/>
      <c r="AA228" s="285"/>
      <c r="AB228" s="285"/>
      <c r="AC228" s="284"/>
      <c r="AD228" s="285"/>
      <c r="AE228" s="285"/>
      <c r="AF228" s="284"/>
      <c r="AG228" s="285"/>
      <c r="AH228" s="285"/>
      <c r="AI228" s="286"/>
    </row>
    <row r="229" spans="1:35" ht="46.5" hidden="1" customHeight="1" outlineLevel="1" x14ac:dyDescent="0.2">
      <c r="A229" s="751"/>
      <c r="B229" s="548"/>
      <c r="C229" s="548"/>
      <c r="D229" s="759"/>
      <c r="E229" s="579"/>
      <c r="F229" s="579"/>
      <c r="G229" s="305" t="s">
        <v>501</v>
      </c>
      <c r="H229" s="305" t="s">
        <v>818</v>
      </c>
      <c r="I229" s="573"/>
      <c r="J229" s="268" t="s">
        <v>817</v>
      </c>
      <c r="K229" s="322">
        <v>30000000</v>
      </c>
      <c r="L229" s="322"/>
      <c r="M229" s="280">
        <v>44593</v>
      </c>
      <c r="N229" s="280">
        <v>44925</v>
      </c>
      <c r="O229" s="280">
        <v>44652</v>
      </c>
      <c r="P229" s="281">
        <f t="shared" si="24"/>
        <v>0.17771084337349397</v>
      </c>
      <c r="Q229" s="281">
        <f t="shared" si="23"/>
        <v>0.17771084337349397</v>
      </c>
      <c r="R229" s="282">
        <v>1</v>
      </c>
      <c r="S229" s="283">
        <v>0.25</v>
      </c>
      <c r="T229" s="283">
        <v>0.5</v>
      </c>
      <c r="U229" s="283">
        <v>0.75</v>
      </c>
      <c r="V229" s="283">
        <v>1</v>
      </c>
      <c r="W229" s="308">
        <v>0</v>
      </c>
      <c r="X229" s="283" t="s">
        <v>805</v>
      </c>
      <c r="Y229" s="352" t="s">
        <v>52</v>
      </c>
      <c r="Z229" s="284"/>
      <c r="AA229" s="285"/>
      <c r="AB229" s="285"/>
      <c r="AC229" s="284"/>
      <c r="AD229" s="285"/>
      <c r="AE229" s="285"/>
      <c r="AF229" s="284"/>
      <c r="AG229" s="285"/>
      <c r="AH229" s="285"/>
      <c r="AI229" s="286"/>
    </row>
    <row r="230" spans="1:35" ht="56.25" hidden="1" customHeight="1" outlineLevel="1" x14ac:dyDescent="0.2">
      <c r="A230" s="751"/>
      <c r="B230" s="548"/>
      <c r="C230" s="548"/>
      <c r="D230" s="759"/>
      <c r="E230" s="579"/>
      <c r="F230" s="579"/>
      <c r="G230" s="305" t="s">
        <v>501</v>
      </c>
      <c r="H230" s="305" t="s">
        <v>819</v>
      </c>
      <c r="I230" s="573"/>
      <c r="J230" s="268" t="s">
        <v>815</v>
      </c>
      <c r="K230" s="322">
        <v>14000000</v>
      </c>
      <c r="L230" s="322"/>
      <c r="M230" s="280">
        <v>44593</v>
      </c>
      <c r="N230" s="280">
        <v>44925</v>
      </c>
      <c r="O230" s="280">
        <v>44652</v>
      </c>
      <c r="P230" s="281">
        <f t="shared" si="24"/>
        <v>0.17771084337349397</v>
      </c>
      <c r="Q230" s="281">
        <f t="shared" si="23"/>
        <v>0.17771084337349397</v>
      </c>
      <c r="R230" s="282">
        <v>1</v>
      </c>
      <c r="S230" s="283">
        <v>0.25</v>
      </c>
      <c r="T230" s="283">
        <v>0.5</v>
      </c>
      <c r="U230" s="283">
        <v>0.75</v>
      </c>
      <c r="V230" s="283">
        <v>1</v>
      </c>
      <c r="W230" s="308">
        <v>0</v>
      </c>
      <c r="X230" s="283" t="s">
        <v>820</v>
      </c>
      <c r="Y230" s="352" t="s">
        <v>52</v>
      </c>
      <c r="Z230" s="284"/>
      <c r="AA230" s="285"/>
      <c r="AB230" s="285"/>
      <c r="AC230" s="284"/>
      <c r="AD230" s="285"/>
      <c r="AE230" s="285"/>
      <c r="AF230" s="284"/>
      <c r="AG230" s="285"/>
      <c r="AH230" s="285"/>
      <c r="AI230" s="286"/>
    </row>
    <row r="231" spans="1:35" ht="46.5" hidden="1" customHeight="1" outlineLevel="1" x14ac:dyDescent="0.2">
      <c r="A231" s="751"/>
      <c r="B231" s="548"/>
      <c r="C231" s="548"/>
      <c r="D231" s="759"/>
      <c r="E231" s="579"/>
      <c r="F231" s="579"/>
      <c r="G231" s="305" t="s">
        <v>501</v>
      </c>
      <c r="H231" s="305" t="s">
        <v>821</v>
      </c>
      <c r="I231" s="573"/>
      <c r="J231" s="268" t="s">
        <v>822</v>
      </c>
      <c r="K231" s="322">
        <v>86000000</v>
      </c>
      <c r="L231" s="322"/>
      <c r="M231" s="280">
        <v>44593</v>
      </c>
      <c r="N231" s="280">
        <v>44925</v>
      </c>
      <c r="O231" s="280">
        <v>44652</v>
      </c>
      <c r="P231" s="281">
        <f t="shared" si="24"/>
        <v>0.17771084337349397</v>
      </c>
      <c r="Q231" s="281">
        <f t="shared" si="23"/>
        <v>0.17771084337349397</v>
      </c>
      <c r="R231" s="282">
        <v>1</v>
      </c>
      <c r="S231" s="283">
        <v>0.25</v>
      </c>
      <c r="T231" s="283">
        <v>0.5</v>
      </c>
      <c r="U231" s="283">
        <v>0.75</v>
      </c>
      <c r="V231" s="283">
        <v>1</v>
      </c>
      <c r="W231" s="308">
        <v>0.1</v>
      </c>
      <c r="X231" s="283" t="s">
        <v>823</v>
      </c>
      <c r="Y231" s="352" t="s">
        <v>52</v>
      </c>
      <c r="Z231" s="284"/>
      <c r="AA231" s="285"/>
      <c r="AB231" s="285"/>
      <c r="AC231" s="284"/>
      <c r="AD231" s="285"/>
      <c r="AE231" s="285"/>
      <c r="AF231" s="284"/>
      <c r="AG231" s="285"/>
      <c r="AH231" s="285"/>
      <c r="AI231" s="286"/>
    </row>
    <row r="232" spans="1:35" ht="56.25" hidden="1" customHeight="1" outlineLevel="1" x14ac:dyDescent="0.2">
      <c r="A232" s="751"/>
      <c r="B232" s="548"/>
      <c r="C232" s="548"/>
      <c r="D232" s="759"/>
      <c r="E232" s="579"/>
      <c r="F232" s="579"/>
      <c r="G232" s="305" t="s">
        <v>501</v>
      </c>
      <c r="H232" s="305" t="s">
        <v>824</v>
      </c>
      <c r="I232" s="573"/>
      <c r="J232" s="268" t="s">
        <v>825</v>
      </c>
      <c r="K232" s="322">
        <v>18000000</v>
      </c>
      <c r="L232" s="322"/>
      <c r="M232" s="280">
        <v>44593</v>
      </c>
      <c r="N232" s="280">
        <v>44925</v>
      </c>
      <c r="O232" s="280">
        <v>44652</v>
      </c>
      <c r="P232" s="281">
        <f t="shared" si="24"/>
        <v>0.17771084337349397</v>
      </c>
      <c r="Q232" s="281">
        <f t="shared" si="23"/>
        <v>0.17771084337349397</v>
      </c>
      <c r="R232" s="282">
        <v>1</v>
      </c>
      <c r="S232" s="283">
        <v>0.25</v>
      </c>
      <c r="T232" s="283">
        <v>0.5</v>
      </c>
      <c r="U232" s="283">
        <v>0.75</v>
      </c>
      <c r="V232" s="283">
        <v>1</v>
      </c>
      <c r="W232" s="308">
        <v>0.1</v>
      </c>
      <c r="X232" s="283" t="s">
        <v>823</v>
      </c>
      <c r="Y232" s="352" t="s">
        <v>52</v>
      </c>
      <c r="Z232" s="284"/>
      <c r="AA232" s="285"/>
      <c r="AB232" s="285"/>
      <c r="AC232" s="284"/>
      <c r="AD232" s="285"/>
      <c r="AE232" s="285"/>
      <c r="AF232" s="284"/>
      <c r="AG232" s="285"/>
      <c r="AH232" s="285"/>
      <c r="AI232" s="286"/>
    </row>
    <row r="233" spans="1:35" ht="46.5" hidden="1" customHeight="1" outlineLevel="1" x14ac:dyDescent="0.2">
      <c r="A233" s="751"/>
      <c r="B233" s="548"/>
      <c r="C233" s="548"/>
      <c r="D233" s="759"/>
      <c r="E233" s="579"/>
      <c r="F233" s="579"/>
      <c r="G233" s="305" t="s">
        <v>501</v>
      </c>
      <c r="H233" s="305" t="s">
        <v>826</v>
      </c>
      <c r="I233" s="573"/>
      <c r="J233" s="268" t="s">
        <v>825</v>
      </c>
      <c r="K233" s="322">
        <v>7000000</v>
      </c>
      <c r="L233" s="322"/>
      <c r="M233" s="280">
        <v>44593</v>
      </c>
      <c r="N233" s="280">
        <v>44925</v>
      </c>
      <c r="O233" s="280">
        <v>44652</v>
      </c>
      <c r="P233" s="281">
        <f t="shared" si="24"/>
        <v>0.17771084337349397</v>
      </c>
      <c r="Q233" s="281">
        <f t="shared" si="23"/>
        <v>0.17771084337349397</v>
      </c>
      <c r="R233" s="282">
        <v>1</v>
      </c>
      <c r="S233" s="283">
        <v>0.25</v>
      </c>
      <c r="T233" s="283">
        <v>0.5</v>
      </c>
      <c r="U233" s="283">
        <v>0.75</v>
      </c>
      <c r="V233" s="283">
        <v>1</v>
      </c>
      <c r="W233" s="308">
        <v>0</v>
      </c>
      <c r="X233" s="283" t="s">
        <v>827</v>
      </c>
      <c r="Y233" s="352" t="s">
        <v>52</v>
      </c>
      <c r="Z233" s="284"/>
      <c r="AA233" s="285"/>
      <c r="AB233" s="285"/>
      <c r="AC233" s="284"/>
      <c r="AD233" s="285"/>
      <c r="AE233" s="285"/>
      <c r="AF233" s="284"/>
      <c r="AG233" s="285"/>
      <c r="AH233" s="285"/>
      <c r="AI233" s="286"/>
    </row>
    <row r="234" spans="1:35" ht="56.25" hidden="1" customHeight="1" outlineLevel="1" x14ac:dyDescent="0.2">
      <c r="A234" s="751"/>
      <c r="B234" s="548"/>
      <c r="C234" s="548"/>
      <c r="D234" s="759"/>
      <c r="E234" s="579"/>
      <c r="F234" s="579"/>
      <c r="G234" s="305" t="s">
        <v>501</v>
      </c>
      <c r="H234" s="305" t="s">
        <v>828</v>
      </c>
      <c r="I234" s="573"/>
      <c r="J234" s="268" t="s">
        <v>829</v>
      </c>
      <c r="K234" s="322">
        <v>30000000</v>
      </c>
      <c r="L234" s="322"/>
      <c r="M234" s="280">
        <v>44593</v>
      </c>
      <c r="N234" s="280">
        <v>44925</v>
      </c>
      <c r="O234" s="280">
        <v>44652</v>
      </c>
      <c r="P234" s="281">
        <f t="shared" si="24"/>
        <v>0.17771084337349397</v>
      </c>
      <c r="Q234" s="281">
        <f t="shared" si="23"/>
        <v>0.17771084337349397</v>
      </c>
      <c r="R234" s="282">
        <v>1</v>
      </c>
      <c r="S234" s="283">
        <v>0.25</v>
      </c>
      <c r="T234" s="283">
        <v>0.5</v>
      </c>
      <c r="U234" s="283">
        <v>0.75</v>
      </c>
      <c r="V234" s="283">
        <v>1</v>
      </c>
      <c r="W234" s="308">
        <v>0</v>
      </c>
      <c r="X234" s="283" t="s">
        <v>805</v>
      </c>
      <c r="Y234" s="352" t="s">
        <v>52</v>
      </c>
      <c r="Z234" s="284"/>
      <c r="AA234" s="285"/>
      <c r="AB234" s="285"/>
      <c r="AC234" s="284"/>
      <c r="AD234" s="285"/>
      <c r="AE234" s="285"/>
      <c r="AF234" s="284"/>
      <c r="AG234" s="285"/>
      <c r="AH234" s="285"/>
      <c r="AI234" s="286"/>
    </row>
    <row r="235" spans="1:35" ht="75" hidden="1" customHeight="1" outlineLevel="1" x14ac:dyDescent="0.2">
      <c r="A235" s="751"/>
      <c r="B235" s="548"/>
      <c r="C235" s="548"/>
      <c r="D235" s="759"/>
      <c r="E235" s="579"/>
      <c r="F235" s="579"/>
      <c r="G235" s="305" t="s">
        <v>501</v>
      </c>
      <c r="H235" s="305" t="s">
        <v>830</v>
      </c>
      <c r="I235" s="574"/>
      <c r="J235" s="268" t="s">
        <v>831</v>
      </c>
      <c r="K235" s="322">
        <v>250000000</v>
      </c>
      <c r="L235" s="322"/>
      <c r="M235" s="280">
        <v>44593</v>
      </c>
      <c r="N235" s="280">
        <v>44925</v>
      </c>
      <c r="O235" s="280">
        <v>44652</v>
      </c>
      <c r="P235" s="281">
        <f t="shared" si="24"/>
        <v>0.17771084337349397</v>
      </c>
      <c r="Q235" s="281">
        <f t="shared" si="23"/>
        <v>0.17771084337349397</v>
      </c>
      <c r="R235" s="282">
        <v>1</v>
      </c>
      <c r="S235" s="283">
        <v>0.25</v>
      </c>
      <c r="T235" s="283">
        <v>0.5</v>
      </c>
      <c r="U235" s="283">
        <v>0.75</v>
      </c>
      <c r="V235" s="283">
        <v>1</v>
      </c>
      <c r="W235" s="308">
        <v>0</v>
      </c>
      <c r="X235" s="283" t="s">
        <v>820</v>
      </c>
      <c r="Y235" s="352" t="s">
        <v>52</v>
      </c>
      <c r="Z235" s="284"/>
      <c r="AA235" s="285"/>
      <c r="AB235" s="285"/>
      <c r="AC235" s="284"/>
      <c r="AD235" s="285"/>
      <c r="AE235" s="285"/>
      <c r="AF235" s="284"/>
      <c r="AG235" s="285"/>
      <c r="AH235" s="285"/>
      <c r="AI235" s="286"/>
    </row>
    <row r="236" spans="1:35" ht="56.25" hidden="1" customHeight="1" outlineLevel="1" x14ac:dyDescent="0.2">
      <c r="A236" s="751"/>
      <c r="B236" s="548"/>
      <c r="C236" s="548"/>
      <c r="D236" s="759"/>
      <c r="E236" s="579"/>
      <c r="F236" s="578" t="s">
        <v>832</v>
      </c>
      <c r="G236" s="305" t="s">
        <v>501</v>
      </c>
      <c r="H236" s="305" t="s">
        <v>833</v>
      </c>
      <c r="I236" s="572" t="s">
        <v>449</v>
      </c>
      <c r="J236" s="268" t="s">
        <v>834</v>
      </c>
      <c r="K236" s="322">
        <v>1800000000</v>
      </c>
      <c r="L236" s="322"/>
      <c r="M236" s="280">
        <v>44593</v>
      </c>
      <c r="N236" s="280">
        <v>44925</v>
      </c>
      <c r="O236" s="280">
        <v>44652</v>
      </c>
      <c r="P236" s="281">
        <f t="shared" si="24"/>
        <v>0.17771084337349397</v>
      </c>
      <c r="Q236" s="281">
        <f t="shared" si="23"/>
        <v>0.17771084337349397</v>
      </c>
      <c r="R236" s="282">
        <v>1</v>
      </c>
      <c r="S236" s="283">
        <v>0.25</v>
      </c>
      <c r="T236" s="283">
        <v>0.5</v>
      </c>
      <c r="U236" s="283">
        <v>0.75</v>
      </c>
      <c r="V236" s="283">
        <v>1</v>
      </c>
      <c r="W236" s="308">
        <v>0</v>
      </c>
      <c r="X236" s="283" t="s">
        <v>835</v>
      </c>
      <c r="Y236" s="352" t="s">
        <v>52</v>
      </c>
      <c r="Z236" s="284"/>
      <c r="AA236" s="285"/>
      <c r="AB236" s="285"/>
      <c r="AC236" s="284"/>
      <c r="AD236" s="285"/>
      <c r="AE236" s="285"/>
      <c r="AF236" s="284"/>
      <c r="AG236" s="285"/>
      <c r="AH236" s="285"/>
      <c r="AI236" s="286"/>
    </row>
    <row r="237" spans="1:35" ht="46.5" hidden="1" customHeight="1" outlineLevel="1" x14ac:dyDescent="0.2">
      <c r="A237" s="751"/>
      <c r="B237" s="548"/>
      <c r="C237" s="548"/>
      <c r="D237" s="759"/>
      <c r="E237" s="579"/>
      <c r="F237" s="579"/>
      <c r="G237" s="305" t="s">
        <v>501</v>
      </c>
      <c r="H237" s="305" t="s">
        <v>836</v>
      </c>
      <c r="I237" s="573"/>
      <c r="J237" s="268" t="s">
        <v>837</v>
      </c>
      <c r="K237" s="322">
        <v>80000000</v>
      </c>
      <c r="L237" s="322"/>
      <c r="M237" s="280">
        <v>44593</v>
      </c>
      <c r="N237" s="280">
        <v>44925</v>
      </c>
      <c r="O237" s="280">
        <v>44652</v>
      </c>
      <c r="P237" s="281">
        <f t="shared" si="24"/>
        <v>0.17771084337349397</v>
      </c>
      <c r="Q237" s="281">
        <f t="shared" si="23"/>
        <v>0.17771084337349397</v>
      </c>
      <c r="R237" s="282">
        <v>1</v>
      </c>
      <c r="S237" s="283">
        <v>0.25</v>
      </c>
      <c r="T237" s="283">
        <v>0.5</v>
      </c>
      <c r="U237" s="283">
        <v>0.75</v>
      </c>
      <c r="V237" s="283">
        <v>1</v>
      </c>
      <c r="W237" s="308">
        <v>0</v>
      </c>
      <c r="X237" s="283" t="s">
        <v>820</v>
      </c>
      <c r="Y237" s="352" t="s">
        <v>52</v>
      </c>
      <c r="Z237" s="284"/>
      <c r="AA237" s="285"/>
      <c r="AB237" s="285"/>
      <c r="AC237" s="284"/>
      <c r="AD237" s="285"/>
      <c r="AE237" s="285"/>
      <c r="AF237" s="284"/>
      <c r="AG237" s="285"/>
      <c r="AH237" s="285"/>
      <c r="AI237" s="286"/>
    </row>
    <row r="238" spans="1:35" ht="56.25" hidden="1" customHeight="1" outlineLevel="1" x14ac:dyDescent="0.2">
      <c r="A238" s="751"/>
      <c r="B238" s="548"/>
      <c r="C238" s="548"/>
      <c r="D238" s="759"/>
      <c r="E238" s="579"/>
      <c r="F238" s="579"/>
      <c r="G238" s="305" t="s">
        <v>501</v>
      </c>
      <c r="H238" s="305" t="s">
        <v>838</v>
      </c>
      <c r="I238" s="574"/>
      <c r="J238" s="268" t="s">
        <v>839</v>
      </c>
      <c r="K238" s="322" t="s">
        <v>116</v>
      </c>
      <c r="L238" s="322"/>
      <c r="M238" s="280">
        <v>44593</v>
      </c>
      <c r="N238" s="280">
        <v>44925</v>
      </c>
      <c r="O238" s="280">
        <v>44652</v>
      </c>
      <c r="P238" s="281">
        <f t="shared" si="24"/>
        <v>0.17771084337349397</v>
      </c>
      <c r="Q238" s="281">
        <f t="shared" si="23"/>
        <v>0.17771084337349397</v>
      </c>
      <c r="R238" s="282">
        <v>1</v>
      </c>
      <c r="S238" s="283">
        <v>0.25</v>
      </c>
      <c r="T238" s="283">
        <v>0.5</v>
      </c>
      <c r="U238" s="283">
        <v>0.75</v>
      </c>
      <c r="V238" s="283">
        <v>1</v>
      </c>
      <c r="W238" s="308">
        <v>0</v>
      </c>
      <c r="X238" s="283" t="s">
        <v>840</v>
      </c>
      <c r="Y238" s="352" t="s">
        <v>52</v>
      </c>
      <c r="Z238" s="284"/>
      <c r="AA238" s="285"/>
      <c r="AB238" s="285"/>
      <c r="AC238" s="284"/>
      <c r="AD238" s="285"/>
      <c r="AE238" s="285"/>
      <c r="AF238" s="284"/>
      <c r="AG238" s="285"/>
      <c r="AH238" s="285"/>
      <c r="AI238" s="286"/>
    </row>
    <row r="239" spans="1:35" ht="131.25" hidden="1" customHeight="1" outlineLevel="1" x14ac:dyDescent="0.2">
      <c r="A239" s="751"/>
      <c r="B239" s="548"/>
      <c r="C239" s="548"/>
      <c r="D239" s="759"/>
      <c r="E239" s="580"/>
      <c r="F239" s="580"/>
      <c r="G239" s="305" t="s">
        <v>227</v>
      </c>
      <c r="H239" s="305" t="s">
        <v>841</v>
      </c>
      <c r="I239" s="305" t="s">
        <v>449</v>
      </c>
      <c r="J239" s="268" t="s">
        <v>842</v>
      </c>
      <c r="K239" s="361" t="s">
        <v>843</v>
      </c>
      <c r="L239" s="361"/>
      <c r="M239" s="280">
        <v>44593</v>
      </c>
      <c r="N239" s="280">
        <v>44925</v>
      </c>
      <c r="O239" s="280">
        <v>44652</v>
      </c>
      <c r="P239" s="281">
        <f>+(+_xlfn.DAYS(M239,O239))/(+_xlfn.DAYS(M239,N239))</f>
        <v>0.17771084337349397</v>
      </c>
      <c r="Q239" s="281">
        <f>+IF(P239&gt;=100,100,IF(P239&lt;=0,0,P239))</f>
        <v>0.17771084337349397</v>
      </c>
      <c r="R239" s="282">
        <v>0.6</v>
      </c>
      <c r="S239" s="283">
        <v>0.52</v>
      </c>
      <c r="T239" s="283">
        <v>0.54</v>
      </c>
      <c r="U239" s="283">
        <v>0.56999999999999995</v>
      </c>
      <c r="V239" s="283">
        <v>0.6</v>
      </c>
      <c r="W239" s="308">
        <v>0.5</v>
      </c>
      <c r="X239" s="283" t="s">
        <v>844</v>
      </c>
      <c r="Y239" s="352" t="s">
        <v>845</v>
      </c>
      <c r="Z239" s="284"/>
      <c r="AA239" s="285"/>
      <c r="AB239" s="285"/>
      <c r="AC239" s="284"/>
      <c r="AD239" s="285"/>
      <c r="AE239" s="285"/>
      <c r="AF239" s="284"/>
      <c r="AG239" s="285"/>
      <c r="AH239" s="285"/>
      <c r="AI239" s="286"/>
    </row>
    <row r="240" spans="1:35" ht="131.25" hidden="1" customHeight="1" outlineLevel="1" x14ac:dyDescent="0.2">
      <c r="A240" s="751"/>
      <c r="B240" s="548"/>
      <c r="C240" s="548"/>
      <c r="D240" s="759"/>
      <c r="E240" s="441"/>
      <c r="F240" s="441"/>
      <c r="G240" s="305"/>
      <c r="H240" s="305" t="s">
        <v>846</v>
      </c>
      <c r="I240" s="466"/>
      <c r="J240" s="268"/>
      <c r="K240" s="361">
        <v>3818115</v>
      </c>
      <c r="L240" s="361"/>
      <c r="M240" s="280">
        <v>44593</v>
      </c>
      <c r="N240" s="280">
        <v>44925</v>
      </c>
      <c r="O240" s="280">
        <v>44652</v>
      </c>
      <c r="P240" s="281">
        <f>+(+_xlfn.DAYS(M240,O240))/(+_xlfn.DAYS(M240,N240))</f>
        <v>0.17771084337349397</v>
      </c>
      <c r="Q240" s="281">
        <f>+IF(P240&gt;=100,100,IF(P240&lt;=0,0,P240))</f>
        <v>0.17771084337349397</v>
      </c>
      <c r="R240" s="282">
        <v>0.6</v>
      </c>
      <c r="S240" s="283">
        <v>0.52</v>
      </c>
      <c r="T240" s="283">
        <v>0.54</v>
      </c>
      <c r="U240" s="283">
        <v>0.56999999999999995</v>
      </c>
      <c r="V240" s="283">
        <v>0.6</v>
      </c>
      <c r="W240" s="308">
        <v>0.2</v>
      </c>
      <c r="X240" s="283" t="s">
        <v>847</v>
      </c>
      <c r="Y240" s="352" t="s">
        <v>371</v>
      </c>
      <c r="Z240" s="284"/>
      <c r="AA240" s="285"/>
      <c r="AB240" s="285"/>
      <c r="AC240" s="284"/>
      <c r="AD240" s="285"/>
      <c r="AE240" s="285"/>
      <c r="AF240" s="284"/>
      <c r="AG240" s="285"/>
      <c r="AH240" s="285"/>
      <c r="AI240" s="286"/>
    </row>
    <row r="241" spans="1:35" ht="168.75" hidden="1" customHeight="1" outlineLevel="1" x14ac:dyDescent="0.2">
      <c r="A241" s="751"/>
      <c r="B241" s="548"/>
      <c r="C241" s="548"/>
      <c r="D241" s="759"/>
      <c r="E241" s="578" t="s">
        <v>445</v>
      </c>
      <c r="F241" s="371" t="s">
        <v>848</v>
      </c>
      <c r="G241" s="305" t="s">
        <v>501</v>
      </c>
      <c r="H241" s="305" t="s">
        <v>849</v>
      </c>
      <c r="I241" s="466" t="s">
        <v>850</v>
      </c>
      <c r="J241" s="268" t="s">
        <v>851</v>
      </c>
      <c r="K241" s="322">
        <v>97206675</v>
      </c>
      <c r="L241" s="322"/>
      <c r="M241" s="280">
        <v>44593</v>
      </c>
      <c r="N241" s="280">
        <v>44925</v>
      </c>
      <c r="O241" s="280">
        <v>44652</v>
      </c>
      <c r="P241" s="281">
        <f t="shared" si="24"/>
        <v>0.17771084337349397</v>
      </c>
      <c r="Q241" s="281">
        <f t="shared" si="23"/>
        <v>0.17771084337349397</v>
      </c>
      <c r="R241" s="282">
        <v>0.9</v>
      </c>
      <c r="S241" s="283">
        <v>0.86</v>
      </c>
      <c r="T241" s="283">
        <v>0.87</v>
      </c>
      <c r="U241" s="283">
        <v>0.88</v>
      </c>
      <c r="V241" s="283">
        <v>1</v>
      </c>
      <c r="W241" s="308">
        <v>0.25</v>
      </c>
      <c r="X241" s="283" t="s">
        <v>852</v>
      </c>
      <c r="Y241" s="352" t="s">
        <v>371</v>
      </c>
      <c r="Z241" s="284"/>
      <c r="AA241" s="285"/>
      <c r="AB241" s="285"/>
      <c r="AC241" s="284"/>
      <c r="AD241" s="285"/>
      <c r="AE241" s="285"/>
      <c r="AF241" s="284"/>
      <c r="AG241" s="285"/>
      <c r="AH241" s="285"/>
      <c r="AI241" s="286"/>
    </row>
    <row r="242" spans="1:35" ht="142.5" hidden="1" customHeight="1" outlineLevel="1" x14ac:dyDescent="0.2">
      <c r="A242" s="372"/>
      <c r="B242" s="548"/>
      <c r="C242" s="548"/>
      <c r="D242" s="759"/>
      <c r="E242" s="580"/>
      <c r="F242" s="258" t="s">
        <v>853</v>
      </c>
      <c r="G242" s="305" t="s">
        <v>227</v>
      </c>
      <c r="H242" s="305" t="s">
        <v>854</v>
      </c>
      <c r="I242" s="305" t="s">
        <v>855</v>
      </c>
      <c r="J242" s="268" t="s">
        <v>856</v>
      </c>
      <c r="K242" s="322" t="s">
        <v>52</v>
      </c>
      <c r="L242" s="322"/>
      <c r="M242" s="280">
        <v>44593</v>
      </c>
      <c r="N242" s="280">
        <v>44925</v>
      </c>
      <c r="O242" s="280">
        <v>44652</v>
      </c>
      <c r="P242" s="281">
        <f t="shared" si="24"/>
        <v>0.17771084337349397</v>
      </c>
      <c r="Q242" s="281">
        <f t="shared" si="23"/>
        <v>0.17771084337349397</v>
      </c>
      <c r="R242" s="282">
        <v>1</v>
      </c>
      <c r="S242" s="283">
        <v>1</v>
      </c>
      <c r="T242" s="283">
        <v>1</v>
      </c>
      <c r="U242" s="283">
        <v>1</v>
      </c>
      <c r="V242" s="283">
        <v>1</v>
      </c>
      <c r="W242" s="308">
        <v>0.25</v>
      </c>
      <c r="X242" s="283" t="s">
        <v>857</v>
      </c>
      <c r="Y242" s="352" t="s">
        <v>858</v>
      </c>
      <c r="Z242" s="284"/>
      <c r="AA242" s="285"/>
      <c r="AB242" s="285"/>
      <c r="AC242" s="284"/>
      <c r="AD242" s="285"/>
      <c r="AE242" s="285"/>
      <c r="AF242" s="284"/>
      <c r="AG242" s="285"/>
      <c r="AH242" s="285"/>
      <c r="AI242" s="286"/>
    </row>
    <row r="243" spans="1:35" ht="67.150000000000006" customHeight="1" collapsed="1" thickBot="1" x14ac:dyDescent="0.25">
      <c r="A243" s="647" t="s">
        <v>441</v>
      </c>
      <c r="B243" s="648"/>
      <c r="C243" s="648"/>
      <c r="D243" s="648"/>
      <c r="E243" s="648"/>
      <c r="F243" s="648"/>
      <c r="G243" s="648"/>
      <c r="H243" s="648"/>
      <c r="I243" s="648"/>
      <c r="J243" s="648"/>
      <c r="K243" s="648"/>
      <c r="L243" s="648"/>
      <c r="M243" s="648"/>
      <c r="N243" s="649"/>
      <c r="O243" s="329">
        <v>44652</v>
      </c>
      <c r="P243" s="281"/>
      <c r="Q243" s="405">
        <f>+AVERAGE(Q104:Q242)</f>
        <v>0.17771084337349338</v>
      </c>
      <c r="R243" s="293">
        <v>100</v>
      </c>
      <c r="S243" s="595"/>
      <c r="T243" s="596"/>
      <c r="U243" s="596"/>
      <c r="V243" s="597"/>
      <c r="W243" s="406">
        <f>AVERAGE(W104:W119,W132:W242)</f>
        <v>0.15709921259842519</v>
      </c>
      <c r="X243" s="283"/>
      <c r="Y243" s="352"/>
      <c r="Z243" s="284"/>
      <c r="AA243" s="285"/>
      <c r="AB243" s="285"/>
      <c r="AC243" s="284"/>
      <c r="AD243" s="285"/>
      <c r="AE243" s="285"/>
      <c r="AF243" s="284"/>
      <c r="AG243" s="285"/>
      <c r="AH243" s="285"/>
      <c r="AI243" s="286"/>
    </row>
    <row r="244" spans="1:35" ht="114.75" hidden="1" customHeight="1" outlineLevel="1" x14ac:dyDescent="0.2">
      <c r="A244" s="633" t="s">
        <v>859</v>
      </c>
      <c r="B244" s="447" t="s">
        <v>39</v>
      </c>
      <c r="C244" s="447" t="s">
        <v>87</v>
      </c>
      <c r="D244" s="515" t="s">
        <v>860</v>
      </c>
      <c r="E244" s="252" t="s">
        <v>721</v>
      </c>
      <c r="F244" s="252" t="s">
        <v>861</v>
      </c>
      <c r="G244" s="10" t="s">
        <v>862</v>
      </c>
      <c r="H244" s="10" t="s">
        <v>863</v>
      </c>
      <c r="I244" s="10" t="s">
        <v>864</v>
      </c>
      <c r="J244" s="257" t="s">
        <v>865</v>
      </c>
      <c r="K244" s="257" t="s">
        <v>501</v>
      </c>
      <c r="L244" s="257" t="s">
        <v>501</v>
      </c>
      <c r="M244" s="280">
        <v>44593</v>
      </c>
      <c r="N244" s="280">
        <v>44925</v>
      </c>
      <c r="O244" s="280">
        <v>44652</v>
      </c>
      <c r="P244" s="281">
        <f t="shared" si="24"/>
        <v>0.17771084337349397</v>
      </c>
      <c r="Q244" s="281">
        <f t="shared" ref="Q244:Q323" si="25">+IF(P244&gt;=100,100,IF(P244&lt;=0,0,P244))</f>
        <v>0.17771084337349397</v>
      </c>
      <c r="R244" s="282">
        <v>0.2</v>
      </c>
      <c r="S244" s="283">
        <v>0.12</v>
      </c>
      <c r="T244" s="283">
        <v>0.14000000000000001</v>
      </c>
      <c r="U244" s="283">
        <v>0.17</v>
      </c>
      <c r="V244" s="283">
        <v>0.2</v>
      </c>
      <c r="W244" s="308">
        <v>0.25</v>
      </c>
      <c r="X244" s="283" t="s">
        <v>866</v>
      </c>
      <c r="Y244" s="352" t="s">
        <v>867</v>
      </c>
      <c r="Z244" s="284"/>
      <c r="AA244" s="285"/>
      <c r="AB244" s="285"/>
      <c r="AC244" s="284"/>
      <c r="AD244" s="285"/>
      <c r="AE244" s="285"/>
      <c r="AF244" s="284"/>
      <c r="AG244" s="285"/>
      <c r="AH244" s="285"/>
      <c r="AI244" s="286"/>
    </row>
    <row r="245" spans="1:35" ht="75" hidden="1" customHeight="1" outlineLevel="1" x14ac:dyDescent="0.2">
      <c r="A245" s="634"/>
      <c r="B245" s="545" t="s">
        <v>868</v>
      </c>
      <c r="C245" s="545" t="s">
        <v>869</v>
      </c>
      <c r="D245" s="516"/>
      <c r="E245" s="518" t="s">
        <v>870</v>
      </c>
      <c r="F245" s="518" t="s">
        <v>871</v>
      </c>
      <c r="G245" s="528" t="s">
        <v>872</v>
      </c>
      <c r="H245" s="10" t="s">
        <v>873</v>
      </c>
      <c r="I245" s="528" t="s">
        <v>874</v>
      </c>
      <c r="J245" s="257" t="s">
        <v>875</v>
      </c>
      <c r="K245" s="322">
        <v>14000000</v>
      </c>
      <c r="L245" s="322"/>
      <c r="M245" s="280">
        <v>44593</v>
      </c>
      <c r="N245" s="280">
        <v>44925</v>
      </c>
      <c r="O245" s="280">
        <v>44652</v>
      </c>
      <c r="P245" s="281">
        <f t="shared" si="24"/>
        <v>0.17771084337349397</v>
      </c>
      <c r="Q245" s="281">
        <f t="shared" si="25"/>
        <v>0.17771084337349397</v>
      </c>
      <c r="R245" s="282">
        <v>0.33</v>
      </c>
      <c r="S245" s="595" t="s">
        <v>876</v>
      </c>
      <c r="T245" s="596"/>
      <c r="U245" s="596"/>
      <c r="V245" s="597"/>
      <c r="W245" s="308">
        <v>0.97</v>
      </c>
      <c r="X245" s="283" t="s">
        <v>877</v>
      </c>
      <c r="Y245" s="352" t="s">
        <v>878</v>
      </c>
      <c r="Z245" s="284"/>
      <c r="AA245" s="285"/>
      <c r="AB245" s="285"/>
      <c r="AC245" s="284"/>
      <c r="AD245" s="285"/>
      <c r="AE245" s="285"/>
      <c r="AF245" s="284"/>
      <c r="AG245" s="285"/>
      <c r="AH245" s="285"/>
      <c r="AI245" s="286"/>
    </row>
    <row r="246" spans="1:35" ht="97.5" hidden="1" customHeight="1" outlineLevel="1" x14ac:dyDescent="0.2">
      <c r="A246" s="634"/>
      <c r="B246" s="546"/>
      <c r="C246" s="546"/>
      <c r="D246" s="516"/>
      <c r="E246" s="519"/>
      <c r="F246" s="519"/>
      <c r="G246" s="529"/>
      <c r="H246" s="10" t="s">
        <v>879</v>
      </c>
      <c r="I246" s="529"/>
      <c r="J246" s="257" t="s">
        <v>880</v>
      </c>
      <c r="K246" s="257" t="s">
        <v>52</v>
      </c>
      <c r="L246" s="257"/>
      <c r="M246" s="280">
        <v>44593</v>
      </c>
      <c r="N246" s="280">
        <v>44925</v>
      </c>
      <c r="O246" s="280">
        <v>44652</v>
      </c>
      <c r="P246" s="281">
        <f t="shared" si="24"/>
        <v>0.17771084337349397</v>
      </c>
      <c r="Q246" s="281">
        <f t="shared" si="25"/>
        <v>0.17771084337349397</v>
      </c>
      <c r="R246" s="282">
        <v>1</v>
      </c>
      <c r="S246" s="283">
        <v>0.25</v>
      </c>
      <c r="T246" s="283">
        <v>0.5</v>
      </c>
      <c r="U246" s="283">
        <v>0.75</v>
      </c>
      <c r="V246" s="283">
        <v>1</v>
      </c>
      <c r="W246" s="308">
        <v>1</v>
      </c>
      <c r="X246" s="283" t="s">
        <v>881</v>
      </c>
      <c r="Y246" s="352" t="s">
        <v>52</v>
      </c>
      <c r="Z246" s="284"/>
      <c r="AA246" s="285"/>
      <c r="AB246" s="285"/>
      <c r="AC246" s="284"/>
      <c r="AD246" s="285"/>
      <c r="AE246" s="285"/>
      <c r="AF246" s="284"/>
      <c r="AG246" s="285"/>
      <c r="AH246" s="285"/>
      <c r="AI246" s="286"/>
    </row>
    <row r="247" spans="1:35" ht="123" hidden="1" customHeight="1" outlineLevel="1" x14ac:dyDescent="0.2">
      <c r="A247" s="634"/>
      <c r="B247" s="546"/>
      <c r="C247" s="546"/>
      <c r="D247" s="516"/>
      <c r="E247" s="519"/>
      <c r="F247" s="520"/>
      <c r="G247" s="530"/>
      <c r="H247" s="10" t="s">
        <v>882</v>
      </c>
      <c r="I247" s="530"/>
      <c r="J247" s="257" t="s">
        <v>883</v>
      </c>
      <c r="K247" s="257" t="s">
        <v>52</v>
      </c>
      <c r="L247" s="257"/>
      <c r="M247" s="280">
        <v>44593</v>
      </c>
      <c r="N247" s="280">
        <v>44925</v>
      </c>
      <c r="O247" s="280">
        <v>44652</v>
      </c>
      <c r="P247" s="281">
        <f t="shared" si="24"/>
        <v>0.17771084337349397</v>
      </c>
      <c r="Q247" s="281">
        <f t="shared" si="25"/>
        <v>0.17771084337349397</v>
      </c>
      <c r="R247" s="282">
        <v>1</v>
      </c>
      <c r="S247" s="283">
        <v>0.25</v>
      </c>
      <c r="T247" s="283">
        <v>0.5</v>
      </c>
      <c r="U247" s="283">
        <v>0.75</v>
      </c>
      <c r="V247" s="283">
        <v>1</v>
      </c>
      <c r="W247" s="308">
        <v>0.25</v>
      </c>
      <c r="X247" s="283" t="s">
        <v>884</v>
      </c>
      <c r="Y247" s="352" t="s">
        <v>885</v>
      </c>
      <c r="Z247" s="284"/>
      <c r="AA247" s="285"/>
      <c r="AB247" s="285"/>
      <c r="AC247" s="284"/>
      <c r="AD247" s="285"/>
      <c r="AE247" s="285"/>
      <c r="AF247" s="284"/>
      <c r="AG247" s="285"/>
      <c r="AH247" s="285"/>
      <c r="AI247" s="286"/>
    </row>
    <row r="248" spans="1:35" ht="93.75" hidden="1" customHeight="1" outlineLevel="1" x14ac:dyDescent="0.2">
      <c r="A248" s="634"/>
      <c r="B248" s="546"/>
      <c r="C248" s="546"/>
      <c r="D248" s="516"/>
      <c r="E248" s="519"/>
      <c r="F248" s="435" t="s">
        <v>886</v>
      </c>
      <c r="G248" s="10" t="s">
        <v>887</v>
      </c>
      <c r="H248" s="10" t="s">
        <v>888</v>
      </c>
      <c r="I248" s="436" t="s">
        <v>889</v>
      </c>
      <c r="J248" s="257" t="s">
        <v>890</v>
      </c>
      <c r="K248" s="322">
        <v>36000000</v>
      </c>
      <c r="L248" s="322"/>
      <c r="M248" s="280">
        <v>44593</v>
      </c>
      <c r="N248" s="280">
        <v>44925</v>
      </c>
      <c r="O248" s="280">
        <v>44652</v>
      </c>
      <c r="P248" s="281">
        <f t="shared" si="24"/>
        <v>0.17771084337349397</v>
      </c>
      <c r="Q248" s="281">
        <f t="shared" si="25"/>
        <v>0.17771084337349397</v>
      </c>
      <c r="R248" s="294">
        <v>0.6</v>
      </c>
      <c r="S248" s="289">
        <v>0.4</v>
      </c>
      <c r="T248" s="289">
        <v>0.45</v>
      </c>
      <c r="U248" s="289">
        <v>0.54</v>
      </c>
      <c r="V248" s="289">
        <v>0.6</v>
      </c>
      <c r="W248" s="308">
        <v>0.25</v>
      </c>
      <c r="X248" s="283" t="s">
        <v>891</v>
      </c>
      <c r="Y248" s="352" t="s">
        <v>892</v>
      </c>
      <c r="Z248" s="284"/>
      <c r="AA248" s="285"/>
      <c r="AB248" s="285"/>
      <c r="AC248" s="284"/>
      <c r="AD248" s="285"/>
      <c r="AE248" s="285"/>
      <c r="AF248" s="284"/>
      <c r="AG248" s="285"/>
      <c r="AH248" s="285"/>
      <c r="AI248" s="286"/>
    </row>
    <row r="249" spans="1:35" ht="150" hidden="1" customHeight="1" outlineLevel="1" x14ac:dyDescent="0.2">
      <c r="A249" s="634"/>
      <c r="B249" s="547"/>
      <c r="C249" s="547"/>
      <c r="D249" s="517"/>
      <c r="E249" s="520"/>
      <c r="F249" s="435" t="s">
        <v>893</v>
      </c>
      <c r="G249" s="436" t="s">
        <v>175</v>
      </c>
      <c r="H249" s="10" t="s">
        <v>894</v>
      </c>
      <c r="I249" s="467" t="s">
        <v>895</v>
      </c>
      <c r="J249" s="257" t="s">
        <v>896</v>
      </c>
      <c r="K249" s="257" t="s">
        <v>52</v>
      </c>
      <c r="L249" s="257"/>
      <c r="M249" s="280">
        <v>44593</v>
      </c>
      <c r="N249" s="280">
        <v>44925</v>
      </c>
      <c r="O249" s="280">
        <v>44652</v>
      </c>
      <c r="P249" s="281">
        <f t="shared" si="24"/>
        <v>0.17771084337349397</v>
      </c>
      <c r="Q249" s="281">
        <f t="shared" si="25"/>
        <v>0.17771084337349397</v>
      </c>
      <c r="R249" s="282">
        <v>0.12</v>
      </c>
      <c r="S249" s="283">
        <v>0.09</v>
      </c>
      <c r="T249" s="283">
        <v>0.1</v>
      </c>
      <c r="U249" s="283">
        <v>0.11</v>
      </c>
      <c r="V249" s="283">
        <v>0.12</v>
      </c>
      <c r="W249" s="308">
        <v>0</v>
      </c>
      <c r="X249" s="355" t="s">
        <v>897</v>
      </c>
      <c r="Y249" s="352"/>
      <c r="Z249" s="284"/>
      <c r="AA249" s="285"/>
      <c r="AB249" s="285"/>
      <c r="AC249" s="284"/>
      <c r="AD249" s="285"/>
      <c r="AE249" s="285"/>
      <c r="AF249" s="284"/>
      <c r="AG249" s="285"/>
      <c r="AH249" s="285"/>
      <c r="AI249" s="286"/>
    </row>
    <row r="250" spans="1:35" ht="78.599999999999994" hidden="1" customHeight="1" outlineLevel="1" x14ac:dyDescent="0.2">
      <c r="A250" s="634"/>
      <c r="B250" s="545" t="s">
        <v>868</v>
      </c>
      <c r="C250" s="545" t="s">
        <v>898</v>
      </c>
      <c r="D250" s="588" t="s">
        <v>899</v>
      </c>
      <c r="E250" s="567" t="s">
        <v>900</v>
      </c>
      <c r="F250" s="755" t="s">
        <v>901</v>
      </c>
      <c r="G250" s="569" t="s">
        <v>902</v>
      </c>
      <c r="H250" s="447" t="s">
        <v>903</v>
      </c>
      <c r="I250" s="569" t="s">
        <v>904</v>
      </c>
      <c r="J250" s="257" t="s">
        <v>905</v>
      </c>
      <c r="K250" s="322">
        <v>84000000</v>
      </c>
      <c r="L250" s="322"/>
      <c r="M250" s="280">
        <v>44593</v>
      </c>
      <c r="N250" s="280">
        <v>44925</v>
      </c>
      <c r="O250" s="280">
        <v>44652</v>
      </c>
      <c r="P250" s="281">
        <f t="shared" si="24"/>
        <v>0.17771084337349397</v>
      </c>
      <c r="Q250" s="281">
        <f t="shared" si="25"/>
        <v>0.17771084337349397</v>
      </c>
      <c r="R250" s="282">
        <v>0.1</v>
      </c>
      <c r="S250" s="283">
        <v>0.03</v>
      </c>
      <c r="T250" s="283">
        <v>0.03</v>
      </c>
      <c r="U250" s="283">
        <v>0.03</v>
      </c>
      <c r="V250" s="283">
        <v>0.03</v>
      </c>
      <c r="W250" s="308">
        <v>0.25</v>
      </c>
      <c r="X250" s="389" t="s">
        <v>906</v>
      </c>
      <c r="Y250" s="401" t="s">
        <v>907</v>
      </c>
      <c r="Z250" s="284"/>
      <c r="AA250" s="285"/>
      <c r="AB250" s="285"/>
      <c r="AC250" s="284"/>
      <c r="AD250" s="285"/>
      <c r="AE250" s="285"/>
      <c r="AF250" s="284"/>
      <c r="AG250" s="285"/>
      <c r="AH250" s="285"/>
      <c r="AI250" s="286"/>
    </row>
    <row r="251" spans="1:35" ht="75.599999999999994" hidden="1" customHeight="1" outlineLevel="1" x14ac:dyDescent="0.2">
      <c r="A251" s="634"/>
      <c r="B251" s="546"/>
      <c r="C251" s="546"/>
      <c r="D251" s="589"/>
      <c r="E251" s="568"/>
      <c r="F251" s="756"/>
      <c r="G251" s="570"/>
      <c r="H251" s="447" t="s">
        <v>908</v>
      </c>
      <c r="I251" s="570"/>
      <c r="J251" s="257" t="s">
        <v>909</v>
      </c>
      <c r="K251" s="257" t="s">
        <v>52</v>
      </c>
      <c r="L251" s="257"/>
      <c r="M251" s="280">
        <v>44593</v>
      </c>
      <c r="N251" s="280">
        <v>44925</v>
      </c>
      <c r="O251" s="280">
        <v>44652</v>
      </c>
      <c r="P251" s="281">
        <f t="shared" si="24"/>
        <v>0.17771084337349397</v>
      </c>
      <c r="Q251" s="281">
        <f t="shared" si="25"/>
        <v>0.17771084337349397</v>
      </c>
      <c r="R251" s="282">
        <v>1</v>
      </c>
      <c r="S251" s="283">
        <v>0.25</v>
      </c>
      <c r="T251" s="283">
        <v>0.5</v>
      </c>
      <c r="U251" s="283">
        <v>0.75</v>
      </c>
      <c r="V251" s="283">
        <v>1</v>
      </c>
      <c r="W251" s="308">
        <v>0.5</v>
      </c>
      <c r="X251" s="389" t="s">
        <v>910</v>
      </c>
      <c r="Y251" s="401" t="s">
        <v>907</v>
      </c>
      <c r="Z251" s="284"/>
      <c r="AA251" s="285"/>
      <c r="AB251" s="285"/>
      <c r="AC251" s="284"/>
      <c r="AD251" s="285"/>
      <c r="AE251" s="285"/>
      <c r="AF251" s="284"/>
      <c r="AG251" s="285"/>
      <c r="AH251" s="285"/>
      <c r="AI251" s="286"/>
    </row>
    <row r="252" spans="1:35" ht="75.599999999999994" hidden="1" customHeight="1" outlineLevel="1" x14ac:dyDescent="0.2">
      <c r="A252" s="634"/>
      <c r="B252" s="546"/>
      <c r="C252" s="546"/>
      <c r="D252" s="589"/>
      <c r="E252" s="568"/>
      <c r="F252" s="756"/>
      <c r="G252" s="570"/>
      <c r="H252" s="447" t="s">
        <v>911</v>
      </c>
      <c r="I252" s="570"/>
      <c r="J252" s="257" t="s">
        <v>912</v>
      </c>
      <c r="K252" s="257" t="s">
        <v>52</v>
      </c>
      <c r="L252" s="257"/>
      <c r="M252" s="280">
        <v>44593</v>
      </c>
      <c r="N252" s="280">
        <v>44925</v>
      </c>
      <c r="O252" s="280">
        <v>44652</v>
      </c>
      <c r="P252" s="281">
        <f t="shared" ref="P252:P254" si="26">+(+_xlfn.DAYS(M252,O252))/(+_xlfn.DAYS(M252,N252))</f>
        <v>0.17771084337349397</v>
      </c>
      <c r="Q252" s="281">
        <f t="shared" ref="Q252:Q254" si="27">+IF(P252&gt;=100,100,IF(P252&lt;=0,0,P252))</f>
        <v>0.17771084337349397</v>
      </c>
      <c r="R252" s="282">
        <v>1</v>
      </c>
      <c r="S252" s="283">
        <v>0.25</v>
      </c>
      <c r="T252" s="283">
        <v>0.5</v>
      </c>
      <c r="U252" s="283">
        <v>0.75</v>
      </c>
      <c r="V252" s="283">
        <v>1</v>
      </c>
      <c r="W252" s="283">
        <v>0.35</v>
      </c>
      <c r="X252" s="389" t="s">
        <v>913</v>
      </c>
      <c r="Y252" s="390" t="s">
        <v>907</v>
      </c>
      <c r="Z252" s="284"/>
      <c r="AA252" s="285"/>
      <c r="AB252" s="285"/>
      <c r="AC252" s="284"/>
      <c r="AD252" s="285"/>
      <c r="AE252" s="285"/>
      <c r="AF252" s="284"/>
      <c r="AG252" s="285"/>
      <c r="AH252" s="285"/>
      <c r="AI252" s="286"/>
    </row>
    <row r="253" spans="1:35" ht="75.599999999999994" hidden="1" customHeight="1" outlineLevel="1" x14ac:dyDescent="0.2">
      <c r="A253" s="634"/>
      <c r="B253" s="546"/>
      <c r="C253" s="546"/>
      <c r="D253" s="589"/>
      <c r="E253" s="568"/>
      <c r="F253" s="757"/>
      <c r="G253" s="571"/>
      <c r="H253" s="447" t="s">
        <v>914</v>
      </c>
      <c r="I253" s="571"/>
      <c r="J253" s="257" t="s">
        <v>915</v>
      </c>
      <c r="K253" s="257" t="s">
        <v>52</v>
      </c>
      <c r="L253" s="257"/>
      <c r="M253" s="280">
        <v>44593</v>
      </c>
      <c r="N253" s="280">
        <v>44925</v>
      </c>
      <c r="O253" s="280">
        <v>44652</v>
      </c>
      <c r="P253" s="281">
        <f t="shared" si="26"/>
        <v>0.17771084337349397</v>
      </c>
      <c r="Q253" s="281">
        <f t="shared" si="27"/>
        <v>0.17771084337349397</v>
      </c>
      <c r="R253" s="282">
        <v>1</v>
      </c>
      <c r="S253" s="283">
        <v>0.25</v>
      </c>
      <c r="T253" s="283">
        <v>0.5</v>
      </c>
      <c r="U253" s="283">
        <v>0.75</v>
      </c>
      <c r="V253" s="283">
        <v>1</v>
      </c>
      <c r="W253" s="283">
        <v>0.4</v>
      </c>
      <c r="X253" s="389" t="s">
        <v>916</v>
      </c>
      <c r="Y253" s="390" t="s">
        <v>907</v>
      </c>
      <c r="Z253" s="284"/>
      <c r="AA253" s="285"/>
      <c r="AB253" s="285"/>
      <c r="AC253" s="284"/>
      <c r="AD253" s="285"/>
      <c r="AE253" s="285"/>
      <c r="AF253" s="284"/>
      <c r="AG253" s="285"/>
      <c r="AH253" s="285"/>
      <c r="AI253" s="286"/>
    </row>
    <row r="254" spans="1:35" ht="93.6" hidden="1" customHeight="1" outlineLevel="1" x14ac:dyDescent="0.2">
      <c r="A254" s="634"/>
      <c r="B254" s="546"/>
      <c r="C254" s="546"/>
      <c r="D254" s="589"/>
      <c r="E254" s="568"/>
      <c r="F254" s="463" t="s">
        <v>917</v>
      </c>
      <c r="G254" s="444" t="s">
        <v>918</v>
      </c>
      <c r="H254" s="447" t="s">
        <v>919</v>
      </c>
      <c r="I254" s="447" t="s">
        <v>920</v>
      </c>
      <c r="J254" s="257" t="s">
        <v>921</v>
      </c>
      <c r="K254" s="322">
        <v>49200000</v>
      </c>
      <c r="L254" s="322"/>
      <c r="M254" s="280">
        <v>44593</v>
      </c>
      <c r="N254" s="280">
        <v>44925</v>
      </c>
      <c r="O254" s="280">
        <v>44652</v>
      </c>
      <c r="P254" s="281">
        <f t="shared" si="26"/>
        <v>0.17771084337349397</v>
      </c>
      <c r="Q254" s="281">
        <f t="shared" si="27"/>
        <v>0.17771084337349397</v>
      </c>
      <c r="R254" s="282">
        <v>0.66</v>
      </c>
      <c r="S254" s="283">
        <v>0.35</v>
      </c>
      <c r="T254" s="283">
        <v>0.45</v>
      </c>
      <c r="U254" s="283">
        <v>0.55000000000000004</v>
      </c>
      <c r="V254" s="283">
        <v>0.66</v>
      </c>
      <c r="W254" s="391">
        <v>0.35</v>
      </c>
      <c r="X254" s="392" t="s">
        <v>922</v>
      </c>
      <c r="Y254" s="390" t="s">
        <v>907</v>
      </c>
      <c r="Z254" s="284"/>
      <c r="AA254" s="285"/>
      <c r="AB254" s="285"/>
      <c r="AC254" s="284"/>
      <c r="AD254" s="285"/>
      <c r="AE254" s="285"/>
      <c r="AF254" s="284"/>
      <c r="AG254" s="285"/>
      <c r="AH254" s="285"/>
      <c r="AI254" s="286"/>
    </row>
    <row r="255" spans="1:35" ht="93.6" hidden="1" customHeight="1" outlineLevel="1" x14ac:dyDescent="0.2">
      <c r="A255" s="634"/>
      <c r="B255" s="546"/>
      <c r="C255" s="546"/>
      <c r="D255" s="589"/>
      <c r="E255" s="568"/>
      <c r="F255" s="567" t="s">
        <v>923</v>
      </c>
      <c r="G255" s="545" t="s">
        <v>924</v>
      </c>
      <c r="H255" s="447" t="s">
        <v>925</v>
      </c>
      <c r="I255" s="545" t="s">
        <v>926</v>
      </c>
      <c r="J255" s="257" t="s">
        <v>1856</v>
      </c>
      <c r="K255" s="322">
        <v>40000000</v>
      </c>
      <c r="L255" s="322"/>
      <c r="M255" s="280">
        <v>44593</v>
      </c>
      <c r="N255" s="280">
        <v>44925</v>
      </c>
      <c r="O255" s="280">
        <v>44652</v>
      </c>
      <c r="P255" s="281">
        <f t="shared" si="24"/>
        <v>0.17771084337349397</v>
      </c>
      <c r="Q255" s="281">
        <f t="shared" si="25"/>
        <v>0.17771084337349397</v>
      </c>
      <c r="R255" s="282">
        <v>0.33</v>
      </c>
      <c r="S255" s="595" t="s">
        <v>927</v>
      </c>
      <c r="T255" s="596"/>
      <c r="U255" s="596"/>
      <c r="V255" s="597"/>
      <c r="W255" s="308">
        <v>0</v>
      </c>
      <c r="X255" s="775" t="s">
        <v>928</v>
      </c>
      <c r="Y255" s="395" t="s">
        <v>52</v>
      </c>
      <c r="Z255" s="284"/>
      <c r="AA255" s="285"/>
      <c r="AB255" s="285"/>
      <c r="AC255" s="284"/>
      <c r="AD255" s="285"/>
      <c r="AE255" s="285"/>
      <c r="AF255" s="284"/>
      <c r="AG255" s="285"/>
      <c r="AH255" s="285"/>
      <c r="AI255" s="286"/>
    </row>
    <row r="256" spans="1:35" ht="43.15" hidden="1" customHeight="1" outlineLevel="1" x14ac:dyDescent="0.2">
      <c r="A256" s="634"/>
      <c r="B256" s="546"/>
      <c r="C256" s="546"/>
      <c r="D256" s="589"/>
      <c r="E256" s="568"/>
      <c r="F256" s="568"/>
      <c r="G256" s="546"/>
      <c r="H256" s="447" t="s">
        <v>929</v>
      </c>
      <c r="I256" s="546"/>
      <c r="J256" s="257" t="s">
        <v>930</v>
      </c>
      <c r="K256" s="257" t="s">
        <v>52</v>
      </c>
      <c r="L256" s="257"/>
      <c r="M256" s="280">
        <v>44593</v>
      </c>
      <c r="N256" s="280">
        <v>44925</v>
      </c>
      <c r="O256" s="280">
        <v>44652</v>
      </c>
      <c r="P256" s="281">
        <f t="shared" ref="P256:P257" si="28">+(+_xlfn.DAYS(M256,O256))/(+_xlfn.DAYS(M256,N256))</f>
        <v>0.17771084337349397</v>
      </c>
      <c r="Q256" s="281">
        <f t="shared" ref="Q256:Q257" si="29">+IF(P256&gt;=100,100,IF(P256&lt;=0,0,P256))</f>
        <v>0.17771084337349397</v>
      </c>
      <c r="R256" s="282">
        <v>1</v>
      </c>
      <c r="S256" s="283">
        <v>0.25</v>
      </c>
      <c r="T256" s="283">
        <v>0.5</v>
      </c>
      <c r="U256" s="283">
        <v>0.75</v>
      </c>
      <c r="V256" s="283">
        <v>1</v>
      </c>
      <c r="W256" s="308">
        <v>0</v>
      </c>
      <c r="X256" s="776"/>
      <c r="Y256" s="395" t="s">
        <v>52</v>
      </c>
      <c r="Z256" s="284"/>
      <c r="AA256" s="285"/>
      <c r="AB256" s="285"/>
      <c r="AC256" s="284"/>
      <c r="AD256" s="285"/>
      <c r="AE256" s="285"/>
      <c r="AF256" s="284"/>
      <c r="AG256" s="285"/>
      <c r="AH256" s="285"/>
      <c r="AI256" s="286"/>
    </row>
    <row r="257" spans="1:35" ht="46.5" hidden="1" customHeight="1" outlineLevel="1" x14ac:dyDescent="0.2">
      <c r="A257" s="634"/>
      <c r="B257" s="546"/>
      <c r="C257" s="546"/>
      <c r="D257" s="589"/>
      <c r="E257" s="568"/>
      <c r="F257" s="568"/>
      <c r="G257" s="546"/>
      <c r="H257" s="447" t="s">
        <v>931</v>
      </c>
      <c r="I257" s="546"/>
      <c r="J257" s="257" t="s">
        <v>932</v>
      </c>
      <c r="K257" s="257" t="s">
        <v>52</v>
      </c>
      <c r="L257" s="257"/>
      <c r="M257" s="280">
        <v>44593</v>
      </c>
      <c r="N257" s="280">
        <v>44925</v>
      </c>
      <c r="O257" s="280">
        <v>44652</v>
      </c>
      <c r="P257" s="281">
        <f t="shared" si="28"/>
        <v>0.17771084337349397</v>
      </c>
      <c r="Q257" s="281">
        <f t="shared" si="29"/>
        <v>0.17771084337349397</v>
      </c>
      <c r="R257" s="282">
        <v>1</v>
      </c>
      <c r="S257" s="283">
        <v>0.25</v>
      </c>
      <c r="T257" s="283">
        <v>0.5</v>
      </c>
      <c r="U257" s="283">
        <v>0.75</v>
      </c>
      <c r="V257" s="283">
        <v>1</v>
      </c>
      <c r="W257" s="308">
        <v>0</v>
      </c>
      <c r="X257" s="777"/>
      <c r="Y257" s="395" t="s">
        <v>52</v>
      </c>
      <c r="Z257" s="284"/>
      <c r="AA257" s="285"/>
      <c r="AB257" s="285"/>
      <c r="AC257" s="284"/>
      <c r="AD257" s="285"/>
      <c r="AE257" s="285"/>
      <c r="AF257" s="284"/>
      <c r="AG257" s="285"/>
      <c r="AH257" s="285"/>
      <c r="AI257" s="286"/>
    </row>
    <row r="258" spans="1:35" ht="93.6" hidden="1" customHeight="1" outlineLevel="1" x14ac:dyDescent="0.2">
      <c r="A258" s="634"/>
      <c r="B258" s="546"/>
      <c r="C258" s="546"/>
      <c r="D258" s="589"/>
      <c r="E258" s="568"/>
      <c r="F258" s="568"/>
      <c r="G258" s="546"/>
      <c r="H258" s="447" t="s">
        <v>933</v>
      </c>
      <c r="I258" s="546"/>
      <c r="J258" s="257" t="s">
        <v>934</v>
      </c>
      <c r="K258" s="322" t="s">
        <v>935</v>
      </c>
      <c r="L258" s="322" t="s">
        <v>935</v>
      </c>
      <c r="M258" s="280">
        <v>44593</v>
      </c>
      <c r="N258" s="280">
        <v>44925</v>
      </c>
      <c r="O258" s="280">
        <v>44652</v>
      </c>
      <c r="P258" s="281">
        <f t="shared" si="24"/>
        <v>0.17771084337349397</v>
      </c>
      <c r="Q258" s="282">
        <v>0.2636</v>
      </c>
      <c r="R258" s="778" t="s">
        <v>936</v>
      </c>
      <c r="S258" s="779"/>
      <c r="T258" s="778" t="s">
        <v>936</v>
      </c>
      <c r="U258" s="779"/>
      <c r="V258" s="439"/>
      <c r="W258" s="370">
        <v>1</v>
      </c>
      <c r="X258" s="437" t="s">
        <v>937</v>
      </c>
      <c r="Y258" s="402" t="s">
        <v>938</v>
      </c>
      <c r="Z258" s="284"/>
      <c r="AA258" s="285"/>
      <c r="AB258" s="285"/>
      <c r="AC258" s="284"/>
      <c r="AD258" s="285"/>
      <c r="AE258" s="285"/>
      <c r="AF258" s="284"/>
      <c r="AG258" s="285"/>
      <c r="AH258" s="285"/>
      <c r="AI258" s="286"/>
    </row>
    <row r="259" spans="1:35" ht="93.6" hidden="1" customHeight="1" outlineLevel="1" x14ac:dyDescent="0.2">
      <c r="A259" s="634"/>
      <c r="B259" s="546"/>
      <c r="C259" s="546"/>
      <c r="D259" s="589"/>
      <c r="E259" s="568"/>
      <c r="F259" s="568"/>
      <c r="G259" s="546"/>
      <c r="H259" s="447" t="s">
        <v>939</v>
      </c>
      <c r="I259" s="546"/>
      <c r="J259" s="257" t="s">
        <v>940</v>
      </c>
      <c r="K259" s="322" t="s">
        <v>935</v>
      </c>
      <c r="L259" s="322" t="s">
        <v>935</v>
      </c>
      <c r="M259" s="280">
        <v>44593</v>
      </c>
      <c r="N259" s="280">
        <v>44925</v>
      </c>
      <c r="O259" s="280">
        <v>44652</v>
      </c>
      <c r="P259" s="281">
        <f t="shared" si="24"/>
        <v>0.17771084337349397</v>
      </c>
      <c r="Q259" s="281"/>
      <c r="R259" s="282"/>
      <c r="S259" s="437"/>
      <c r="T259" s="438"/>
      <c r="U259" s="438"/>
      <c r="V259" s="439"/>
      <c r="W259" s="393">
        <v>1</v>
      </c>
      <c r="X259" s="351" t="s">
        <v>941</v>
      </c>
      <c r="Y259" s="403" t="s">
        <v>942</v>
      </c>
      <c r="Z259" s="284"/>
      <c r="AA259" s="285"/>
      <c r="AB259" s="285"/>
      <c r="AC259" s="284"/>
      <c r="AD259" s="285"/>
      <c r="AE259" s="285"/>
      <c r="AF259" s="284"/>
      <c r="AG259" s="285"/>
      <c r="AH259" s="285"/>
      <c r="AI259" s="286"/>
    </row>
    <row r="260" spans="1:35" ht="93.6" hidden="1" customHeight="1" outlineLevel="1" x14ac:dyDescent="0.2">
      <c r="A260" s="634"/>
      <c r="B260" s="546"/>
      <c r="C260" s="546"/>
      <c r="D260" s="589"/>
      <c r="E260" s="568"/>
      <c r="F260" s="568"/>
      <c r="G260" s="546"/>
      <c r="H260" s="447" t="s">
        <v>943</v>
      </c>
      <c r="I260" s="546"/>
      <c r="J260" s="257" t="s">
        <v>944</v>
      </c>
      <c r="K260" s="322" t="s">
        <v>945</v>
      </c>
      <c r="L260" s="322" t="s">
        <v>945</v>
      </c>
      <c r="M260" s="280">
        <v>44593</v>
      </c>
      <c r="N260" s="280">
        <v>44925</v>
      </c>
      <c r="O260" s="280">
        <v>44652</v>
      </c>
      <c r="P260" s="281">
        <f t="shared" si="24"/>
        <v>0.17771084337349397</v>
      </c>
      <c r="Q260" s="282">
        <v>1</v>
      </c>
      <c r="R260" s="437">
        <v>1</v>
      </c>
      <c r="S260" s="438">
        <v>0</v>
      </c>
      <c r="T260" s="438">
        <v>0</v>
      </c>
      <c r="U260" s="439">
        <v>0</v>
      </c>
      <c r="V260" s="439"/>
      <c r="W260" s="283">
        <v>1</v>
      </c>
      <c r="X260" s="437" t="s">
        <v>946</v>
      </c>
      <c r="Y260" s="402" t="s">
        <v>947</v>
      </c>
      <c r="Z260" s="284"/>
      <c r="AA260" s="285"/>
      <c r="AB260" s="285"/>
      <c r="AC260" s="284"/>
      <c r="AD260" s="285"/>
      <c r="AE260" s="285"/>
      <c r="AF260" s="284"/>
      <c r="AG260" s="285"/>
      <c r="AH260" s="285"/>
      <c r="AI260" s="286"/>
    </row>
    <row r="261" spans="1:35" ht="93.6" hidden="1" customHeight="1" outlineLevel="1" x14ac:dyDescent="0.2">
      <c r="A261" s="634"/>
      <c r="B261" s="546"/>
      <c r="C261" s="546"/>
      <c r="D261" s="589"/>
      <c r="E261" s="568"/>
      <c r="F261" s="568"/>
      <c r="G261" s="546"/>
      <c r="H261" s="447" t="s">
        <v>948</v>
      </c>
      <c r="I261" s="546"/>
      <c r="J261" s="257" t="s">
        <v>949</v>
      </c>
      <c r="K261" s="322" t="s">
        <v>945</v>
      </c>
      <c r="L261" s="322" t="s">
        <v>945</v>
      </c>
      <c r="M261" s="280">
        <v>44593</v>
      </c>
      <c r="N261" s="280">
        <v>44925</v>
      </c>
      <c r="O261" s="280">
        <v>44652</v>
      </c>
      <c r="P261" s="281">
        <f t="shared" si="24"/>
        <v>0.17771084337349397</v>
      </c>
      <c r="Q261" s="282">
        <v>1</v>
      </c>
      <c r="R261" s="778" t="s">
        <v>950</v>
      </c>
      <c r="S261" s="779"/>
      <c r="T261" s="778" t="s">
        <v>951</v>
      </c>
      <c r="U261" s="779"/>
      <c r="V261" s="439"/>
      <c r="W261" s="283">
        <v>0.25</v>
      </c>
      <c r="X261" s="394" t="s">
        <v>952</v>
      </c>
      <c r="Y261" s="402" t="s">
        <v>953</v>
      </c>
      <c r="Z261" s="284"/>
      <c r="AA261" s="285"/>
      <c r="AB261" s="285"/>
      <c r="AC261" s="284"/>
      <c r="AD261" s="285"/>
      <c r="AE261" s="285"/>
      <c r="AF261" s="284"/>
      <c r="AG261" s="285"/>
      <c r="AH261" s="285"/>
      <c r="AI261" s="286"/>
    </row>
    <row r="262" spans="1:35" ht="56.25" hidden="1" customHeight="1" outlineLevel="1" x14ac:dyDescent="0.3">
      <c r="A262" s="634"/>
      <c r="B262" s="546"/>
      <c r="C262" s="546"/>
      <c r="D262" s="589"/>
      <c r="E262" s="568"/>
      <c r="F262" s="567" t="s">
        <v>954</v>
      </c>
      <c r="G262" s="445" t="s">
        <v>955</v>
      </c>
      <c r="H262" s="447" t="s">
        <v>956</v>
      </c>
      <c r="I262" s="447" t="s">
        <v>957</v>
      </c>
      <c r="J262" s="257" t="s">
        <v>958</v>
      </c>
      <c r="K262" s="257" t="s">
        <v>116</v>
      </c>
      <c r="L262" s="257"/>
      <c r="M262" s="280">
        <v>44593</v>
      </c>
      <c r="N262" s="280">
        <v>44925</v>
      </c>
      <c r="O262" s="280">
        <v>44652</v>
      </c>
      <c r="P262" s="281">
        <f t="shared" si="24"/>
        <v>0.17771084337349397</v>
      </c>
      <c r="Q262" s="281">
        <f t="shared" si="25"/>
        <v>0.17771084337349397</v>
      </c>
      <c r="R262" s="282">
        <v>0.1</v>
      </c>
      <c r="S262" s="283">
        <v>0.06</v>
      </c>
      <c r="T262" s="283">
        <v>7.0000000000000007E-2</v>
      </c>
      <c r="U262" s="283">
        <v>0.08</v>
      </c>
      <c r="V262" s="283">
        <v>0.1</v>
      </c>
      <c r="W262" s="308">
        <v>0</v>
      </c>
      <c r="X262" s="397" t="s">
        <v>959</v>
      </c>
      <c r="Y262" s="396" t="s">
        <v>960</v>
      </c>
      <c r="Z262" s="284"/>
      <c r="AA262" s="285"/>
      <c r="AB262" s="285"/>
      <c r="AC262" s="284"/>
      <c r="AD262" s="285"/>
      <c r="AE262" s="285"/>
      <c r="AF262" s="284"/>
      <c r="AG262" s="285"/>
      <c r="AH262" s="285"/>
      <c r="AI262" s="286"/>
    </row>
    <row r="263" spans="1:35" ht="99.75" hidden="1" customHeight="1" outlineLevel="1" x14ac:dyDescent="0.2">
      <c r="A263" s="634"/>
      <c r="B263" s="546"/>
      <c r="C263" s="546"/>
      <c r="D263" s="589"/>
      <c r="E263" s="568"/>
      <c r="F263" s="568"/>
      <c r="G263" s="545" t="s">
        <v>961</v>
      </c>
      <c r="H263" s="447" t="s">
        <v>962</v>
      </c>
      <c r="I263" s="545" t="s">
        <v>957</v>
      </c>
      <c r="J263" s="257" t="s">
        <v>963</v>
      </c>
      <c r="K263" s="322">
        <v>88250000</v>
      </c>
      <c r="L263" s="322"/>
      <c r="M263" s="280">
        <v>44593</v>
      </c>
      <c r="N263" s="280">
        <v>44925</v>
      </c>
      <c r="O263" s="280">
        <v>44652</v>
      </c>
      <c r="P263" s="281">
        <f t="shared" si="24"/>
        <v>0.17771084337349397</v>
      </c>
      <c r="Q263" s="281">
        <f t="shared" si="25"/>
        <v>0.17771084337349397</v>
      </c>
      <c r="R263" s="282">
        <v>1</v>
      </c>
      <c r="S263" s="283">
        <v>0.25</v>
      </c>
      <c r="T263" s="283">
        <v>0.5</v>
      </c>
      <c r="U263" s="283">
        <v>0.75</v>
      </c>
      <c r="V263" s="283">
        <v>1</v>
      </c>
      <c r="W263" s="308">
        <v>0.25</v>
      </c>
      <c r="X263" s="283" t="s">
        <v>964</v>
      </c>
      <c r="Y263" s="352" t="s">
        <v>107</v>
      </c>
      <c r="Z263" s="284"/>
      <c r="AA263" s="285"/>
      <c r="AB263" s="285"/>
      <c r="AC263" s="284"/>
      <c r="AD263" s="285"/>
      <c r="AE263" s="285"/>
      <c r="AF263" s="284"/>
      <c r="AG263" s="285"/>
      <c r="AH263" s="285"/>
      <c r="AI263" s="286"/>
    </row>
    <row r="264" spans="1:35" ht="93.75" hidden="1" customHeight="1" outlineLevel="1" x14ac:dyDescent="0.2">
      <c r="A264" s="634"/>
      <c r="B264" s="546"/>
      <c r="C264" s="546"/>
      <c r="D264" s="589"/>
      <c r="E264" s="568"/>
      <c r="F264" s="568"/>
      <c r="G264" s="547"/>
      <c r="H264" s="447" t="s">
        <v>965</v>
      </c>
      <c r="I264" s="546"/>
      <c r="J264" s="257" t="s">
        <v>963</v>
      </c>
      <c r="K264" s="257" t="s">
        <v>52</v>
      </c>
      <c r="L264" s="257"/>
      <c r="M264" s="280">
        <v>44593</v>
      </c>
      <c r="N264" s="280">
        <v>44925</v>
      </c>
      <c r="O264" s="280">
        <v>44652</v>
      </c>
      <c r="P264" s="281">
        <f t="shared" si="24"/>
        <v>0.17771084337349397</v>
      </c>
      <c r="Q264" s="281">
        <f t="shared" si="25"/>
        <v>0.17771084337349397</v>
      </c>
      <c r="R264" s="282">
        <v>1</v>
      </c>
      <c r="S264" s="283">
        <v>0.25</v>
      </c>
      <c r="T264" s="283">
        <v>0.5</v>
      </c>
      <c r="U264" s="283">
        <v>0.75</v>
      </c>
      <c r="V264" s="283">
        <v>1</v>
      </c>
      <c r="W264" s="308">
        <v>0.25</v>
      </c>
      <c r="X264" s="283" t="s">
        <v>966</v>
      </c>
      <c r="Y264" s="398" t="s">
        <v>967</v>
      </c>
      <c r="Z264" s="284"/>
      <c r="AA264" s="285"/>
      <c r="AB264" s="285"/>
      <c r="AC264" s="284"/>
      <c r="AD264" s="285"/>
      <c r="AE264" s="285"/>
      <c r="AF264" s="284"/>
      <c r="AG264" s="285"/>
      <c r="AH264" s="285"/>
      <c r="AI264" s="286"/>
    </row>
    <row r="265" spans="1:35" ht="36.6" hidden="1" customHeight="1" outlineLevel="1" x14ac:dyDescent="0.2">
      <c r="A265" s="634"/>
      <c r="B265" s="546"/>
      <c r="C265" s="546"/>
      <c r="D265" s="589"/>
      <c r="E265" s="568"/>
      <c r="F265" s="568"/>
      <c r="G265" s="545" t="s">
        <v>968</v>
      </c>
      <c r="H265" s="447" t="s">
        <v>969</v>
      </c>
      <c r="I265" s="546"/>
      <c r="J265" s="257" t="s">
        <v>970</v>
      </c>
      <c r="K265" s="322">
        <v>49000000</v>
      </c>
      <c r="L265" s="322"/>
      <c r="M265" s="280">
        <v>44593</v>
      </c>
      <c r="N265" s="280">
        <v>44925</v>
      </c>
      <c r="O265" s="280">
        <v>44652</v>
      </c>
      <c r="P265" s="281">
        <f t="shared" si="24"/>
        <v>0.17771084337349397</v>
      </c>
      <c r="Q265" s="281">
        <f t="shared" si="25"/>
        <v>0.17771084337349397</v>
      </c>
      <c r="R265" s="282">
        <v>1</v>
      </c>
      <c r="S265" s="283">
        <v>0.25</v>
      </c>
      <c r="T265" s="283">
        <v>0.5</v>
      </c>
      <c r="U265" s="283">
        <v>0.75</v>
      </c>
      <c r="V265" s="283">
        <v>1</v>
      </c>
      <c r="W265" s="308">
        <v>0.25</v>
      </c>
      <c r="X265" s="283" t="s">
        <v>971</v>
      </c>
      <c r="Y265" s="354" t="s">
        <v>972</v>
      </c>
      <c r="Z265" s="284"/>
      <c r="AA265" s="285"/>
      <c r="AB265" s="285"/>
      <c r="AC265" s="284"/>
      <c r="AD265" s="285"/>
      <c r="AE265" s="285"/>
      <c r="AF265" s="284"/>
      <c r="AG265" s="285"/>
      <c r="AH265" s="285"/>
      <c r="AI265" s="286"/>
    </row>
    <row r="266" spans="1:35" ht="75" hidden="1" customHeight="1" outlineLevel="1" x14ac:dyDescent="0.2">
      <c r="A266" s="634"/>
      <c r="B266" s="546"/>
      <c r="C266" s="546"/>
      <c r="D266" s="589"/>
      <c r="E266" s="568"/>
      <c r="F266" s="568"/>
      <c r="G266" s="547"/>
      <c r="H266" s="447" t="s">
        <v>973</v>
      </c>
      <c r="I266" s="546"/>
      <c r="J266" s="257" t="s">
        <v>974</v>
      </c>
      <c r="K266" s="257" t="s">
        <v>52</v>
      </c>
      <c r="L266" s="257"/>
      <c r="M266" s="280">
        <v>44593</v>
      </c>
      <c r="N266" s="280">
        <v>44925</v>
      </c>
      <c r="O266" s="280">
        <v>44652</v>
      </c>
      <c r="P266" s="281">
        <f t="shared" si="24"/>
        <v>0.17771084337349397</v>
      </c>
      <c r="Q266" s="281">
        <f t="shared" si="25"/>
        <v>0.17771084337349397</v>
      </c>
      <c r="R266" s="282">
        <v>1</v>
      </c>
      <c r="S266" s="283">
        <v>0.25</v>
      </c>
      <c r="T266" s="283">
        <v>0.5</v>
      </c>
      <c r="U266" s="283">
        <v>0.75</v>
      </c>
      <c r="V266" s="283">
        <v>1</v>
      </c>
      <c r="W266" s="308">
        <v>0.25</v>
      </c>
      <c r="X266" s="283" t="s">
        <v>975</v>
      </c>
      <c r="Y266" s="352" t="s">
        <v>976</v>
      </c>
      <c r="Z266" s="284"/>
      <c r="AA266" s="285"/>
      <c r="AB266" s="285"/>
      <c r="AC266" s="284"/>
      <c r="AD266" s="285"/>
      <c r="AE266" s="285"/>
      <c r="AF266" s="284"/>
      <c r="AG266" s="285"/>
      <c r="AH266" s="285"/>
      <c r="AI266" s="286"/>
    </row>
    <row r="267" spans="1:35" ht="46.5" hidden="1" customHeight="1" outlineLevel="1" x14ac:dyDescent="0.2">
      <c r="A267" s="634"/>
      <c r="B267" s="546"/>
      <c r="C267" s="546"/>
      <c r="D267" s="589"/>
      <c r="E267" s="568"/>
      <c r="F267" s="568"/>
      <c r="G267" s="545" t="s">
        <v>977</v>
      </c>
      <c r="H267" s="447" t="s">
        <v>978</v>
      </c>
      <c r="I267" s="546"/>
      <c r="J267" s="257" t="s">
        <v>979</v>
      </c>
      <c r="K267" s="322">
        <v>62300000</v>
      </c>
      <c r="L267" s="322"/>
      <c r="M267" s="280">
        <v>44593</v>
      </c>
      <c r="N267" s="280">
        <v>44925</v>
      </c>
      <c r="O267" s="280">
        <v>44652</v>
      </c>
      <c r="P267" s="281">
        <f t="shared" si="24"/>
        <v>0.17771084337349397</v>
      </c>
      <c r="Q267" s="281">
        <f t="shared" si="25"/>
        <v>0.17771084337349397</v>
      </c>
      <c r="R267" s="282">
        <v>1</v>
      </c>
      <c r="S267" s="283">
        <v>0.25</v>
      </c>
      <c r="T267" s="283">
        <v>0.5</v>
      </c>
      <c r="U267" s="283">
        <v>0.75</v>
      </c>
      <c r="V267" s="283">
        <v>1</v>
      </c>
      <c r="W267" s="308">
        <v>0.25</v>
      </c>
      <c r="X267" s="283" t="s">
        <v>980</v>
      </c>
      <c r="Y267" s="352" t="s">
        <v>976</v>
      </c>
      <c r="Z267" s="284"/>
      <c r="AA267" s="285"/>
      <c r="AB267" s="285"/>
      <c r="AC267" s="284"/>
      <c r="AD267" s="285"/>
      <c r="AE267" s="285"/>
      <c r="AF267" s="284"/>
      <c r="AG267" s="285"/>
      <c r="AH267" s="285"/>
      <c r="AI267" s="286"/>
    </row>
    <row r="268" spans="1:35" ht="46.5" hidden="1" customHeight="1" outlineLevel="1" x14ac:dyDescent="0.2">
      <c r="A268" s="634"/>
      <c r="B268" s="546"/>
      <c r="C268" s="546"/>
      <c r="D268" s="589"/>
      <c r="E268" s="568"/>
      <c r="F268" s="568"/>
      <c r="G268" s="546"/>
      <c r="H268" s="447" t="s">
        <v>981</v>
      </c>
      <c r="I268" s="546"/>
      <c r="J268" s="257" t="s">
        <v>979</v>
      </c>
      <c r="K268" s="257" t="s">
        <v>52</v>
      </c>
      <c r="L268" s="257"/>
      <c r="M268" s="280">
        <v>44593</v>
      </c>
      <c r="N268" s="280">
        <v>44925</v>
      </c>
      <c r="O268" s="280">
        <v>44652</v>
      </c>
      <c r="P268" s="281">
        <f t="shared" si="24"/>
        <v>0.17771084337349397</v>
      </c>
      <c r="Q268" s="281">
        <f t="shared" si="25"/>
        <v>0.17771084337349397</v>
      </c>
      <c r="R268" s="282">
        <v>1</v>
      </c>
      <c r="S268" s="283">
        <v>0.25</v>
      </c>
      <c r="T268" s="283">
        <v>0.5</v>
      </c>
      <c r="U268" s="283">
        <v>0.75</v>
      </c>
      <c r="V268" s="283">
        <v>1</v>
      </c>
      <c r="W268" s="308">
        <v>0.25</v>
      </c>
      <c r="X268" s="283" t="s">
        <v>982</v>
      </c>
      <c r="Y268" s="352" t="s">
        <v>976</v>
      </c>
      <c r="Z268" s="284"/>
      <c r="AA268" s="285"/>
      <c r="AB268" s="285"/>
      <c r="AC268" s="284"/>
      <c r="AD268" s="285"/>
      <c r="AE268" s="285"/>
      <c r="AF268" s="284"/>
      <c r="AG268" s="285"/>
      <c r="AH268" s="285"/>
      <c r="AI268" s="286"/>
    </row>
    <row r="269" spans="1:35" ht="54.6" hidden="1" customHeight="1" outlineLevel="1" x14ac:dyDescent="0.2">
      <c r="A269" s="634"/>
      <c r="B269" s="546"/>
      <c r="C269" s="546"/>
      <c r="D269" s="589"/>
      <c r="E269" s="568"/>
      <c r="F269" s="568"/>
      <c r="G269" s="547"/>
      <c r="H269" s="447" t="s">
        <v>983</v>
      </c>
      <c r="I269" s="546"/>
      <c r="J269" s="257" t="s">
        <v>979</v>
      </c>
      <c r="K269" s="257" t="s">
        <v>52</v>
      </c>
      <c r="L269" s="257"/>
      <c r="M269" s="280">
        <v>44593</v>
      </c>
      <c r="N269" s="280">
        <v>44925</v>
      </c>
      <c r="O269" s="280">
        <v>44652</v>
      </c>
      <c r="P269" s="281">
        <f t="shared" si="24"/>
        <v>0.17771084337349397</v>
      </c>
      <c r="Q269" s="281">
        <f t="shared" si="25"/>
        <v>0.17771084337349397</v>
      </c>
      <c r="R269" s="282">
        <v>1</v>
      </c>
      <c r="S269" s="283">
        <v>0.25</v>
      </c>
      <c r="T269" s="283">
        <v>0.5</v>
      </c>
      <c r="U269" s="283">
        <v>0.75</v>
      </c>
      <c r="V269" s="283">
        <v>1</v>
      </c>
      <c r="W269" s="308"/>
      <c r="X269" s="352" t="s">
        <v>976</v>
      </c>
      <c r="Y269" s="352" t="s">
        <v>976</v>
      </c>
      <c r="Z269" s="284"/>
      <c r="AA269" s="285"/>
      <c r="AB269" s="285"/>
      <c r="AC269" s="284"/>
      <c r="AD269" s="285"/>
      <c r="AE269" s="285"/>
      <c r="AF269" s="284"/>
      <c r="AG269" s="285"/>
      <c r="AH269" s="285"/>
      <c r="AI269" s="286"/>
    </row>
    <row r="270" spans="1:35" ht="171" hidden="1" customHeight="1" outlineLevel="1" x14ac:dyDescent="0.2">
      <c r="A270" s="634"/>
      <c r="B270" s="546"/>
      <c r="C270" s="546"/>
      <c r="D270" s="589"/>
      <c r="E270" s="568"/>
      <c r="F270" s="568"/>
      <c r="G270" s="569" t="s">
        <v>984</v>
      </c>
      <c r="H270" s="447" t="s">
        <v>985</v>
      </c>
      <c r="I270" s="546"/>
      <c r="J270" s="257"/>
      <c r="K270" s="257" t="s">
        <v>52</v>
      </c>
      <c r="L270" s="257"/>
      <c r="M270" s="280">
        <v>44593</v>
      </c>
      <c r="N270" s="280">
        <v>44925</v>
      </c>
      <c r="O270" s="280">
        <v>44652</v>
      </c>
      <c r="P270" s="281">
        <f t="shared" si="24"/>
        <v>0.17771084337349397</v>
      </c>
      <c r="Q270" s="281">
        <f t="shared" si="25"/>
        <v>0.17771084337349397</v>
      </c>
      <c r="R270" s="282">
        <v>1</v>
      </c>
      <c r="S270" s="283">
        <v>0.25</v>
      </c>
      <c r="T270" s="283">
        <v>0.5</v>
      </c>
      <c r="U270" s="283">
        <v>0.75</v>
      </c>
      <c r="V270" s="283">
        <v>1</v>
      </c>
      <c r="W270" s="308">
        <v>0.4</v>
      </c>
      <c r="X270" s="283" t="s">
        <v>986</v>
      </c>
      <c r="Y270" s="399" t="s">
        <v>907</v>
      </c>
      <c r="Z270" s="284"/>
      <c r="AA270" s="285"/>
      <c r="AB270" s="285"/>
      <c r="AC270" s="284"/>
      <c r="AD270" s="285"/>
      <c r="AE270" s="285"/>
      <c r="AF270" s="284"/>
      <c r="AG270" s="285"/>
      <c r="AH270" s="285"/>
      <c r="AI270" s="286"/>
    </row>
    <row r="271" spans="1:35" ht="46.5" hidden="1" customHeight="1" outlineLevel="1" x14ac:dyDescent="0.2">
      <c r="A271" s="634"/>
      <c r="B271" s="546"/>
      <c r="C271" s="546"/>
      <c r="D271" s="589"/>
      <c r="E271" s="568"/>
      <c r="F271" s="568"/>
      <c r="G271" s="570"/>
      <c r="H271" s="447" t="s">
        <v>987</v>
      </c>
      <c r="I271" s="546"/>
      <c r="J271" s="257" t="s">
        <v>988</v>
      </c>
      <c r="K271" s="322">
        <v>14000000</v>
      </c>
      <c r="L271" s="322"/>
      <c r="M271" s="280">
        <v>44593</v>
      </c>
      <c r="N271" s="280">
        <v>44925</v>
      </c>
      <c r="O271" s="280">
        <v>44652</v>
      </c>
      <c r="P271" s="281">
        <f t="shared" si="24"/>
        <v>0.17771084337349397</v>
      </c>
      <c r="Q271" s="281">
        <f t="shared" si="25"/>
        <v>0.17771084337349397</v>
      </c>
      <c r="R271" s="282">
        <v>1</v>
      </c>
      <c r="S271" s="283">
        <v>0.25</v>
      </c>
      <c r="T271" s="283">
        <v>0.5</v>
      </c>
      <c r="U271" s="283">
        <v>0.75</v>
      </c>
      <c r="V271" s="283">
        <v>1</v>
      </c>
      <c r="W271" s="308">
        <v>0.1</v>
      </c>
      <c r="X271" s="283" t="s">
        <v>989</v>
      </c>
      <c r="Y271" s="399" t="s">
        <v>907</v>
      </c>
      <c r="Z271" s="284"/>
      <c r="AA271" s="285"/>
      <c r="AB271" s="285"/>
      <c r="AC271" s="284"/>
      <c r="AD271" s="285"/>
      <c r="AE271" s="285"/>
      <c r="AF271" s="284"/>
      <c r="AG271" s="285"/>
      <c r="AH271" s="285"/>
      <c r="AI271" s="286"/>
    </row>
    <row r="272" spans="1:35" ht="46.5" hidden="1" customHeight="1" outlineLevel="1" x14ac:dyDescent="0.2">
      <c r="A272" s="634"/>
      <c r="B272" s="546"/>
      <c r="C272" s="546"/>
      <c r="D272" s="589"/>
      <c r="E272" s="568"/>
      <c r="F272" s="568"/>
      <c r="G272" s="570"/>
      <c r="H272" s="447" t="s">
        <v>990</v>
      </c>
      <c r="I272" s="546"/>
      <c r="J272" s="257"/>
      <c r="K272" s="322"/>
      <c r="L272" s="322"/>
      <c r="M272" s="280">
        <v>44593</v>
      </c>
      <c r="N272" s="280">
        <v>44925</v>
      </c>
      <c r="O272" s="280">
        <v>44652</v>
      </c>
      <c r="P272" s="281">
        <f t="shared" ref="P272:P273" si="30">+(+_xlfn.DAYS(M272,O272))/(+_xlfn.DAYS(M272,N272))</f>
        <v>0.17771084337349397</v>
      </c>
      <c r="Q272" s="281">
        <f t="shared" ref="Q272:Q273" si="31">+IF(P272&gt;=100,100,IF(P272&lt;=0,0,P272))</f>
        <v>0.17771084337349397</v>
      </c>
      <c r="R272" s="282">
        <v>1</v>
      </c>
      <c r="S272" s="283">
        <v>0.25</v>
      </c>
      <c r="T272" s="283">
        <v>0.5</v>
      </c>
      <c r="U272" s="283">
        <v>0.75</v>
      </c>
      <c r="V272" s="283">
        <v>1</v>
      </c>
      <c r="W272" s="283">
        <v>0.35</v>
      </c>
      <c r="X272" s="283" t="s">
        <v>991</v>
      </c>
      <c r="Y272" s="399" t="s">
        <v>907</v>
      </c>
      <c r="Z272" s="284"/>
      <c r="AA272" s="285"/>
      <c r="AB272" s="285"/>
      <c r="AC272" s="284"/>
      <c r="AD272" s="285"/>
      <c r="AE272" s="285"/>
      <c r="AF272" s="284"/>
      <c r="AG272" s="285"/>
      <c r="AH272" s="285"/>
      <c r="AI272" s="286"/>
    </row>
    <row r="273" spans="1:35" ht="46.5" hidden="1" customHeight="1" outlineLevel="1" x14ac:dyDescent="0.2">
      <c r="A273" s="634"/>
      <c r="B273" s="546"/>
      <c r="C273" s="546"/>
      <c r="D273" s="589"/>
      <c r="E273" s="568"/>
      <c r="F273" s="568"/>
      <c r="G273" s="571"/>
      <c r="H273" s="447" t="s">
        <v>992</v>
      </c>
      <c r="I273" s="546"/>
      <c r="J273" s="257"/>
      <c r="K273" s="322"/>
      <c r="L273" s="322"/>
      <c r="M273" s="280">
        <v>44593</v>
      </c>
      <c r="N273" s="280">
        <v>44925</v>
      </c>
      <c r="O273" s="280">
        <v>44652</v>
      </c>
      <c r="P273" s="281">
        <f t="shared" si="30"/>
        <v>0.17771084337349397</v>
      </c>
      <c r="Q273" s="281">
        <f t="shared" si="31"/>
        <v>0.17771084337349397</v>
      </c>
      <c r="R273" s="282">
        <v>1</v>
      </c>
      <c r="S273" s="283">
        <v>0.25</v>
      </c>
      <c r="T273" s="283">
        <v>0.5</v>
      </c>
      <c r="U273" s="283">
        <v>0.75</v>
      </c>
      <c r="V273" s="283">
        <v>1</v>
      </c>
      <c r="W273" s="283">
        <v>0.25</v>
      </c>
      <c r="X273" s="283" t="s">
        <v>993</v>
      </c>
      <c r="Y273" s="399" t="s">
        <v>907</v>
      </c>
      <c r="Z273" s="284"/>
      <c r="AA273" s="285"/>
      <c r="AB273" s="285"/>
      <c r="AC273" s="284"/>
      <c r="AD273" s="285"/>
      <c r="AE273" s="285"/>
      <c r="AF273" s="284"/>
      <c r="AG273" s="285"/>
      <c r="AH273" s="285"/>
      <c r="AI273" s="286"/>
    </row>
    <row r="274" spans="1:35" ht="43.15" hidden="1" customHeight="1" outlineLevel="1" x14ac:dyDescent="0.2">
      <c r="A274" s="634"/>
      <c r="B274" s="546"/>
      <c r="C274" s="546"/>
      <c r="D274" s="589"/>
      <c r="E274" s="568"/>
      <c r="F274" s="568"/>
      <c r="G274" s="569" t="s">
        <v>994</v>
      </c>
      <c r="H274" s="447" t="s">
        <v>995</v>
      </c>
      <c r="I274" s="546"/>
      <c r="J274" s="257"/>
      <c r="K274" s="322">
        <v>59000000</v>
      </c>
      <c r="L274" s="322"/>
      <c r="M274" s="280">
        <v>44593</v>
      </c>
      <c r="N274" s="280">
        <v>44925</v>
      </c>
      <c r="O274" s="280">
        <v>44652</v>
      </c>
      <c r="P274" s="281">
        <f t="shared" si="24"/>
        <v>0.17771084337349397</v>
      </c>
      <c r="Q274" s="281">
        <f t="shared" si="25"/>
        <v>0.17771084337349397</v>
      </c>
      <c r="R274" s="282">
        <v>1</v>
      </c>
      <c r="S274" s="283">
        <v>0.25</v>
      </c>
      <c r="T274" s="283">
        <v>0.5</v>
      </c>
      <c r="U274" s="283">
        <v>0.75</v>
      </c>
      <c r="V274" s="283">
        <v>1</v>
      </c>
      <c r="W274" s="283">
        <v>0.25</v>
      </c>
      <c r="X274" s="283" t="s">
        <v>996</v>
      </c>
      <c r="Y274" s="398" t="s">
        <v>997</v>
      </c>
      <c r="Z274" s="284"/>
      <c r="AA274" s="285"/>
      <c r="AB274" s="285"/>
      <c r="AC274" s="284"/>
      <c r="AD274" s="285"/>
      <c r="AE274" s="285"/>
      <c r="AF274" s="284"/>
      <c r="AG274" s="285"/>
      <c r="AH274" s="285"/>
      <c r="AI274" s="286"/>
    </row>
    <row r="275" spans="1:35" ht="43.15" hidden="1" customHeight="1" outlineLevel="1" x14ac:dyDescent="0.2">
      <c r="A275" s="634"/>
      <c r="B275" s="546"/>
      <c r="C275" s="546"/>
      <c r="D275" s="589"/>
      <c r="E275" s="568"/>
      <c r="F275" s="568"/>
      <c r="G275" s="570"/>
      <c r="H275" s="447" t="s">
        <v>998</v>
      </c>
      <c r="I275" s="546"/>
      <c r="J275" s="257" t="s">
        <v>979</v>
      </c>
      <c r="K275" s="322"/>
      <c r="L275" s="322"/>
      <c r="M275" s="280">
        <v>44593</v>
      </c>
      <c r="N275" s="280">
        <v>44925</v>
      </c>
      <c r="O275" s="280">
        <v>44652</v>
      </c>
      <c r="P275" s="281">
        <f t="shared" ref="P275:P277" si="32">+(+_xlfn.DAYS(M275,O275))/(+_xlfn.DAYS(M275,N275))</f>
        <v>0.17771084337349397</v>
      </c>
      <c r="Q275" s="281">
        <f t="shared" ref="Q275:Q277" si="33">+IF(P275&gt;=100,100,IF(P275&lt;=0,0,P275))</f>
        <v>0.17771084337349397</v>
      </c>
      <c r="R275" s="282">
        <v>1</v>
      </c>
      <c r="S275" s="283">
        <v>0.25</v>
      </c>
      <c r="T275" s="283">
        <v>0.5</v>
      </c>
      <c r="U275" s="283">
        <v>0.75</v>
      </c>
      <c r="V275" s="283">
        <v>1</v>
      </c>
      <c r="W275" s="283">
        <v>0.25</v>
      </c>
      <c r="X275" s="283" t="s">
        <v>999</v>
      </c>
      <c r="Y275" s="400" t="s">
        <v>976</v>
      </c>
      <c r="Z275" s="284"/>
      <c r="AA275" s="285"/>
      <c r="AB275" s="285"/>
      <c r="AC275" s="284"/>
      <c r="AD275" s="285"/>
      <c r="AE275" s="285"/>
      <c r="AF275" s="284"/>
      <c r="AG275" s="285"/>
      <c r="AH275" s="285"/>
      <c r="AI275" s="286"/>
    </row>
    <row r="276" spans="1:35" ht="43.15" hidden="1" customHeight="1" outlineLevel="1" x14ac:dyDescent="0.2">
      <c r="A276" s="634"/>
      <c r="B276" s="546"/>
      <c r="C276" s="546"/>
      <c r="D276" s="589"/>
      <c r="E276" s="568"/>
      <c r="F276" s="568"/>
      <c r="G276" s="571"/>
      <c r="H276" s="447" t="s">
        <v>1000</v>
      </c>
      <c r="I276" s="546"/>
      <c r="J276" s="257" t="s">
        <v>1001</v>
      </c>
      <c r="K276" s="322"/>
      <c r="L276" s="322"/>
      <c r="M276" s="280">
        <v>44593</v>
      </c>
      <c r="N276" s="280">
        <v>44925</v>
      </c>
      <c r="O276" s="280">
        <v>44652</v>
      </c>
      <c r="P276" s="281">
        <f t="shared" si="32"/>
        <v>0.17771084337349397</v>
      </c>
      <c r="Q276" s="281">
        <f t="shared" si="33"/>
        <v>0.17771084337349397</v>
      </c>
      <c r="R276" s="282">
        <v>1</v>
      </c>
      <c r="S276" s="283">
        <v>0.25</v>
      </c>
      <c r="T276" s="283">
        <v>0.5</v>
      </c>
      <c r="U276" s="283">
        <v>0.75</v>
      </c>
      <c r="V276" s="283">
        <v>1</v>
      </c>
      <c r="W276" s="283">
        <v>0.25</v>
      </c>
      <c r="X276" s="283" t="s">
        <v>1002</v>
      </c>
      <c r="Y276" s="398" t="s">
        <v>1003</v>
      </c>
      <c r="Z276" s="284"/>
      <c r="AA276" s="285"/>
      <c r="AB276" s="285"/>
      <c r="AC276" s="284"/>
      <c r="AD276" s="285"/>
      <c r="AE276" s="285"/>
      <c r="AF276" s="284"/>
      <c r="AG276" s="285"/>
      <c r="AH276" s="285"/>
      <c r="AI276" s="286"/>
    </row>
    <row r="277" spans="1:35" ht="94.5" hidden="1" customHeight="1" outlineLevel="1" x14ac:dyDescent="0.2">
      <c r="A277" s="634"/>
      <c r="B277" s="546"/>
      <c r="C277" s="546"/>
      <c r="D277" s="589"/>
      <c r="E277" s="568"/>
      <c r="F277" s="568"/>
      <c r="G277" s="545" t="s">
        <v>1004</v>
      </c>
      <c r="H277" s="447" t="s">
        <v>1005</v>
      </c>
      <c r="I277" s="546"/>
      <c r="J277" s="257"/>
      <c r="K277" s="322">
        <v>42000000</v>
      </c>
      <c r="L277" s="322"/>
      <c r="M277" s="280">
        <v>44593</v>
      </c>
      <c r="N277" s="280">
        <v>44925</v>
      </c>
      <c r="O277" s="280">
        <v>44652</v>
      </c>
      <c r="P277" s="281">
        <f t="shared" si="32"/>
        <v>0.17771084337349397</v>
      </c>
      <c r="Q277" s="281">
        <f t="shared" si="33"/>
        <v>0.17771084337349397</v>
      </c>
      <c r="R277" s="282">
        <v>1</v>
      </c>
      <c r="S277" s="283">
        <v>0.25</v>
      </c>
      <c r="T277" s="283">
        <v>0.5</v>
      </c>
      <c r="U277" s="283">
        <v>0.75</v>
      </c>
      <c r="V277" s="283">
        <v>1</v>
      </c>
      <c r="W277" s="308">
        <v>0.1</v>
      </c>
      <c r="X277" s="283" t="s">
        <v>1006</v>
      </c>
      <c r="Y277" s="354" t="s">
        <v>1007</v>
      </c>
      <c r="Z277" s="284"/>
      <c r="AA277" s="285"/>
      <c r="AB277" s="285"/>
      <c r="AC277" s="284"/>
      <c r="AD277" s="285"/>
      <c r="AE277" s="285"/>
      <c r="AF277" s="284"/>
      <c r="AG277" s="285"/>
      <c r="AH277" s="285"/>
      <c r="AI277" s="286"/>
    </row>
    <row r="278" spans="1:35" ht="112.5" hidden="1" customHeight="1" outlineLevel="1" x14ac:dyDescent="0.2">
      <c r="A278" s="634"/>
      <c r="B278" s="546"/>
      <c r="C278" s="546"/>
      <c r="D278" s="589"/>
      <c r="E278" s="568"/>
      <c r="F278" s="568"/>
      <c r="G278" s="546"/>
      <c r="H278" s="447" t="s">
        <v>1008</v>
      </c>
      <c r="I278" s="546"/>
      <c r="J278" s="257"/>
      <c r="K278" s="322">
        <v>51500000</v>
      </c>
      <c r="L278" s="322"/>
      <c r="M278" s="280">
        <v>44593</v>
      </c>
      <c r="N278" s="280">
        <v>44925</v>
      </c>
      <c r="O278" s="280">
        <v>44652</v>
      </c>
      <c r="P278" s="281">
        <f t="shared" si="24"/>
        <v>0.17771084337349397</v>
      </c>
      <c r="Q278" s="281">
        <f t="shared" si="25"/>
        <v>0.17771084337349397</v>
      </c>
      <c r="R278" s="282">
        <v>1</v>
      </c>
      <c r="S278" s="283">
        <v>0.25</v>
      </c>
      <c r="T278" s="283">
        <v>0.5</v>
      </c>
      <c r="U278" s="283">
        <v>0.75</v>
      </c>
      <c r="V278" s="283">
        <v>1</v>
      </c>
      <c r="W278" s="308">
        <v>0.5</v>
      </c>
      <c r="X278" s="283" t="s">
        <v>1009</v>
      </c>
      <c r="Y278" s="354" t="s">
        <v>1007</v>
      </c>
      <c r="Z278" s="284"/>
      <c r="AA278" s="285"/>
      <c r="AB278" s="285"/>
      <c r="AC278" s="284"/>
      <c r="AD278" s="285"/>
      <c r="AE278" s="285"/>
      <c r="AF278" s="284"/>
      <c r="AG278" s="285"/>
      <c r="AH278" s="285"/>
      <c r="AI278" s="286"/>
    </row>
    <row r="279" spans="1:35" ht="112.5" hidden="1" customHeight="1" outlineLevel="1" x14ac:dyDescent="0.2">
      <c r="A279" s="634"/>
      <c r="B279" s="546"/>
      <c r="C279" s="546"/>
      <c r="D279" s="589"/>
      <c r="E279" s="568"/>
      <c r="F279" s="568"/>
      <c r="G279" s="546"/>
      <c r="H279" s="447" t="s">
        <v>1010</v>
      </c>
      <c r="I279" s="546"/>
      <c r="J279" s="257"/>
      <c r="K279" s="257" t="s">
        <v>52</v>
      </c>
      <c r="L279" s="322"/>
      <c r="M279" s="280">
        <v>44593</v>
      </c>
      <c r="N279" s="280">
        <v>44925</v>
      </c>
      <c r="O279" s="280">
        <v>44652</v>
      </c>
      <c r="P279" s="281">
        <f t="shared" ref="P279" si="34">+(+_xlfn.DAYS(M279,O279))/(+_xlfn.DAYS(M279,N279))</f>
        <v>0.17771084337349397</v>
      </c>
      <c r="Q279" s="281">
        <f t="shared" ref="Q279" si="35">+IF(P279&gt;=100,100,IF(P279&lt;=0,0,P279))</f>
        <v>0.17771084337349397</v>
      </c>
      <c r="R279" s="282">
        <v>1</v>
      </c>
      <c r="S279" s="283">
        <v>0.25</v>
      </c>
      <c r="T279" s="283">
        <v>0.5</v>
      </c>
      <c r="U279" s="283">
        <v>0.75</v>
      </c>
      <c r="V279" s="283">
        <v>1</v>
      </c>
      <c r="W279" s="308">
        <v>0.25</v>
      </c>
      <c r="X279" s="283" t="s">
        <v>1011</v>
      </c>
      <c r="Y279" s="354" t="s">
        <v>1007</v>
      </c>
      <c r="Z279" s="284"/>
      <c r="AA279" s="285"/>
      <c r="AB279" s="285"/>
      <c r="AC279" s="284"/>
      <c r="AD279" s="285"/>
      <c r="AE279" s="285"/>
      <c r="AF279" s="284"/>
      <c r="AG279" s="285"/>
      <c r="AH279" s="285"/>
      <c r="AI279" s="286"/>
    </row>
    <row r="280" spans="1:35" ht="36.6" hidden="1" customHeight="1" outlineLevel="1" x14ac:dyDescent="0.2">
      <c r="A280" s="634"/>
      <c r="B280" s="546"/>
      <c r="C280" s="547"/>
      <c r="D280" s="589"/>
      <c r="E280" s="718"/>
      <c r="F280" s="718"/>
      <c r="G280" s="547"/>
      <c r="H280" s="447" t="s">
        <v>1012</v>
      </c>
      <c r="I280" s="547"/>
      <c r="J280" s="257"/>
      <c r="K280" s="257" t="s">
        <v>52</v>
      </c>
      <c r="L280" s="257"/>
      <c r="M280" s="280">
        <v>44593</v>
      </c>
      <c r="N280" s="280">
        <v>44925</v>
      </c>
      <c r="O280" s="280">
        <v>44652</v>
      </c>
      <c r="P280" s="281">
        <f t="shared" si="24"/>
        <v>0.17771084337349397</v>
      </c>
      <c r="Q280" s="281">
        <f t="shared" si="25"/>
        <v>0.17771084337349397</v>
      </c>
      <c r="R280" s="282">
        <v>1</v>
      </c>
      <c r="S280" s="283">
        <v>0.25</v>
      </c>
      <c r="T280" s="283">
        <v>0.5</v>
      </c>
      <c r="U280" s="283">
        <v>0.75</v>
      </c>
      <c r="V280" s="283">
        <v>1</v>
      </c>
      <c r="W280" s="308">
        <v>0.5</v>
      </c>
      <c r="X280" s="283" t="s">
        <v>1013</v>
      </c>
      <c r="Y280" s="354" t="s">
        <v>1007</v>
      </c>
      <c r="Z280" s="284"/>
      <c r="AA280" s="285"/>
      <c r="AB280" s="285"/>
      <c r="AC280" s="284"/>
      <c r="AD280" s="285"/>
      <c r="AE280" s="285"/>
      <c r="AF280" s="284"/>
      <c r="AG280" s="285"/>
      <c r="AH280" s="285"/>
      <c r="AI280" s="286"/>
    </row>
    <row r="281" spans="1:35" ht="36.6" hidden="1" customHeight="1" outlineLevel="1" x14ac:dyDescent="0.2">
      <c r="A281" s="634"/>
      <c r="B281" s="447" t="s">
        <v>267</v>
      </c>
      <c r="C281" s="447" t="s">
        <v>278</v>
      </c>
      <c r="D281" s="668"/>
      <c r="E281" s="464" t="s">
        <v>1014</v>
      </c>
      <c r="F281" s="306" t="s">
        <v>1015</v>
      </c>
      <c r="G281" s="447" t="s">
        <v>1016</v>
      </c>
      <c r="H281" s="447" t="s">
        <v>1017</v>
      </c>
      <c r="I281" s="447" t="s">
        <v>1018</v>
      </c>
      <c r="J281" s="257" t="s">
        <v>1019</v>
      </c>
      <c r="K281" s="257" t="s">
        <v>52</v>
      </c>
      <c r="L281" s="257"/>
      <c r="M281" s="280">
        <v>44593</v>
      </c>
      <c r="N281" s="280">
        <v>44925</v>
      </c>
      <c r="O281" s="280">
        <v>44652</v>
      </c>
      <c r="P281" s="281">
        <f t="shared" si="24"/>
        <v>0.17771084337349397</v>
      </c>
      <c r="Q281" s="281">
        <f>+IF(P281&gt;=100,100,IF(P281&lt;=0,0,P281))</f>
        <v>0.17771084337349397</v>
      </c>
      <c r="R281" s="282">
        <v>0.5</v>
      </c>
      <c r="S281" s="283">
        <v>0.3</v>
      </c>
      <c r="T281" s="283">
        <v>0.35</v>
      </c>
      <c r="U281" s="283">
        <v>0.34</v>
      </c>
      <c r="V281" s="283">
        <v>0.5</v>
      </c>
      <c r="W281" s="283">
        <v>0.4</v>
      </c>
      <c r="X281" s="283" t="s">
        <v>1020</v>
      </c>
      <c r="Y281" s="398" t="s">
        <v>907</v>
      </c>
      <c r="Z281" s="284"/>
      <c r="AA281" s="285"/>
      <c r="AB281" s="285"/>
      <c r="AC281" s="284"/>
      <c r="AD281" s="285"/>
      <c r="AE281" s="285"/>
      <c r="AF281" s="284"/>
      <c r="AG281" s="285"/>
      <c r="AH281" s="285"/>
      <c r="AI281" s="286"/>
    </row>
    <row r="282" spans="1:35" ht="108.75" hidden="1" customHeight="1" outlineLevel="1" x14ac:dyDescent="0.2">
      <c r="A282" s="634"/>
      <c r="B282" s="545" t="s">
        <v>39</v>
      </c>
      <c r="C282" s="545" t="s">
        <v>1021</v>
      </c>
      <c r="D282" s="586" t="s">
        <v>1022</v>
      </c>
      <c r="E282" s="251" t="s">
        <v>1023</v>
      </c>
      <c r="F282" s="251" t="s">
        <v>1024</v>
      </c>
      <c r="G282" s="248" t="s">
        <v>1025</v>
      </c>
      <c r="H282" s="248" t="s">
        <v>1026</v>
      </c>
      <c r="I282" s="248" t="s">
        <v>1027</v>
      </c>
      <c r="J282" s="12" t="s">
        <v>1028</v>
      </c>
      <c r="K282" s="322">
        <v>250000000</v>
      </c>
      <c r="L282" s="322"/>
      <c r="M282" s="280">
        <v>44593</v>
      </c>
      <c r="N282" s="280">
        <v>44925</v>
      </c>
      <c r="O282" s="280">
        <v>44652</v>
      </c>
      <c r="P282" s="281">
        <f t="shared" si="24"/>
        <v>0.17771084337349397</v>
      </c>
      <c r="Q282" s="281">
        <f t="shared" si="25"/>
        <v>0.17771084337349397</v>
      </c>
      <c r="R282" s="282">
        <v>0.6</v>
      </c>
      <c r="S282" s="283">
        <v>0.3</v>
      </c>
      <c r="T282" s="283">
        <v>0.4</v>
      </c>
      <c r="U282" s="283">
        <v>0.5</v>
      </c>
      <c r="V282" s="283">
        <v>0.6</v>
      </c>
      <c r="W282" s="308">
        <v>0.2</v>
      </c>
      <c r="X282" s="283" t="s">
        <v>1029</v>
      </c>
      <c r="Y282" s="352" t="s">
        <v>1030</v>
      </c>
      <c r="Z282" s="284"/>
      <c r="AA282" s="285"/>
      <c r="AB282" s="285"/>
      <c r="AC282" s="284"/>
      <c r="AD282" s="285"/>
      <c r="AE282" s="285"/>
      <c r="AF282" s="284"/>
      <c r="AG282" s="285"/>
      <c r="AH282" s="285"/>
      <c r="AI282" s="286"/>
    </row>
    <row r="283" spans="1:35" ht="138.75" hidden="1" customHeight="1" outlineLevel="1" x14ac:dyDescent="0.2">
      <c r="A283" s="634"/>
      <c r="B283" s="546"/>
      <c r="C283" s="546"/>
      <c r="D283" s="587"/>
      <c r="E283" s="551" t="s">
        <v>1031</v>
      </c>
      <c r="F283" s="551" t="s">
        <v>181</v>
      </c>
      <c r="G283" s="248" t="s">
        <v>1032</v>
      </c>
      <c r="H283" s="248" t="s">
        <v>1033</v>
      </c>
      <c r="I283" s="650" t="s">
        <v>184</v>
      </c>
      <c r="J283" s="12" t="s">
        <v>1034</v>
      </c>
      <c r="K283" s="322">
        <v>190556437.5</v>
      </c>
      <c r="L283" s="322"/>
      <c r="M283" s="280">
        <v>44593</v>
      </c>
      <c r="N283" s="280">
        <v>44925</v>
      </c>
      <c r="O283" s="280">
        <v>44652</v>
      </c>
      <c r="P283" s="281">
        <f t="shared" si="24"/>
        <v>0.17771084337349397</v>
      </c>
      <c r="Q283" s="281">
        <f t="shared" ref="Q283:Q284" si="36">+IF(P283&gt;=100,100,IF(P283&lt;=0,0,P283))</f>
        <v>0.17771084337349397</v>
      </c>
      <c r="R283" s="282">
        <v>1</v>
      </c>
      <c r="S283" s="283">
        <v>0.25</v>
      </c>
      <c r="T283" s="283">
        <v>0.5</v>
      </c>
      <c r="U283" s="283">
        <v>0.75</v>
      </c>
      <c r="V283" s="283">
        <v>1</v>
      </c>
      <c r="W283" s="308">
        <v>0.25</v>
      </c>
      <c r="X283" s="283" t="s">
        <v>1035</v>
      </c>
      <c r="Y283" s="352" t="s">
        <v>657</v>
      </c>
      <c r="Z283" s="284"/>
      <c r="AA283" s="285"/>
      <c r="AB283" s="285"/>
      <c r="AC283" s="284"/>
      <c r="AD283" s="285"/>
      <c r="AE283" s="285"/>
      <c r="AF283" s="284"/>
      <c r="AG283" s="285"/>
      <c r="AH283" s="285"/>
      <c r="AI283" s="286"/>
    </row>
    <row r="284" spans="1:35" ht="70.150000000000006" hidden="1" customHeight="1" outlineLevel="1" x14ac:dyDescent="0.2">
      <c r="A284" s="634"/>
      <c r="B284" s="546"/>
      <c r="C284" s="546"/>
      <c r="D284" s="587"/>
      <c r="E284" s="552"/>
      <c r="F284" s="552"/>
      <c r="G284" s="248" t="s">
        <v>1032</v>
      </c>
      <c r="H284" s="248" t="s">
        <v>1036</v>
      </c>
      <c r="I284" s="651"/>
      <c r="J284" s="12" t="s">
        <v>1037</v>
      </c>
      <c r="K284" s="322">
        <v>27667500</v>
      </c>
      <c r="L284" s="322"/>
      <c r="M284" s="280">
        <v>44593</v>
      </c>
      <c r="N284" s="280">
        <v>44925</v>
      </c>
      <c r="O284" s="280">
        <v>44652</v>
      </c>
      <c r="P284" s="281">
        <f t="shared" si="24"/>
        <v>0.17771084337349397</v>
      </c>
      <c r="Q284" s="281">
        <f t="shared" si="36"/>
        <v>0.17771084337349397</v>
      </c>
      <c r="R284" s="282">
        <v>1</v>
      </c>
      <c r="S284" s="283">
        <v>0.25</v>
      </c>
      <c r="T284" s="283">
        <v>0.5</v>
      </c>
      <c r="U284" s="283">
        <v>0.75</v>
      </c>
      <c r="V284" s="283">
        <v>1</v>
      </c>
      <c r="W284" s="308">
        <v>0.24</v>
      </c>
      <c r="X284" s="283" t="s">
        <v>1038</v>
      </c>
      <c r="Y284" s="352" t="s">
        <v>657</v>
      </c>
      <c r="Z284" s="284"/>
      <c r="AA284" s="285"/>
      <c r="AB284" s="285"/>
      <c r="AC284" s="284"/>
      <c r="AD284" s="285"/>
      <c r="AE284" s="285"/>
      <c r="AF284" s="284"/>
      <c r="AG284" s="285"/>
      <c r="AH284" s="285"/>
      <c r="AI284" s="286"/>
    </row>
    <row r="285" spans="1:35" ht="90" hidden="1" customHeight="1" outlineLevel="1" x14ac:dyDescent="0.2">
      <c r="A285" s="634"/>
      <c r="B285" s="546"/>
      <c r="C285" s="546"/>
      <c r="D285" s="587"/>
      <c r="E285" s="551" t="s">
        <v>1039</v>
      </c>
      <c r="F285" s="551" t="s">
        <v>1040</v>
      </c>
      <c r="G285" s="248" t="s">
        <v>1041</v>
      </c>
      <c r="H285" s="248" t="s">
        <v>1042</v>
      </c>
      <c r="I285" s="248" t="s">
        <v>1043</v>
      </c>
      <c r="J285" s="12" t="s">
        <v>501</v>
      </c>
      <c r="K285" s="12" t="s">
        <v>501</v>
      </c>
      <c r="L285" s="12"/>
      <c r="M285" s="280">
        <v>44593</v>
      </c>
      <c r="N285" s="280">
        <v>44925</v>
      </c>
      <c r="O285" s="280">
        <v>44652</v>
      </c>
      <c r="P285" s="281">
        <f t="shared" si="24"/>
        <v>0.17771084337349397</v>
      </c>
      <c r="Q285" s="281">
        <f t="shared" si="25"/>
        <v>0.17771084337349397</v>
      </c>
      <c r="R285" s="282">
        <v>1</v>
      </c>
      <c r="S285" s="283">
        <v>0.35</v>
      </c>
      <c r="T285" s="283">
        <v>0.45</v>
      </c>
      <c r="U285" s="283">
        <v>0.55000000000000004</v>
      </c>
      <c r="V285" s="283">
        <v>0.6</v>
      </c>
      <c r="W285" s="308">
        <v>0</v>
      </c>
      <c r="X285" s="283" t="s">
        <v>1044</v>
      </c>
      <c r="Y285" s="352" t="s">
        <v>52</v>
      </c>
      <c r="Z285" s="284"/>
      <c r="AA285" s="285"/>
      <c r="AB285" s="285"/>
      <c r="AC285" s="284"/>
      <c r="AD285" s="285"/>
      <c r="AE285" s="285"/>
      <c r="AF285" s="284"/>
      <c r="AG285" s="285"/>
      <c r="AH285" s="285"/>
      <c r="AI285" s="286"/>
    </row>
    <row r="286" spans="1:35" ht="90" hidden="1" customHeight="1" outlineLevel="1" x14ac:dyDescent="0.2">
      <c r="A286" s="634"/>
      <c r="B286" s="546"/>
      <c r="C286" s="547"/>
      <c r="D286" s="587"/>
      <c r="E286" s="552"/>
      <c r="F286" s="552"/>
      <c r="G286" s="248" t="s">
        <v>1045</v>
      </c>
      <c r="H286" s="248" t="s">
        <v>1046</v>
      </c>
      <c r="I286" s="248" t="s">
        <v>1047</v>
      </c>
      <c r="J286" s="12" t="s">
        <v>1048</v>
      </c>
      <c r="K286" s="12" t="s">
        <v>501</v>
      </c>
      <c r="L286" s="12"/>
      <c r="M286" s="280">
        <v>44593</v>
      </c>
      <c r="N286" s="280">
        <v>44925</v>
      </c>
      <c r="O286" s="280">
        <v>44652</v>
      </c>
      <c r="P286" s="281">
        <f t="shared" si="24"/>
        <v>0.17771084337349397</v>
      </c>
      <c r="Q286" s="281">
        <f t="shared" ref="Q286" si="37">+IF(P286&gt;=100,100,IF(P286&lt;=0,0,P286))</f>
        <v>0.17771084337349397</v>
      </c>
      <c r="R286" s="282">
        <v>0.6</v>
      </c>
      <c r="S286" s="283">
        <v>0.35</v>
      </c>
      <c r="T286" s="283">
        <v>0.45</v>
      </c>
      <c r="U286" s="283">
        <v>0.55000000000000004</v>
      </c>
      <c r="V286" s="283">
        <v>0.6</v>
      </c>
      <c r="W286" s="308">
        <v>0.3</v>
      </c>
      <c r="X286" s="283" t="s">
        <v>1049</v>
      </c>
      <c r="Y286" s="352" t="s">
        <v>306</v>
      </c>
      <c r="Z286" s="284"/>
      <c r="AA286" s="285"/>
      <c r="AB286" s="285"/>
      <c r="AC286" s="284"/>
      <c r="AD286" s="285"/>
      <c r="AE286" s="285"/>
      <c r="AF286" s="284"/>
      <c r="AG286" s="285"/>
      <c r="AH286" s="285"/>
      <c r="AI286" s="286"/>
    </row>
    <row r="287" spans="1:35" ht="148.5" hidden="1" customHeight="1" outlineLevel="1" x14ac:dyDescent="0.2">
      <c r="A287" s="634"/>
      <c r="B287" s="546"/>
      <c r="C287" s="545" t="s">
        <v>869</v>
      </c>
      <c r="D287" s="587"/>
      <c r="E287" s="551" t="s">
        <v>253</v>
      </c>
      <c r="F287" s="251" t="s">
        <v>1050</v>
      </c>
      <c r="G287" s="248" t="s">
        <v>501</v>
      </c>
      <c r="H287" s="248" t="s">
        <v>501</v>
      </c>
      <c r="I287" s="248" t="s">
        <v>256</v>
      </c>
      <c r="J287" s="257" t="s">
        <v>1051</v>
      </c>
      <c r="K287" s="12" t="s">
        <v>501</v>
      </c>
      <c r="L287" s="12"/>
      <c r="M287" s="280">
        <v>44593</v>
      </c>
      <c r="N287" s="280">
        <v>44925</v>
      </c>
      <c r="O287" s="280">
        <v>44652</v>
      </c>
      <c r="P287" s="281">
        <f t="shared" si="24"/>
        <v>0.17771084337349397</v>
      </c>
      <c r="Q287" s="281">
        <f t="shared" si="25"/>
        <v>0.17771084337349397</v>
      </c>
      <c r="R287" s="295">
        <v>0.25</v>
      </c>
      <c r="S287" s="283">
        <v>0.12</v>
      </c>
      <c r="T287" s="283">
        <v>0.18</v>
      </c>
      <c r="U287" s="283">
        <v>0.21</v>
      </c>
      <c r="V287" s="283">
        <v>0.25</v>
      </c>
      <c r="W287" s="308">
        <v>1</v>
      </c>
      <c r="X287" s="283" t="s">
        <v>1052</v>
      </c>
      <c r="Y287" s="352" t="s">
        <v>52</v>
      </c>
      <c r="Z287" s="284"/>
      <c r="AA287" s="285"/>
      <c r="AB287" s="285"/>
      <c r="AC287" s="284"/>
      <c r="AD287" s="285"/>
      <c r="AE287" s="285"/>
      <c r="AF287" s="284"/>
      <c r="AG287" s="285"/>
      <c r="AH287" s="285"/>
      <c r="AI287" s="286"/>
    </row>
    <row r="288" spans="1:35" ht="111.75" hidden="1" customHeight="1" outlineLevel="1" x14ac:dyDescent="0.2">
      <c r="A288" s="634"/>
      <c r="B288" s="547"/>
      <c r="C288" s="547"/>
      <c r="D288" s="587"/>
      <c r="E288" s="552"/>
      <c r="F288" s="251" t="s">
        <v>1053</v>
      </c>
      <c r="G288" s="248" t="s">
        <v>501</v>
      </c>
      <c r="H288" s="248" t="s">
        <v>501</v>
      </c>
      <c r="I288" s="248" t="s">
        <v>272</v>
      </c>
      <c r="J288" s="257" t="s">
        <v>501</v>
      </c>
      <c r="K288" s="12" t="s">
        <v>501</v>
      </c>
      <c r="L288" s="12"/>
      <c r="M288" s="280">
        <v>44593</v>
      </c>
      <c r="N288" s="280">
        <v>44925</v>
      </c>
      <c r="O288" s="280">
        <v>44652</v>
      </c>
      <c r="P288" s="281">
        <f t="shared" si="24"/>
        <v>0.17771084337349397</v>
      </c>
      <c r="Q288" s="281">
        <f t="shared" si="25"/>
        <v>0.17771084337349397</v>
      </c>
      <c r="R288" s="282">
        <v>0.15</v>
      </c>
      <c r="S288" s="283">
        <v>0.03</v>
      </c>
      <c r="T288" s="283">
        <v>0.06</v>
      </c>
      <c r="U288" s="283">
        <v>0.1</v>
      </c>
      <c r="V288" s="283">
        <v>0.15</v>
      </c>
      <c r="W288" s="308">
        <v>0</v>
      </c>
      <c r="X288" s="283" t="s">
        <v>1054</v>
      </c>
      <c r="Y288" s="352" t="s">
        <v>52</v>
      </c>
      <c r="Z288" s="284"/>
      <c r="AA288" s="285"/>
      <c r="AB288" s="285"/>
      <c r="AC288" s="284"/>
      <c r="AD288" s="285"/>
      <c r="AE288" s="285"/>
      <c r="AF288" s="284"/>
      <c r="AG288" s="285"/>
      <c r="AH288" s="285"/>
      <c r="AI288" s="286"/>
    </row>
    <row r="289" spans="1:35" ht="96" hidden="1" customHeight="1" outlineLevel="1" x14ac:dyDescent="0.2">
      <c r="A289" s="634"/>
      <c r="B289" s="545" t="s">
        <v>39</v>
      </c>
      <c r="C289" s="545" t="s">
        <v>1055</v>
      </c>
      <c r="D289" s="629" t="s">
        <v>1056</v>
      </c>
      <c r="E289" s="555" t="s">
        <v>788</v>
      </c>
      <c r="F289" s="555" t="s">
        <v>789</v>
      </c>
      <c r="G289" s="609" t="s">
        <v>44</v>
      </c>
      <c r="H289" s="253" t="s">
        <v>1057</v>
      </c>
      <c r="I289" s="609" t="s">
        <v>791</v>
      </c>
      <c r="J289" s="611" t="s">
        <v>1058</v>
      </c>
      <c r="K289" s="12" t="s">
        <v>501</v>
      </c>
      <c r="L289" s="203" t="s">
        <v>501</v>
      </c>
      <c r="M289" s="280">
        <v>44593</v>
      </c>
      <c r="N289" s="280">
        <v>44925</v>
      </c>
      <c r="O289" s="280">
        <v>44652</v>
      </c>
      <c r="P289" s="281">
        <f t="shared" si="24"/>
        <v>0.17771084337349397</v>
      </c>
      <c r="Q289" s="281">
        <f t="shared" si="25"/>
        <v>0.17771084337349397</v>
      </c>
      <c r="R289" s="282">
        <v>0.5</v>
      </c>
      <c r="S289" s="283">
        <v>0.35</v>
      </c>
      <c r="T289" s="283">
        <v>0.4</v>
      </c>
      <c r="U289" s="283">
        <v>0.45</v>
      </c>
      <c r="V289" s="283">
        <v>0.5</v>
      </c>
      <c r="W289" s="308">
        <v>0.8</v>
      </c>
      <c r="X289" s="283" t="s">
        <v>1059</v>
      </c>
      <c r="Y289" s="352" t="s">
        <v>1060</v>
      </c>
      <c r="Z289" s="284"/>
      <c r="AA289" s="285"/>
      <c r="AB289" s="285"/>
      <c r="AC289" s="284"/>
      <c r="AD289" s="285"/>
      <c r="AE289" s="285"/>
      <c r="AF289" s="284"/>
      <c r="AG289" s="285"/>
      <c r="AH289" s="285"/>
      <c r="AI289" s="286"/>
    </row>
    <row r="290" spans="1:35" ht="99" hidden="1" customHeight="1" outlineLevel="1" x14ac:dyDescent="0.2">
      <c r="A290" s="634"/>
      <c r="B290" s="546"/>
      <c r="C290" s="546"/>
      <c r="D290" s="630"/>
      <c r="E290" s="556"/>
      <c r="F290" s="556"/>
      <c r="G290" s="610"/>
      <c r="H290" s="253" t="s">
        <v>1061</v>
      </c>
      <c r="I290" s="610"/>
      <c r="J290" s="612"/>
      <c r="K290" s="257" t="s">
        <v>116</v>
      </c>
      <c r="L290" s="369">
        <v>591453000</v>
      </c>
      <c r="M290" s="280">
        <v>44593</v>
      </c>
      <c r="N290" s="280">
        <v>44925</v>
      </c>
      <c r="O290" s="280">
        <v>44652</v>
      </c>
      <c r="P290" s="281">
        <f t="shared" si="24"/>
        <v>0.17771084337349397</v>
      </c>
      <c r="Q290" s="281">
        <f t="shared" si="25"/>
        <v>0.17771084337349397</v>
      </c>
      <c r="R290" s="282">
        <v>1</v>
      </c>
      <c r="S290" s="283">
        <v>0.25</v>
      </c>
      <c r="T290" s="283">
        <v>0.5</v>
      </c>
      <c r="U290" s="283">
        <v>0.75</v>
      </c>
      <c r="V290" s="283">
        <v>1</v>
      </c>
      <c r="W290" s="308">
        <v>0.25</v>
      </c>
      <c r="X290" s="283" t="s">
        <v>1062</v>
      </c>
      <c r="Y290" s="352" t="s">
        <v>1063</v>
      </c>
      <c r="Z290" s="284"/>
      <c r="AA290" s="285"/>
      <c r="AB290" s="285"/>
      <c r="AC290" s="284"/>
      <c r="AD290" s="285"/>
      <c r="AE290" s="285"/>
      <c r="AF290" s="284"/>
      <c r="AG290" s="285"/>
      <c r="AH290" s="285"/>
      <c r="AI290" s="286"/>
    </row>
    <row r="291" spans="1:35" ht="107.25" hidden="1" customHeight="1" outlineLevel="1" x14ac:dyDescent="0.2">
      <c r="A291" s="634"/>
      <c r="B291" s="547"/>
      <c r="C291" s="547"/>
      <c r="D291" s="630"/>
      <c r="E291" s="594"/>
      <c r="F291" s="259" t="s">
        <v>1064</v>
      </c>
      <c r="G291" s="253" t="s">
        <v>1065</v>
      </c>
      <c r="H291" s="253" t="s">
        <v>1066</v>
      </c>
      <c r="I291" s="253" t="s">
        <v>449</v>
      </c>
      <c r="J291" s="257" t="s">
        <v>1067</v>
      </c>
      <c r="K291" s="257" t="s">
        <v>116</v>
      </c>
      <c r="L291" s="352" t="s">
        <v>52</v>
      </c>
      <c r="M291" s="280">
        <v>44593</v>
      </c>
      <c r="N291" s="280">
        <v>44925</v>
      </c>
      <c r="O291" s="280">
        <v>44652</v>
      </c>
      <c r="P291" s="281">
        <f t="shared" si="24"/>
        <v>0.17771084337349397</v>
      </c>
      <c r="Q291" s="281">
        <f t="shared" si="25"/>
        <v>0.17771084337349397</v>
      </c>
      <c r="R291" s="282">
        <v>1</v>
      </c>
      <c r="S291" s="283">
        <v>0.25</v>
      </c>
      <c r="T291" s="283">
        <v>0.5</v>
      </c>
      <c r="U291" s="283">
        <v>0.75</v>
      </c>
      <c r="V291" s="283">
        <v>1</v>
      </c>
      <c r="W291" s="308">
        <v>0.25</v>
      </c>
      <c r="X291" s="380" t="s">
        <v>1068</v>
      </c>
      <c r="Y291" s="352" t="s">
        <v>52</v>
      </c>
      <c r="Z291" s="284"/>
      <c r="AA291" s="285"/>
      <c r="AB291" s="285"/>
      <c r="AC291" s="284"/>
      <c r="AD291" s="285"/>
      <c r="AE291" s="285"/>
      <c r="AF291" s="284"/>
      <c r="AG291" s="285"/>
      <c r="AH291" s="285"/>
      <c r="AI291" s="286"/>
    </row>
    <row r="292" spans="1:35" ht="92.25" hidden="1" customHeight="1" outlineLevel="1" x14ac:dyDescent="0.2">
      <c r="A292" s="634"/>
      <c r="B292" s="447" t="s">
        <v>267</v>
      </c>
      <c r="C292" s="447" t="s">
        <v>1069</v>
      </c>
      <c r="D292" s="630"/>
      <c r="E292" s="259" t="s">
        <v>1070</v>
      </c>
      <c r="F292" s="259" t="s">
        <v>1071</v>
      </c>
      <c r="G292" s="253" t="s">
        <v>350</v>
      </c>
      <c r="H292" s="253" t="s">
        <v>1072</v>
      </c>
      <c r="I292" s="253" t="s">
        <v>1073</v>
      </c>
      <c r="J292" s="257" t="s">
        <v>1859</v>
      </c>
      <c r="K292" s="257" t="s">
        <v>116</v>
      </c>
      <c r="L292" s="352" t="s">
        <v>52</v>
      </c>
      <c r="M292" s="280">
        <v>44593</v>
      </c>
      <c r="N292" s="280">
        <v>44925</v>
      </c>
      <c r="O292" s="280">
        <v>44652</v>
      </c>
      <c r="P292" s="281">
        <f t="shared" si="24"/>
        <v>0.17771084337349397</v>
      </c>
      <c r="Q292" s="281">
        <f t="shared" si="25"/>
        <v>0.17771084337349397</v>
      </c>
      <c r="R292" s="282">
        <v>0.5</v>
      </c>
      <c r="S292" s="283">
        <v>0.3</v>
      </c>
      <c r="T292" s="283">
        <v>0.4</v>
      </c>
      <c r="U292" s="283">
        <v>0.45</v>
      </c>
      <c r="V292" s="283">
        <v>0.5</v>
      </c>
      <c r="W292" s="308">
        <v>0.05</v>
      </c>
      <c r="X292" s="283" t="s">
        <v>1074</v>
      </c>
      <c r="Y292" s="352" t="s">
        <v>52</v>
      </c>
      <c r="Z292" s="284"/>
      <c r="AA292" s="285"/>
      <c r="AB292" s="285"/>
      <c r="AC292" s="284"/>
      <c r="AD292" s="285"/>
      <c r="AE292" s="285"/>
      <c r="AF292" s="284"/>
      <c r="AG292" s="285"/>
      <c r="AH292" s="285"/>
      <c r="AI292" s="286"/>
    </row>
    <row r="293" spans="1:35" ht="165" hidden="1" customHeight="1" outlineLevel="1" x14ac:dyDescent="0.2">
      <c r="A293" s="634"/>
      <c r="B293" s="545" t="s">
        <v>39</v>
      </c>
      <c r="C293" s="545" t="s">
        <v>1021</v>
      </c>
      <c r="D293" s="630"/>
      <c r="E293" s="555" t="s">
        <v>1075</v>
      </c>
      <c r="F293" s="555" t="s">
        <v>181</v>
      </c>
      <c r="G293" s="762" t="s">
        <v>76</v>
      </c>
      <c r="H293" s="253" t="s">
        <v>1076</v>
      </c>
      <c r="I293" s="762" t="s">
        <v>184</v>
      </c>
      <c r="J293" s="257" t="s">
        <v>1077</v>
      </c>
      <c r="K293" s="257" t="s">
        <v>116</v>
      </c>
      <c r="L293" s="352" t="s">
        <v>52</v>
      </c>
      <c r="M293" s="280">
        <v>44593</v>
      </c>
      <c r="N293" s="280">
        <v>44925</v>
      </c>
      <c r="O293" s="280">
        <v>44652</v>
      </c>
      <c r="P293" s="281">
        <f>+(+_xlfn.DAYS(M293,O293))/(+_xlfn.DAYS(M293,N293))</f>
        <v>0.17771084337349397</v>
      </c>
      <c r="Q293" s="281">
        <f>+IF(P293&gt;=100,100,IF(P293&lt;=0,0,P293))</f>
        <v>0.17771084337349397</v>
      </c>
      <c r="R293" s="282">
        <v>1</v>
      </c>
      <c r="S293" s="283">
        <v>0.25</v>
      </c>
      <c r="T293" s="283">
        <v>0.5</v>
      </c>
      <c r="U293" s="283">
        <v>0.75</v>
      </c>
      <c r="V293" s="283">
        <v>1</v>
      </c>
      <c r="W293" s="308">
        <v>0.05</v>
      </c>
      <c r="X293" s="283" t="s">
        <v>1078</v>
      </c>
      <c r="Y293" s="352" t="s">
        <v>52</v>
      </c>
      <c r="Z293" s="284"/>
      <c r="AA293" s="285"/>
      <c r="AB293" s="285"/>
      <c r="AC293" s="284"/>
      <c r="AD293" s="285"/>
      <c r="AE293" s="285"/>
      <c r="AF293" s="284"/>
      <c r="AG293" s="285"/>
      <c r="AH293" s="285"/>
      <c r="AI293" s="286"/>
    </row>
    <row r="294" spans="1:35" ht="99" hidden="1" customHeight="1" outlineLevel="1" x14ac:dyDescent="0.2">
      <c r="A294" s="634"/>
      <c r="B294" s="546"/>
      <c r="C294" s="546"/>
      <c r="D294" s="630"/>
      <c r="E294" s="594"/>
      <c r="F294" s="594"/>
      <c r="G294" s="763"/>
      <c r="H294" s="253" t="s">
        <v>1079</v>
      </c>
      <c r="I294" s="763"/>
      <c r="J294" s="257" t="s">
        <v>1080</v>
      </c>
      <c r="K294" s="257" t="s">
        <v>116</v>
      </c>
      <c r="L294" s="352" t="s">
        <v>52</v>
      </c>
      <c r="M294" s="280">
        <v>44593</v>
      </c>
      <c r="N294" s="280">
        <v>44925</v>
      </c>
      <c r="O294" s="280">
        <v>44652</v>
      </c>
      <c r="P294" s="281">
        <f>+(+_xlfn.DAYS(M294,O294))/(+_xlfn.DAYS(M294,N294))</f>
        <v>0.17771084337349397</v>
      </c>
      <c r="Q294" s="281">
        <f>+IF(P294&gt;=100,100,IF(P294&lt;=0,0,P294))</f>
        <v>0.17771084337349397</v>
      </c>
      <c r="R294" s="282">
        <v>1</v>
      </c>
      <c r="S294" s="283">
        <v>0.25</v>
      </c>
      <c r="T294" s="283">
        <v>0.5</v>
      </c>
      <c r="U294" s="283">
        <v>0.75</v>
      </c>
      <c r="V294" s="283">
        <v>1</v>
      </c>
      <c r="W294" s="308">
        <v>0.25</v>
      </c>
      <c r="X294" s="370" t="s">
        <v>1081</v>
      </c>
      <c r="Y294" s="352" t="s">
        <v>1082</v>
      </c>
      <c r="Z294" s="284"/>
      <c r="AA294" s="285"/>
      <c r="AB294" s="285"/>
      <c r="AC294" s="284"/>
      <c r="AD294" s="285"/>
      <c r="AE294" s="285"/>
      <c r="AF294" s="284"/>
      <c r="AG294" s="285"/>
      <c r="AH294" s="285"/>
      <c r="AI294" s="286"/>
    </row>
    <row r="295" spans="1:35" ht="112.5" hidden="1" customHeight="1" outlineLevel="1" x14ac:dyDescent="0.2">
      <c r="A295" s="634"/>
      <c r="B295" s="546"/>
      <c r="C295" s="546"/>
      <c r="D295" s="630"/>
      <c r="E295" s="259" t="s">
        <v>1083</v>
      </c>
      <c r="F295" s="259" t="s">
        <v>43</v>
      </c>
      <c r="G295" s="253" t="s">
        <v>76</v>
      </c>
      <c r="H295" s="253" t="s">
        <v>1084</v>
      </c>
      <c r="I295" s="253" t="s">
        <v>1085</v>
      </c>
      <c r="J295" s="257" t="s">
        <v>450</v>
      </c>
      <c r="K295" s="257" t="s">
        <v>116</v>
      </c>
      <c r="L295" s="337">
        <v>33960000</v>
      </c>
      <c r="M295" s="280">
        <v>44593</v>
      </c>
      <c r="N295" s="280">
        <v>44925</v>
      </c>
      <c r="O295" s="280">
        <v>44652</v>
      </c>
      <c r="P295" s="281">
        <f t="shared" si="24"/>
        <v>0.17771084337349397</v>
      </c>
      <c r="Q295" s="281">
        <f t="shared" ref="Q295:Q296" si="38">+IF(P295&gt;=100,100,IF(P295&lt;=0,0,P295))</f>
        <v>0.17771084337349397</v>
      </c>
      <c r="R295" s="282">
        <v>1</v>
      </c>
      <c r="S295" s="283">
        <v>0.25</v>
      </c>
      <c r="T295" s="283">
        <v>0.5</v>
      </c>
      <c r="U295" s="283">
        <v>0.75</v>
      </c>
      <c r="V295" s="283">
        <v>1</v>
      </c>
      <c r="W295" s="283">
        <v>0.25</v>
      </c>
      <c r="X295" s="283" t="s">
        <v>1086</v>
      </c>
      <c r="Y295" s="352" t="s">
        <v>1087</v>
      </c>
      <c r="Z295" s="284"/>
      <c r="AA295" s="285"/>
      <c r="AB295" s="285"/>
      <c r="AC295" s="284"/>
      <c r="AD295" s="285"/>
      <c r="AE295" s="285"/>
      <c r="AF295" s="284"/>
      <c r="AG295" s="285"/>
      <c r="AH295" s="285"/>
      <c r="AI295" s="286"/>
    </row>
    <row r="296" spans="1:35" ht="271.5" hidden="1" customHeight="1" outlineLevel="1" x14ac:dyDescent="0.2">
      <c r="A296" s="634"/>
      <c r="B296" s="546"/>
      <c r="C296" s="546"/>
      <c r="D296" s="630"/>
      <c r="E296" s="259" t="s">
        <v>1039</v>
      </c>
      <c r="F296" s="259" t="s">
        <v>1040</v>
      </c>
      <c r="G296" s="253" t="s">
        <v>1088</v>
      </c>
      <c r="H296" s="253" t="s">
        <v>1089</v>
      </c>
      <c r="I296" s="253" t="s">
        <v>1090</v>
      </c>
      <c r="J296" s="257" t="s">
        <v>1091</v>
      </c>
      <c r="K296" s="257" t="s">
        <v>116</v>
      </c>
      <c r="L296" s="352" t="s">
        <v>52</v>
      </c>
      <c r="M296" s="280">
        <v>44593</v>
      </c>
      <c r="N296" s="280">
        <v>44925</v>
      </c>
      <c r="O296" s="280">
        <v>44652</v>
      </c>
      <c r="P296" s="281">
        <f t="shared" si="24"/>
        <v>0.17771084337349397</v>
      </c>
      <c r="Q296" s="281">
        <f t="shared" si="38"/>
        <v>0.17771084337349397</v>
      </c>
      <c r="R296" s="282">
        <v>1</v>
      </c>
      <c r="S296" s="283">
        <v>0.25</v>
      </c>
      <c r="T296" s="283">
        <v>0.5</v>
      </c>
      <c r="U296" s="283">
        <v>0.75</v>
      </c>
      <c r="V296" s="283">
        <v>1</v>
      </c>
      <c r="W296" s="308">
        <v>0.25</v>
      </c>
      <c r="X296" s="380" t="s">
        <v>1092</v>
      </c>
      <c r="Y296" s="352" t="s">
        <v>1093</v>
      </c>
      <c r="Z296" s="284"/>
      <c r="AA296" s="285"/>
      <c r="AB296" s="285"/>
      <c r="AC296" s="284"/>
      <c r="AD296" s="285"/>
      <c r="AE296" s="285"/>
      <c r="AF296" s="284"/>
      <c r="AG296" s="285"/>
      <c r="AH296" s="285"/>
      <c r="AI296" s="286"/>
    </row>
    <row r="297" spans="1:35" ht="168.75" hidden="1" customHeight="1" outlineLevel="1" x14ac:dyDescent="0.2">
      <c r="A297" s="634"/>
      <c r="B297" s="546"/>
      <c r="C297" s="547"/>
      <c r="D297" s="630"/>
      <c r="E297" s="259" t="s">
        <v>1094</v>
      </c>
      <c r="F297" s="259" t="s">
        <v>1095</v>
      </c>
      <c r="G297" s="253" t="s">
        <v>1088</v>
      </c>
      <c r="H297" s="253" t="s">
        <v>1096</v>
      </c>
      <c r="I297" s="253" t="s">
        <v>1097</v>
      </c>
      <c r="J297" s="257" t="s">
        <v>1098</v>
      </c>
      <c r="K297" s="257" t="s">
        <v>116</v>
      </c>
      <c r="L297" s="352" t="s">
        <v>52</v>
      </c>
      <c r="M297" s="280">
        <v>44593</v>
      </c>
      <c r="N297" s="280">
        <v>44925</v>
      </c>
      <c r="O297" s="280">
        <v>44652</v>
      </c>
      <c r="P297" s="281">
        <f t="shared" si="24"/>
        <v>0.17771084337349397</v>
      </c>
      <c r="Q297" s="281">
        <f t="shared" si="25"/>
        <v>0.17771084337349397</v>
      </c>
      <c r="R297" s="282">
        <v>1</v>
      </c>
      <c r="S297" s="283">
        <v>0.25</v>
      </c>
      <c r="T297" s="283">
        <v>0.5</v>
      </c>
      <c r="U297" s="283">
        <v>0.75</v>
      </c>
      <c r="V297" s="283">
        <v>1</v>
      </c>
      <c r="W297" s="308">
        <v>0.25</v>
      </c>
      <c r="X297" s="283" t="s">
        <v>1099</v>
      </c>
      <c r="Y297" s="352" t="s">
        <v>1100</v>
      </c>
      <c r="Z297" s="284"/>
      <c r="AA297" s="285"/>
      <c r="AB297" s="285"/>
      <c r="AC297" s="284"/>
      <c r="AD297" s="285"/>
      <c r="AE297" s="285"/>
      <c r="AF297" s="284"/>
      <c r="AG297" s="285"/>
      <c r="AH297" s="285"/>
      <c r="AI297" s="286"/>
    </row>
    <row r="298" spans="1:35" ht="93.75" hidden="1" customHeight="1" outlineLevel="1" x14ac:dyDescent="0.2">
      <c r="A298" s="634"/>
      <c r="B298" s="546"/>
      <c r="C298" s="545" t="s">
        <v>1101</v>
      </c>
      <c r="D298" s="630"/>
      <c r="E298" s="555" t="s">
        <v>1102</v>
      </c>
      <c r="F298" s="555" t="s">
        <v>102</v>
      </c>
      <c r="G298" s="609" t="s">
        <v>1103</v>
      </c>
      <c r="H298" s="253" t="s">
        <v>1104</v>
      </c>
      <c r="I298" s="253" t="s">
        <v>104</v>
      </c>
      <c r="J298" s="257" t="s">
        <v>1105</v>
      </c>
      <c r="K298" s="257" t="s">
        <v>116</v>
      </c>
      <c r="L298" s="352" t="s">
        <v>52</v>
      </c>
      <c r="M298" s="280">
        <v>44593</v>
      </c>
      <c r="N298" s="280">
        <v>44925</v>
      </c>
      <c r="O298" s="280">
        <v>44652</v>
      </c>
      <c r="P298" s="281">
        <f t="shared" ref="P298:P358" si="39">+(+_xlfn.DAYS(M298,O298))/(+_xlfn.DAYS(M298,N298))</f>
        <v>0.17771084337349397</v>
      </c>
      <c r="Q298" s="281">
        <f t="shared" ref="Q298:Q304" si="40">+IF(P298&gt;=100,100,IF(P298&lt;=0,0,P298))</f>
        <v>0.17771084337349397</v>
      </c>
      <c r="R298" s="282">
        <v>1</v>
      </c>
      <c r="S298" s="283">
        <v>0.25</v>
      </c>
      <c r="T298" s="283">
        <v>0.5</v>
      </c>
      <c r="U298" s="283">
        <v>0.75</v>
      </c>
      <c r="V298" s="283">
        <v>1</v>
      </c>
      <c r="W298" s="308">
        <v>0</v>
      </c>
      <c r="X298" s="283" t="s">
        <v>1106</v>
      </c>
      <c r="Y298" s="257" t="s">
        <v>52</v>
      </c>
      <c r="Z298" s="284"/>
      <c r="AA298" s="285"/>
      <c r="AB298" s="285"/>
      <c r="AC298" s="284"/>
      <c r="AD298" s="285"/>
      <c r="AE298" s="285"/>
      <c r="AF298" s="284"/>
      <c r="AG298" s="285"/>
      <c r="AH298" s="285"/>
      <c r="AI298" s="286"/>
    </row>
    <row r="299" spans="1:35" ht="125.25" hidden="1" customHeight="1" outlineLevel="1" x14ac:dyDescent="0.2">
      <c r="A299" s="634"/>
      <c r="B299" s="547"/>
      <c r="C299" s="547"/>
      <c r="D299" s="630"/>
      <c r="E299" s="594"/>
      <c r="F299" s="594"/>
      <c r="G299" s="635"/>
      <c r="H299" s="253" t="s">
        <v>1107</v>
      </c>
      <c r="I299" s="253" t="s">
        <v>1108</v>
      </c>
      <c r="J299" s="257" t="s">
        <v>1109</v>
      </c>
      <c r="K299" s="257" t="s">
        <v>116</v>
      </c>
      <c r="L299" s="257" t="s">
        <v>52</v>
      </c>
      <c r="M299" s="280">
        <v>44593</v>
      </c>
      <c r="N299" s="280">
        <v>44925</v>
      </c>
      <c r="O299" s="280">
        <v>44652</v>
      </c>
      <c r="P299" s="281">
        <f t="shared" si="39"/>
        <v>0.17771084337349397</v>
      </c>
      <c r="Q299" s="281">
        <f t="shared" ref="Q299" si="41">+IF(P299&gt;=100,100,IF(P299&lt;=0,0,P299))</f>
        <v>0.17771084337349397</v>
      </c>
      <c r="R299" s="282">
        <v>1</v>
      </c>
      <c r="S299" s="283">
        <v>0.25</v>
      </c>
      <c r="T299" s="283">
        <v>0.5</v>
      </c>
      <c r="U299" s="283">
        <v>0.75</v>
      </c>
      <c r="V299" s="283">
        <v>1</v>
      </c>
      <c r="W299" s="308">
        <v>0.25</v>
      </c>
      <c r="X299" s="370" t="s">
        <v>1110</v>
      </c>
      <c r="Y299" s="257" t="s">
        <v>52</v>
      </c>
      <c r="Z299" s="284"/>
      <c r="AA299" s="285"/>
      <c r="AB299" s="285"/>
      <c r="AC299" s="284"/>
      <c r="AD299" s="285"/>
      <c r="AE299" s="285"/>
      <c r="AF299" s="284"/>
      <c r="AG299" s="285"/>
      <c r="AH299" s="285"/>
      <c r="AI299" s="286"/>
    </row>
    <row r="300" spans="1:35" ht="131.25" hidden="1" customHeight="1" outlineLevel="1" x14ac:dyDescent="0.2">
      <c r="A300" s="634"/>
      <c r="B300" s="545" t="s">
        <v>868</v>
      </c>
      <c r="C300" s="447" t="s">
        <v>1111</v>
      </c>
      <c r="D300" s="630"/>
      <c r="E300" s="555" t="s">
        <v>900</v>
      </c>
      <c r="F300" s="555" t="s">
        <v>954</v>
      </c>
      <c r="G300" s="609" t="s">
        <v>1088</v>
      </c>
      <c r="H300" s="253" t="s">
        <v>1112</v>
      </c>
      <c r="I300" s="253" t="s">
        <v>1088</v>
      </c>
      <c r="J300" s="257" t="s">
        <v>1113</v>
      </c>
      <c r="K300" s="257" t="s">
        <v>116</v>
      </c>
      <c r="L300" s="257" t="s">
        <v>52</v>
      </c>
      <c r="M300" s="280">
        <v>44593</v>
      </c>
      <c r="N300" s="280">
        <v>44925</v>
      </c>
      <c r="O300" s="280">
        <v>44652</v>
      </c>
      <c r="P300" s="281">
        <f t="shared" si="39"/>
        <v>0.17771084337349397</v>
      </c>
      <c r="Q300" s="281">
        <f t="shared" si="40"/>
        <v>0.17771084337349397</v>
      </c>
      <c r="R300" s="282">
        <v>1</v>
      </c>
      <c r="S300" s="283">
        <v>0.25</v>
      </c>
      <c r="T300" s="283">
        <v>0.5</v>
      </c>
      <c r="U300" s="283">
        <v>0.75</v>
      </c>
      <c r="V300" s="283">
        <v>1</v>
      </c>
      <c r="W300" s="308">
        <v>0.25</v>
      </c>
      <c r="X300" s="283" t="s">
        <v>1114</v>
      </c>
      <c r="Y300" s="257" t="s">
        <v>52</v>
      </c>
      <c r="Z300" s="284"/>
      <c r="AA300" s="285"/>
      <c r="AB300" s="285"/>
      <c r="AC300" s="284"/>
      <c r="AD300" s="285"/>
      <c r="AE300" s="285"/>
      <c r="AF300" s="284"/>
      <c r="AG300" s="285"/>
      <c r="AH300" s="285"/>
      <c r="AI300" s="286"/>
    </row>
    <row r="301" spans="1:35" ht="131.25" hidden="1" customHeight="1" outlineLevel="1" x14ac:dyDescent="0.2">
      <c r="A301" s="634"/>
      <c r="B301" s="546"/>
      <c r="C301" s="444"/>
      <c r="D301" s="630"/>
      <c r="E301" s="556"/>
      <c r="F301" s="556"/>
      <c r="G301" s="610"/>
      <c r="H301" s="253" t="s">
        <v>1115</v>
      </c>
      <c r="I301" s="253"/>
      <c r="J301" s="257"/>
      <c r="K301" s="257" t="s">
        <v>116</v>
      </c>
      <c r="L301" s="257" t="s">
        <v>52</v>
      </c>
      <c r="M301" s="280">
        <v>44593</v>
      </c>
      <c r="N301" s="280">
        <v>44925</v>
      </c>
      <c r="O301" s="280">
        <v>44652</v>
      </c>
      <c r="P301" s="281">
        <f t="shared" si="39"/>
        <v>0.17771084337349397</v>
      </c>
      <c r="Q301" s="281">
        <f t="shared" si="40"/>
        <v>0.17771084337349397</v>
      </c>
      <c r="R301" s="282">
        <v>1</v>
      </c>
      <c r="S301" s="283">
        <v>0.25</v>
      </c>
      <c r="T301" s="283">
        <v>0.5</v>
      </c>
      <c r="U301" s="283">
        <v>0.75</v>
      </c>
      <c r="V301" s="283">
        <v>1</v>
      </c>
      <c r="W301" s="308">
        <v>0.25</v>
      </c>
      <c r="X301" s="283" t="s">
        <v>1116</v>
      </c>
      <c r="Y301" s="257" t="s">
        <v>52</v>
      </c>
      <c r="Z301" s="284"/>
      <c r="AA301" s="285"/>
      <c r="AB301" s="285"/>
      <c r="AC301" s="284"/>
      <c r="AD301" s="285"/>
      <c r="AE301" s="285"/>
      <c r="AF301" s="284"/>
      <c r="AG301" s="285"/>
      <c r="AH301" s="285"/>
      <c r="AI301" s="286"/>
    </row>
    <row r="302" spans="1:35" ht="56.25" hidden="1" customHeight="1" outlineLevel="1" x14ac:dyDescent="0.2">
      <c r="A302" s="634"/>
      <c r="B302" s="546"/>
      <c r="C302" s="546"/>
      <c r="D302" s="630"/>
      <c r="E302" s="556"/>
      <c r="F302" s="556"/>
      <c r="G302" s="610"/>
      <c r="H302" s="253" t="s">
        <v>1117</v>
      </c>
      <c r="I302" s="253" t="s">
        <v>1118</v>
      </c>
      <c r="J302" s="257" t="s">
        <v>1119</v>
      </c>
      <c r="K302" s="257" t="s">
        <v>116</v>
      </c>
      <c r="L302" s="257" t="s">
        <v>52</v>
      </c>
      <c r="M302" s="280">
        <v>44593</v>
      </c>
      <c r="N302" s="280">
        <v>44925</v>
      </c>
      <c r="O302" s="280">
        <v>44652</v>
      </c>
      <c r="P302" s="281">
        <f t="shared" si="39"/>
        <v>0.17771084337349397</v>
      </c>
      <c r="Q302" s="281">
        <f t="shared" si="40"/>
        <v>0.17771084337349397</v>
      </c>
      <c r="R302" s="282">
        <v>1</v>
      </c>
      <c r="S302" s="283">
        <v>0.25</v>
      </c>
      <c r="T302" s="283">
        <v>0.5</v>
      </c>
      <c r="U302" s="283">
        <v>0.75</v>
      </c>
      <c r="V302" s="283">
        <v>1</v>
      </c>
      <c r="W302" s="308">
        <v>0.2</v>
      </c>
      <c r="X302" s="283" t="s">
        <v>1120</v>
      </c>
      <c r="Y302" s="352" t="s">
        <v>52</v>
      </c>
      <c r="Z302" s="284"/>
      <c r="AA302" s="285"/>
      <c r="AB302" s="285"/>
      <c r="AC302" s="284"/>
      <c r="AD302" s="285"/>
      <c r="AE302" s="285"/>
      <c r="AF302" s="284"/>
      <c r="AG302" s="285"/>
      <c r="AH302" s="285"/>
      <c r="AI302" s="286"/>
    </row>
    <row r="303" spans="1:35" ht="56.25" hidden="1" customHeight="1" outlineLevel="1" x14ac:dyDescent="0.2">
      <c r="A303" s="634"/>
      <c r="B303" s="546"/>
      <c r="C303" s="547"/>
      <c r="D303" s="630"/>
      <c r="E303" s="594"/>
      <c r="F303" s="594"/>
      <c r="G303" s="635"/>
      <c r="H303" s="253" t="s">
        <v>1121</v>
      </c>
      <c r="I303" s="253" t="s">
        <v>1118</v>
      </c>
      <c r="J303" s="257" t="s">
        <v>1119</v>
      </c>
      <c r="K303" s="257" t="s">
        <v>116</v>
      </c>
      <c r="L303" s="257" t="s">
        <v>52</v>
      </c>
      <c r="M303" s="280">
        <v>44593</v>
      </c>
      <c r="N303" s="280">
        <v>44925</v>
      </c>
      <c r="O303" s="280">
        <v>44652</v>
      </c>
      <c r="P303" s="281">
        <f t="shared" si="39"/>
        <v>0.17771084337349397</v>
      </c>
      <c r="Q303" s="281">
        <f t="shared" si="40"/>
        <v>0.17771084337349397</v>
      </c>
      <c r="R303" s="282">
        <v>1</v>
      </c>
      <c r="S303" s="283">
        <v>0.25</v>
      </c>
      <c r="T303" s="283">
        <v>0.5</v>
      </c>
      <c r="U303" s="283">
        <v>0.75</v>
      </c>
      <c r="V303" s="283">
        <v>1</v>
      </c>
      <c r="W303" s="308">
        <v>0.2</v>
      </c>
      <c r="X303" s="283" t="s">
        <v>1122</v>
      </c>
      <c r="Y303" s="352" t="s">
        <v>52</v>
      </c>
      <c r="Z303" s="284"/>
      <c r="AA303" s="285"/>
      <c r="AB303" s="285"/>
      <c r="AC303" s="284"/>
      <c r="AD303" s="285"/>
      <c r="AE303" s="285"/>
      <c r="AF303" s="284"/>
      <c r="AG303" s="285"/>
      <c r="AH303" s="285"/>
      <c r="AI303" s="286"/>
    </row>
    <row r="304" spans="1:35" ht="97.9" hidden="1" customHeight="1" outlineLevel="1" x14ac:dyDescent="0.2">
      <c r="A304" s="634"/>
      <c r="B304" s="547"/>
      <c r="C304" s="447" t="s">
        <v>1123</v>
      </c>
      <c r="D304" s="631"/>
      <c r="E304" s="259" t="s">
        <v>1124</v>
      </c>
      <c r="F304" s="259" t="s">
        <v>1125</v>
      </c>
      <c r="G304" s="253" t="s">
        <v>1065</v>
      </c>
      <c r="H304" s="253" t="s">
        <v>1126</v>
      </c>
      <c r="I304" s="253" t="s">
        <v>1127</v>
      </c>
      <c r="J304" s="257" t="s">
        <v>1128</v>
      </c>
      <c r="K304" s="257" t="s">
        <v>116</v>
      </c>
      <c r="L304" s="257" t="s">
        <v>52</v>
      </c>
      <c r="M304" s="280">
        <v>44593</v>
      </c>
      <c r="N304" s="280">
        <v>44925</v>
      </c>
      <c r="O304" s="280">
        <v>44652</v>
      </c>
      <c r="P304" s="281">
        <f t="shared" si="39"/>
        <v>0.17771084337349397</v>
      </c>
      <c r="Q304" s="281">
        <f t="shared" si="40"/>
        <v>0.17771084337349397</v>
      </c>
      <c r="R304" s="282">
        <v>1</v>
      </c>
      <c r="S304" s="283">
        <v>0.25</v>
      </c>
      <c r="T304" s="283">
        <v>0.5</v>
      </c>
      <c r="U304" s="283">
        <v>0.75</v>
      </c>
      <c r="V304" s="283">
        <v>1</v>
      </c>
      <c r="W304" s="308">
        <v>0.05</v>
      </c>
      <c r="X304" s="283" t="s">
        <v>1129</v>
      </c>
      <c r="Y304" s="257" t="s">
        <v>52</v>
      </c>
      <c r="Z304" s="284"/>
      <c r="AA304" s="285"/>
      <c r="AB304" s="285"/>
      <c r="AC304" s="284"/>
      <c r="AD304" s="285"/>
      <c r="AE304" s="285"/>
      <c r="AF304" s="284"/>
      <c r="AG304" s="285"/>
      <c r="AH304" s="285"/>
      <c r="AI304" s="286"/>
    </row>
    <row r="305" spans="1:35" ht="72" hidden="1" customHeight="1" outlineLevel="1" x14ac:dyDescent="0.2">
      <c r="A305" s="634"/>
      <c r="B305" s="548" t="s">
        <v>39</v>
      </c>
      <c r="C305" s="545" t="s">
        <v>1101</v>
      </c>
      <c r="D305" s="590" t="s">
        <v>1130</v>
      </c>
      <c r="E305" s="518" t="s">
        <v>1102</v>
      </c>
      <c r="F305" s="518" t="s">
        <v>102</v>
      </c>
      <c r="G305" s="518" t="s">
        <v>1131</v>
      </c>
      <c r="H305" s="10" t="s">
        <v>1108</v>
      </c>
      <c r="I305" s="528" t="s">
        <v>104</v>
      </c>
      <c r="J305" s="611" t="s">
        <v>1132</v>
      </c>
      <c r="K305" s="257" t="s">
        <v>116</v>
      </c>
      <c r="L305" s="257" t="s">
        <v>52</v>
      </c>
      <c r="M305" s="280">
        <v>44593</v>
      </c>
      <c r="N305" s="280">
        <v>44925</v>
      </c>
      <c r="O305" s="280">
        <v>44652</v>
      </c>
      <c r="P305" s="281">
        <f t="shared" si="39"/>
        <v>0.17771084337349397</v>
      </c>
      <c r="Q305" s="281">
        <f t="shared" si="25"/>
        <v>0.17771084337349397</v>
      </c>
      <c r="R305" s="282">
        <v>1</v>
      </c>
      <c r="S305" s="283">
        <v>0.25</v>
      </c>
      <c r="T305" s="283">
        <v>0.5</v>
      </c>
      <c r="U305" s="283">
        <v>0.75</v>
      </c>
      <c r="V305" s="283">
        <v>1</v>
      </c>
      <c r="W305" s="308">
        <v>0.25</v>
      </c>
      <c r="X305" s="283" t="s">
        <v>1133</v>
      </c>
      <c r="Y305" s="352" t="s">
        <v>1134</v>
      </c>
      <c r="Z305" s="284"/>
      <c r="AA305" s="285"/>
      <c r="AB305" s="285"/>
      <c r="AC305" s="284"/>
      <c r="AD305" s="285"/>
      <c r="AE305" s="285"/>
      <c r="AF305" s="284"/>
      <c r="AG305" s="285"/>
      <c r="AH305" s="285"/>
      <c r="AI305" s="286"/>
    </row>
    <row r="306" spans="1:35" ht="54" hidden="1" customHeight="1" outlineLevel="1" x14ac:dyDescent="0.2">
      <c r="A306" s="634"/>
      <c r="B306" s="548"/>
      <c r="C306" s="546"/>
      <c r="D306" s="590"/>
      <c r="E306" s="519"/>
      <c r="F306" s="519"/>
      <c r="G306" s="519"/>
      <c r="H306" s="10" t="s">
        <v>1135</v>
      </c>
      <c r="I306" s="529"/>
      <c r="J306" s="612"/>
      <c r="K306" s="257" t="s">
        <v>116</v>
      </c>
      <c r="L306" s="257" t="s">
        <v>52</v>
      </c>
      <c r="M306" s="280">
        <v>44593</v>
      </c>
      <c r="N306" s="280">
        <v>44925</v>
      </c>
      <c r="O306" s="280">
        <v>44652</v>
      </c>
      <c r="P306" s="281">
        <f t="shared" si="39"/>
        <v>0.17771084337349397</v>
      </c>
      <c r="Q306" s="281">
        <f t="shared" si="25"/>
        <v>0.17771084337349397</v>
      </c>
      <c r="R306" s="282">
        <v>1</v>
      </c>
      <c r="S306" s="283">
        <v>0.25</v>
      </c>
      <c r="T306" s="283">
        <v>0.5</v>
      </c>
      <c r="U306" s="283">
        <v>0.75</v>
      </c>
      <c r="V306" s="283">
        <v>1</v>
      </c>
      <c r="W306" s="308">
        <v>0</v>
      </c>
      <c r="X306" s="283" t="s">
        <v>1136</v>
      </c>
      <c r="Y306" s="257" t="s">
        <v>52</v>
      </c>
      <c r="Z306" s="284"/>
      <c r="AA306" s="285"/>
      <c r="AB306" s="285"/>
      <c r="AC306" s="284"/>
      <c r="AD306" s="285"/>
      <c r="AE306" s="285"/>
      <c r="AF306" s="284"/>
      <c r="AG306" s="285"/>
      <c r="AH306" s="285"/>
      <c r="AI306" s="286"/>
    </row>
    <row r="307" spans="1:35" ht="57.6" hidden="1" customHeight="1" outlineLevel="1" x14ac:dyDescent="0.2">
      <c r="A307" s="634"/>
      <c r="B307" s="548"/>
      <c r="C307" s="546"/>
      <c r="D307" s="590"/>
      <c r="E307" s="519"/>
      <c r="F307" s="519"/>
      <c r="G307" s="519"/>
      <c r="H307" s="10" t="s">
        <v>1137</v>
      </c>
      <c r="I307" s="529"/>
      <c r="J307" s="612"/>
      <c r="K307" s="257" t="s">
        <v>116</v>
      </c>
      <c r="L307" s="257" t="s">
        <v>52</v>
      </c>
      <c r="M307" s="280">
        <v>44593</v>
      </c>
      <c r="N307" s="280">
        <v>44925</v>
      </c>
      <c r="O307" s="280">
        <v>44652</v>
      </c>
      <c r="P307" s="281">
        <f t="shared" si="39"/>
        <v>0.17771084337349397</v>
      </c>
      <c r="Q307" s="281">
        <f t="shared" si="25"/>
        <v>0.17771084337349397</v>
      </c>
      <c r="R307" s="282">
        <v>1</v>
      </c>
      <c r="S307" s="283">
        <v>0.25</v>
      </c>
      <c r="T307" s="283">
        <v>0.5</v>
      </c>
      <c r="U307" s="283">
        <v>0.75</v>
      </c>
      <c r="V307" s="283">
        <v>1</v>
      </c>
      <c r="W307" s="308">
        <v>0</v>
      </c>
      <c r="X307" s="283" t="s">
        <v>1136</v>
      </c>
      <c r="Y307" s="257" t="s">
        <v>52</v>
      </c>
      <c r="Z307" s="284"/>
      <c r="AA307" s="285"/>
      <c r="AB307" s="285"/>
      <c r="AC307" s="284"/>
      <c r="AD307" s="285"/>
      <c r="AE307" s="285"/>
      <c r="AF307" s="284"/>
      <c r="AG307" s="285"/>
      <c r="AH307" s="285"/>
      <c r="AI307" s="286"/>
    </row>
    <row r="308" spans="1:35" ht="46.5" hidden="1" customHeight="1" outlineLevel="1" x14ac:dyDescent="0.2">
      <c r="A308" s="634"/>
      <c r="B308" s="548"/>
      <c r="C308" s="546"/>
      <c r="D308" s="590"/>
      <c r="E308" s="519"/>
      <c r="F308" s="519"/>
      <c r="G308" s="519"/>
      <c r="H308" s="10" t="s">
        <v>1138</v>
      </c>
      <c r="I308" s="529"/>
      <c r="J308" s="612"/>
      <c r="K308" s="257" t="s">
        <v>116</v>
      </c>
      <c r="L308" s="257" t="s">
        <v>52</v>
      </c>
      <c r="M308" s="280">
        <v>44593</v>
      </c>
      <c r="N308" s="280">
        <v>44925</v>
      </c>
      <c r="O308" s="280">
        <v>44652</v>
      </c>
      <c r="P308" s="281">
        <f t="shared" si="39"/>
        <v>0.17771084337349397</v>
      </c>
      <c r="Q308" s="281">
        <f t="shared" si="25"/>
        <v>0.17771084337349397</v>
      </c>
      <c r="R308" s="282">
        <v>1</v>
      </c>
      <c r="S308" s="283">
        <v>0.25</v>
      </c>
      <c r="T308" s="283">
        <v>0.5</v>
      </c>
      <c r="U308" s="283">
        <v>0.75</v>
      </c>
      <c r="V308" s="283">
        <v>1</v>
      </c>
      <c r="W308" s="308">
        <v>0.25</v>
      </c>
      <c r="X308" s="283" t="s">
        <v>1139</v>
      </c>
      <c r="Y308" s="352" t="s">
        <v>100</v>
      </c>
      <c r="Z308" s="284"/>
      <c r="AA308" s="285"/>
      <c r="AB308" s="285"/>
      <c r="AC308" s="284"/>
      <c r="AD308" s="285"/>
      <c r="AE308" s="285"/>
      <c r="AF308" s="284"/>
      <c r="AG308" s="285"/>
      <c r="AH308" s="285"/>
      <c r="AI308" s="286"/>
    </row>
    <row r="309" spans="1:35" ht="112.5" hidden="1" customHeight="1" outlineLevel="1" x14ac:dyDescent="0.2">
      <c r="A309" s="634"/>
      <c r="B309" s="548"/>
      <c r="C309" s="546"/>
      <c r="D309" s="590"/>
      <c r="E309" s="519"/>
      <c r="F309" s="519"/>
      <c r="G309" s="519"/>
      <c r="H309" s="10" t="s">
        <v>1140</v>
      </c>
      <c r="I309" s="529"/>
      <c r="J309" s="612"/>
      <c r="K309" s="257" t="s">
        <v>116</v>
      </c>
      <c r="L309" s="257" t="s">
        <v>52</v>
      </c>
      <c r="M309" s="280">
        <v>44593</v>
      </c>
      <c r="N309" s="280">
        <v>44925</v>
      </c>
      <c r="O309" s="280">
        <v>44652</v>
      </c>
      <c r="P309" s="281">
        <f t="shared" si="39"/>
        <v>0.17771084337349397</v>
      </c>
      <c r="Q309" s="281">
        <f t="shared" si="25"/>
        <v>0.17771084337349397</v>
      </c>
      <c r="R309" s="282">
        <v>1</v>
      </c>
      <c r="S309" s="283">
        <v>0.25</v>
      </c>
      <c r="T309" s="283">
        <v>0.5</v>
      </c>
      <c r="U309" s="283">
        <v>0.75</v>
      </c>
      <c r="V309" s="283">
        <v>1</v>
      </c>
      <c r="W309" s="308">
        <v>0</v>
      </c>
      <c r="X309" s="283" t="s">
        <v>1141</v>
      </c>
      <c r="Y309" s="257" t="s">
        <v>52</v>
      </c>
      <c r="Z309" s="284"/>
      <c r="AA309" s="285"/>
      <c r="AB309" s="285"/>
      <c r="AC309" s="284"/>
      <c r="AD309" s="285"/>
      <c r="AE309" s="285"/>
      <c r="AF309" s="284"/>
      <c r="AG309" s="285"/>
      <c r="AH309" s="285"/>
      <c r="AI309" s="286"/>
    </row>
    <row r="310" spans="1:35" ht="57.6" hidden="1" customHeight="1" outlineLevel="1" x14ac:dyDescent="0.2">
      <c r="A310" s="634"/>
      <c r="B310" s="548"/>
      <c r="C310" s="546"/>
      <c r="D310" s="590"/>
      <c r="E310" s="519"/>
      <c r="F310" s="519"/>
      <c r="G310" s="519"/>
      <c r="H310" s="10" t="s">
        <v>1142</v>
      </c>
      <c r="I310" s="529"/>
      <c r="J310" s="612"/>
      <c r="K310" s="257" t="s">
        <v>116</v>
      </c>
      <c r="L310" s="257" t="s">
        <v>52</v>
      </c>
      <c r="M310" s="280">
        <v>44593</v>
      </c>
      <c r="N310" s="280">
        <v>44925</v>
      </c>
      <c r="O310" s="280">
        <v>44652</v>
      </c>
      <c r="P310" s="281">
        <f t="shared" si="39"/>
        <v>0.17771084337349397</v>
      </c>
      <c r="Q310" s="281">
        <f t="shared" ref="Q310:Q315" si="42">+IF(P310&gt;=100,100,IF(P310&lt;=0,0,P310))</f>
        <v>0.17771084337349397</v>
      </c>
      <c r="R310" s="282">
        <v>1</v>
      </c>
      <c r="S310" s="283">
        <v>0.25</v>
      </c>
      <c r="T310" s="283">
        <v>0.5</v>
      </c>
      <c r="U310" s="283">
        <v>0.75</v>
      </c>
      <c r="V310" s="283">
        <v>1</v>
      </c>
      <c r="W310" s="308">
        <v>0</v>
      </c>
      <c r="X310" s="283" t="s">
        <v>1143</v>
      </c>
      <c r="Y310" s="257" t="s">
        <v>52</v>
      </c>
      <c r="Z310" s="284"/>
      <c r="AA310" s="285"/>
      <c r="AB310" s="285"/>
      <c r="AC310" s="284"/>
      <c r="AD310" s="285"/>
      <c r="AE310" s="285"/>
      <c r="AF310" s="284"/>
      <c r="AG310" s="285"/>
      <c r="AH310" s="285"/>
      <c r="AI310" s="286"/>
    </row>
    <row r="311" spans="1:35" ht="57.6" hidden="1" customHeight="1" outlineLevel="1" x14ac:dyDescent="0.2">
      <c r="A311" s="634"/>
      <c r="B311" s="548"/>
      <c r="C311" s="546"/>
      <c r="D311" s="590"/>
      <c r="E311" s="519"/>
      <c r="F311" s="519"/>
      <c r="G311" s="519"/>
      <c r="H311" s="10" t="s">
        <v>1144</v>
      </c>
      <c r="I311" s="529"/>
      <c r="J311" s="612"/>
      <c r="K311" s="257" t="s">
        <v>116</v>
      </c>
      <c r="L311" s="257" t="s">
        <v>52</v>
      </c>
      <c r="M311" s="280">
        <v>44593</v>
      </c>
      <c r="N311" s="280">
        <v>44925</v>
      </c>
      <c r="O311" s="280">
        <v>44652</v>
      </c>
      <c r="P311" s="281">
        <f t="shared" si="39"/>
        <v>0.17771084337349397</v>
      </c>
      <c r="Q311" s="281">
        <f t="shared" si="42"/>
        <v>0.17771084337349397</v>
      </c>
      <c r="R311" s="282">
        <v>1</v>
      </c>
      <c r="S311" s="283">
        <v>0.25</v>
      </c>
      <c r="T311" s="283">
        <v>0.5</v>
      </c>
      <c r="U311" s="283">
        <v>0.75</v>
      </c>
      <c r="V311" s="283">
        <v>1</v>
      </c>
      <c r="W311" s="308">
        <v>0.2</v>
      </c>
      <c r="X311" s="283" t="s">
        <v>1145</v>
      </c>
      <c r="Y311" s="352" t="s">
        <v>1146</v>
      </c>
      <c r="Z311" s="284"/>
      <c r="AA311" s="285"/>
      <c r="AB311" s="285"/>
      <c r="AC311" s="284"/>
      <c r="AD311" s="285"/>
      <c r="AE311" s="285"/>
      <c r="AF311" s="284"/>
      <c r="AG311" s="285"/>
      <c r="AH311" s="285"/>
      <c r="AI311" s="286"/>
    </row>
    <row r="312" spans="1:35" ht="57.6" hidden="1" customHeight="1" outlineLevel="1" x14ac:dyDescent="0.2">
      <c r="A312" s="634"/>
      <c r="B312" s="548"/>
      <c r="C312" s="546"/>
      <c r="D312" s="590"/>
      <c r="E312" s="519"/>
      <c r="F312" s="519"/>
      <c r="G312" s="519"/>
      <c r="H312" s="10" t="s">
        <v>1147</v>
      </c>
      <c r="I312" s="529"/>
      <c r="J312" s="612"/>
      <c r="K312" s="257" t="s">
        <v>116</v>
      </c>
      <c r="L312" s="257" t="s">
        <v>52</v>
      </c>
      <c r="M312" s="280">
        <v>44593</v>
      </c>
      <c r="N312" s="280">
        <v>44925</v>
      </c>
      <c r="O312" s="280">
        <v>44652</v>
      </c>
      <c r="P312" s="281">
        <f t="shared" si="39"/>
        <v>0.17771084337349397</v>
      </c>
      <c r="Q312" s="281">
        <f t="shared" si="42"/>
        <v>0.17771084337349397</v>
      </c>
      <c r="R312" s="282">
        <v>1</v>
      </c>
      <c r="S312" s="283">
        <v>0.25</v>
      </c>
      <c r="T312" s="283">
        <v>0.5</v>
      </c>
      <c r="U312" s="283">
        <v>0.75</v>
      </c>
      <c r="V312" s="283">
        <v>1</v>
      </c>
      <c r="W312" s="308">
        <v>0</v>
      </c>
      <c r="X312" s="283" t="s">
        <v>1148</v>
      </c>
      <c r="Y312" s="257" t="s">
        <v>52</v>
      </c>
      <c r="Z312" s="284"/>
      <c r="AA312" s="285"/>
      <c r="AB312" s="285"/>
      <c r="AC312" s="284"/>
      <c r="AD312" s="285"/>
      <c r="AE312" s="285"/>
      <c r="AF312" s="284"/>
      <c r="AG312" s="285"/>
      <c r="AH312" s="285"/>
      <c r="AI312" s="286"/>
    </row>
    <row r="313" spans="1:35" ht="57.6" hidden="1" customHeight="1" outlineLevel="1" x14ac:dyDescent="0.2">
      <c r="A313" s="634"/>
      <c r="B313" s="548"/>
      <c r="C313" s="546"/>
      <c r="D313" s="590"/>
      <c r="E313" s="519"/>
      <c r="F313" s="519"/>
      <c r="G313" s="519"/>
      <c r="H313" s="10" t="s">
        <v>1149</v>
      </c>
      <c r="I313" s="529"/>
      <c r="J313" s="612"/>
      <c r="K313" s="257" t="s">
        <v>116</v>
      </c>
      <c r="L313" s="257" t="s">
        <v>52</v>
      </c>
      <c r="M313" s="280">
        <v>44593</v>
      </c>
      <c r="N313" s="280">
        <v>44925</v>
      </c>
      <c r="O313" s="280">
        <v>44652</v>
      </c>
      <c r="P313" s="281">
        <f t="shared" si="39"/>
        <v>0.17771084337349397</v>
      </c>
      <c r="Q313" s="281">
        <f t="shared" si="42"/>
        <v>0.17771084337349397</v>
      </c>
      <c r="R313" s="282">
        <v>1</v>
      </c>
      <c r="S313" s="283">
        <v>0.25</v>
      </c>
      <c r="T313" s="283">
        <v>0.5</v>
      </c>
      <c r="U313" s="283">
        <v>0.75</v>
      </c>
      <c r="V313" s="283">
        <v>1</v>
      </c>
      <c r="W313" s="308">
        <v>0</v>
      </c>
      <c r="X313" s="283" t="s">
        <v>1150</v>
      </c>
      <c r="Y313" s="257" t="s">
        <v>52</v>
      </c>
      <c r="Z313" s="284"/>
      <c r="AA313" s="285"/>
      <c r="AB313" s="285"/>
      <c r="AC313" s="284"/>
      <c r="AD313" s="285"/>
      <c r="AE313" s="285"/>
      <c r="AF313" s="284"/>
      <c r="AG313" s="285"/>
      <c r="AH313" s="285"/>
      <c r="AI313" s="286"/>
    </row>
    <row r="314" spans="1:35" ht="57.6" hidden="1" customHeight="1" outlineLevel="1" x14ac:dyDescent="0.2">
      <c r="A314" s="634"/>
      <c r="B314" s="548"/>
      <c r="C314" s="547"/>
      <c r="D314" s="590"/>
      <c r="E314" s="520"/>
      <c r="F314" s="520"/>
      <c r="G314" s="520"/>
      <c r="H314" s="10" t="s">
        <v>1151</v>
      </c>
      <c r="I314" s="530"/>
      <c r="J314" s="613"/>
      <c r="K314" s="257" t="s">
        <v>116</v>
      </c>
      <c r="L314" s="257" t="s">
        <v>52</v>
      </c>
      <c r="M314" s="280">
        <v>44593</v>
      </c>
      <c r="N314" s="280">
        <v>44925</v>
      </c>
      <c r="O314" s="280">
        <v>44652</v>
      </c>
      <c r="P314" s="281">
        <f t="shared" si="39"/>
        <v>0.17771084337349397</v>
      </c>
      <c r="Q314" s="281">
        <f t="shared" si="42"/>
        <v>0.17771084337349397</v>
      </c>
      <c r="R314" s="282">
        <v>1</v>
      </c>
      <c r="S314" s="283">
        <v>0.25</v>
      </c>
      <c r="T314" s="283">
        <v>0.5</v>
      </c>
      <c r="U314" s="283">
        <v>0.75</v>
      </c>
      <c r="V314" s="283">
        <v>1</v>
      </c>
      <c r="W314" s="308">
        <v>0</v>
      </c>
      <c r="X314" s="283" t="s">
        <v>1150</v>
      </c>
      <c r="Y314" s="257" t="s">
        <v>52</v>
      </c>
      <c r="Z314" s="284"/>
      <c r="AA314" s="285"/>
      <c r="AB314" s="285"/>
      <c r="AC314" s="284"/>
      <c r="AD314" s="285"/>
      <c r="AE314" s="285"/>
      <c r="AF314" s="284"/>
      <c r="AG314" s="285"/>
      <c r="AH314" s="285"/>
      <c r="AI314" s="286"/>
    </row>
    <row r="315" spans="1:35" ht="92.25" hidden="1" customHeight="1" outlineLevel="1" x14ac:dyDescent="0.2">
      <c r="A315" s="634"/>
      <c r="B315" s="447" t="s">
        <v>868</v>
      </c>
      <c r="C315" s="447" t="s">
        <v>1152</v>
      </c>
      <c r="D315" s="590"/>
      <c r="E315" s="252" t="s">
        <v>1153</v>
      </c>
      <c r="F315" s="252" t="s">
        <v>1154</v>
      </c>
      <c r="G315" s="252" t="s">
        <v>44</v>
      </c>
      <c r="H315" s="10" t="s">
        <v>1155</v>
      </c>
      <c r="I315" s="10" t="s">
        <v>1156</v>
      </c>
      <c r="J315" s="257" t="s">
        <v>1157</v>
      </c>
      <c r="K315" s="257" t="s">
        <v>116</v>
      </c>
      <c r="L315" s="366">
        <v>10000000</v>
      </c>
      <c r="M315" s="280">
        <v>44593</v>
      </c>
      <c r="N315" s="280">
        <v>44925</v>
      </c>
      <c r="O315" s="280">
        <v>44652</v>
      </c>
      <c r="P315" s="281">
        <f t="shared" si="39"/>
        <v>0.17771084337349397</v>
      </c>
      <c r="Q315" s="281">
        <f t="shared" si="42"/>
        <v>0.17771084337349397</v>
      </c>
      <c r="R315" s="282">
        <v>1</v>
      </c>
      <c r="S315" s="283">
        <v>0.25</v>
      </c>
      <c r="T315" s="283">
        <v>0.5</v>
      </c>
      <c r="U315" s="283">
        <v>0.75</v>
      </c>
      <c r="V315" s="283">
        <v>1</v>
      </c>
      <c r="W315" s="308">
        <v>0.2</v>
      </c>
      <c r="X315" s="283" t="s">
        <v>1158</v>
      </c>
      <c r="Y315" s="257" t="s">
        <v>52</v>
      </c>
      <c r="Z315" s="284"/>
      <c r="AA315" s="285"/>
      <c r="AB315" s="285"/>
      <c r="AC315" s="284"/>
      <c r="AD315" s="285"/>
      <c r="AE315" s="285"/>
      <c r="AF315" s="284"/>
      <c r="AG315" s="285"/>
      <c r="AH315" s="285"/>
      <c r="AI315" s="286"/>
    </row>
    <row r="316" spans="1:35" ht="105" hidden="1" customHeight="1" outlineLevel="1" x14ac:dyDescent="0.2">
      <c r="A316" s="634"/>
      <c r="B316" s="545" t="s">
        <v>39</v>
      </c>
      <c r="C316" s="545" t="s">
        <v>1021</v>
      </c>
      <c r="D316" s="590"/>
      <c r="E316" s="518" t="s">
        <v>1094</v>
      </c>
      <c r="F316" s="518" t="s">
        <v>1159</v>
      </c>
      <c r="G316" s="518" t="s">
        <v>1160</v>
      </c>
      <c r="H316" s="10" t="s">
        <v>1161</v>
      </c>
      <c r="I316" s="528" t="s">
        <v>1097</v>
      </c>
      <c r="J316" s="611" t="s">
        <v>1162</v>
      </c>
      <c r="K316" s="257" t="s">
        <v>116</v>
      </c>
      <c r="L316" s="368" t="s">
        <v>52</v>
      </c>
      <c r="M316" s="280">
        <v>44593</v>
      </c>
      <c r="N316" s="280">
        <v>44925</v>
      </c>
      <c r="O316" s="280">
        <v>44652</v>
      </c>
      <c r="P316" s="281">
        <f t="shared" si="39"/>
        <v>0.17771084337349397</v>
      </c>
      <c r="Q316" s="281">
        <f t="shared" si="25"/>
        <v>0.17771084337349397</v>
      </c>
      <c r="R316" s="282">
        <v>1</v>
      </c>
      <c r="S316" s="283">
        <v>0.25</v>
      </c>
      <c r="T316" s="283">
        <v>0.5</v>
      </c>
      <c r="U316" s="283">
        <v>0.75</v>
      </c>
      <c r="V316" s="283">
        <v>1</v>
      </c>
      <c r="W316" s="308">
        <v>0.25</v>
      </c>
      <c r="X316" s="283" t="s">
        <v>1163</v>
      </c>
      <c r="Y316" s="257" t="s">
        <v>52</v>
      </c>
      <c r="Z316" s="284"/>
      <c r="AA316" s="285"/>
      <c r="AB316" s="285"/>
      <c r="AC316" s="284"/>
      <c r="AD316" s="285"/>
      <c r="AE316" s="285"/>
      <c r="AF316" s="284"/>
      <c r="AG316" s="285"/>
      <c r="AH316" s="285"/>
      <c r="AI316" s="286"/>
    </row>
    <row r="317" spans="1:35" ht="56.25" hidden="1" customHeight="1" outlineLevel="1" x14ac:dyDescent="0.2">
      <c r="A317" s="634"/>
      <c r="B317" s="546"/>
      <c r="C317" s="546"/>
      <c r="D317" s="590"/>
      <c r="E317" s="520"/>
      <c r="F317" s="520"/>
      <c r="G317" s="520"/>
      <c r="H317" s="10" t="s">
        <v>1162</v>
      </c>
      <c r="I317" s="530"/>
      <c r="J317" s="613"/>
      <c r="K317" s="257" t="s">
        <v>116</v>
      </c>
      <c r="L317" s="368" t="s">
        <v>52</v>
      </c>
      <c r="M317" s="280">
        <v>44593</v>
      </c>
      <c r="N317" s="280">
        <v>44925</v>
      </c>
      <c r="O317" s="280">
        <v>44652</v>
      </c>
      <c r="P317" s="281">
        <f t="shared" si="39"/>
        <v>0.17771084337349397</v>
      </c>
      <c r="Q317" s="281">
        <f t="shared" ref="Q317:Q319" si="43">+IF(P317&gt;=100,100,IF(P317&lt;=0,0,P317))</f>
        <v>0.17771084337349397</v>
      </c>
      <c r="R317" s="282">
        <v>1</v>
      </c>
      <c r="S317" s="283">
        <v>0.25</v>
      </c>
      <c r="T317" s="283">
        <v>0.5</v>
      </c>
      <c r="U317" s="283">
        <v>0.75</v>
      </c>
      <c r="V317" s="283">
        <v>1</v>
      </c>
      <c r="W317" s="308">
        <v>0.1</v>
      </c>
      <c r="X317" s="283" t="s">
        <v>1164</v>
      </c>
      <c r="Y317" s="368" t="s">
        <v>52</v>
      </c>
      <c r="Z317" s="284"/>
      <c r="AA317" s="285"/>
      <c r="AB317" s="285"/>
      <c r="AC317" s="284"/>
      <c r="AD317" s="285"/>
      <c r="AE317" s="285"/>
      <c r="AF317" s="284"/>
      <c r="AG317" s="285"/>
      <c r="AH317" s="285"/>
      <c r="AI317" s="286"/>
    </row>
    <row r="318" spans="1:35" ht="46.9" hidden="1" customHeight="1" outlineLevel="1" x14ac:dyDescent="0.2">
      <c r="A318" s="634"/>
      <c r="B318" s="546"/>
      <c r="C318" s="546"/>
      <c r="D318" s="590"/>
      <c r="E318" s="518" t="s">
        <v>1165</v>
      </c>
      <c r="F318" s="252" t="s">
        <v>43</v>
      </c>
      <c r="G318" s="252" t="s">
        <v>1166</v>
      </c>
      <c r="H318" s="10" t="s">
        <v>1084</v>
      </c>
      <c r="I318" s="10" t="s">
        <v>46</v>
      </c>
      <c r="J318" s="257" t="s">
        <v>189</v>
      </c>
      <c r="K318" s="257" t="s">
        <v>116</v>
      </c>
      <c r="L318" s="358">
        <v>33960500</v>
      </c>
      <c r="M318" s="280">
        <v>44593</v>
      </c>
      <c r="N318" s="280">
        <v>44925</v>
      </c>
      <c r="O318" s="280">
        <v>44652</v>
      </c>
      <c r="P318" s="281">
        <f t="shared" si="39"/>
        <v>0.17771084337349397</v>
      </c>
      <c r="Q318" s="281">
        <f t="shared" si="43"/>
        <v>0.17771084337349397</v>
      </c>
      <c r="R318" s="282">
        <v>1</v>
      </c>
      <c r="S318" s="283">
        <v>0.25</v>
      </c>
      <c r="T318" s="283">
        <v>0.5</v>
      </c>
      <c r="U318" s="283">
        <v>0.75</v>
      </c>
      <c r="V318" s="283">
        <v>1</v>
      </c>
      <c r="W318" s="308">
        <v>0.25</v>
      </c>
      <c r="X318" s="283" t="s">
        <v>1167</v>
      </c>
      <c r="Y318" s="352" t="s">
        <v>636</v>
      </c>
      <c r="Z318" s="284"/>
      <c r="AA318" s="285"/>
      <c r="AB318" s="285"/>
      <c r="AC318" s="284"/>
      <c r="AD318" s="285"/>
      <c r="AE318" s="285"/>
      <c r="AF318" s="284"/>
      <c r="AG318" s="285"/>
      <c r="AH318" s="285"/>
      <c r="AI318" s="286"/>
    </row>
    <row r="319" spans="1:35" ht="62.45" hidden="1" customHeight="1" outlineLevel="1" x14ac:dyDescent="0.2">
      <c r="A319" s="634"/>
      <c r="B319" s="546"/>
      <c r="C319" s="546"/>
      <c r="D319" s="590"/>
      <c r="E319" s="520"/>
      <c r="F319" s="252" t="s">
        <v>407</v>
      </c>
      <c r="G319" s="252" t="s">
        <v>1166</v>
      </c>
      <c r="H319" s="10" t="s">
        <v>1168</v>
      </c>
      <c r="I319" s="10" t="s">
        <v>410</v>
      </c>
      <c r="J319" s="257" t="s">
        <v>189</v>
      </c>
      <c r="K319" s="257" t="s">
        <v>116</v>
      </c>
      <c r="L319" s="358">
        <v>17325000</v>
      </c>
      <c r="M319" s="280">
        <v>44593</v>
      </c>
      <c r="N319" s="280">
        <v>44925</v>
      </c>
      <c r="O319" s="280">
        <v>44652</v>
      </c>
      <c r="P319" s="281">
        <f t="shared" si="39"/>
        <v>0.17771084337349397</v>
      </c>
      <c r="Q319" s="281">
        <f t="shared" si="43"/>
        <v>0.17771084337349397</v>
      </c>
      <c r="R319" s="282">
        <v>1</v>
      </c>
      <c r="S319" s="283">
        <v>0.25</v>
      </c>
      <c r="T319" s="283">
        <v>0.5</v>
      </c>
      <c r="U319" s="283">
        <v>0.75</v>
      </c>
      <c r="V319" s="283">
        <v>1</v>
      </c>
      <c r="W319" s="308">
        <v>0.25</v>
      </c>
      <c r="X319" s="283" t="s">
        <v>1169</v>
      </c>
      <c r="Y319" s="352" t="s">
        <v>636</v>
      </c>
      <c r="Z319" s="284"/>
      <c r="AA319" s="285"/>
      <c r="AB319" s="285"/>
      <c r="AC319" s="284"/>
      <c r="AD319" s="285"/>
      <c r="AE319" s="285"/>
      <c r="AF319" s="284"/>
      <c r="AG319" s="285"/>
      <c r="AH319" s="285"/>
      <c r="AI319" s="286"/>
    </row>
    <row r="320" spans="1:35" ht="93.75" hidden="1" customHeight="1" outlineLevel="1" x14ac:dyDescent="0.2">
      <c r="A320" s="634"/>
      <c r="B320" s="547"/>
      <c r="C320" s="547"/>
      <c r="D320" s="590"/>
      <c r="E320" s="252" t="s">
        <v>1075</v>
      </c>
      <c r="F320" s="252" t="s">
        <v>181</v>
      </c>
      <c r="G320" s="252" t="s">
        <v>227</v>
      </c>
      <c r="H320" s="10" t="s">
        <v>1170</v>
      </c>
      <c r="I320" s="10" t="s">
        <v>184</v>
      </c>
      <c r="J320" s="257" t="s">
        <v>1171</v>
      </c>
      <c r="K320" s="257" t="s">
        <v>116</v>
      </c>
      <c r="L320" s="368" t="s">
        <v>52</v>
      </c>
      <c r="M320" s="280">
        <v>44593</v>
      </c>
      <c r="N320" s="280">
        <v>44925</v>
      </c>
      <c r="O320" s="280">
        <v>44652</v>
      </c>
      <c r="P320" s="281">
        <f t="shared" si="39"/>
        <v>0.17771084337349397</v>
      </c>
      <c r="Q320" s="281">
        <f t="shared" ref="Q320" si="44">+IF(P320&gt;=100,100,IF(P320&lt;=0,0,P320))</f>
        <v>0.17771084337349397</v>
      </c>
      <c r="R320" s="282">
        <v>1</v>
      </c>
      <c r="S320" s="283">
        <v>0.25</v>
      </c>
      <c r="T320" s="283">
        <v>0.5</v>
      </c>
      <c r="U320" s="283">
        <v>0.75</v>
      </c>
      <c r="V320" s="283">
        <v>1</v>
      </c>
      <c r="W320" s="308">
        <v>0.25</v>
      </c>
      <c r="X320" s="380" t="s">
        <v>1172</v>
      </c>
      <c r="Y320" s="352" t="s">
        <v>1173</v>
      </c>
      <c r="Z320" s="284"/>
      <c r="AA320" s="285"/>
      <c r="AB320" s="285"/>
      <c r="AC320" s="284"/>
      <c r="AD320" s="285"/>
      <c r="AE320" s="285"/>
      <c r="AF320" s="284"/>
      <c r="AG320" s="285"/>
      <c r="AH320" s="285"/>
      <c r="AI320" s="286"/>
    </row>
    <row r="321" spans="1:35" ht="192.75" hidden="1" customHeight="1" outlineLevel="1" x14ac:dyDescent="0.2">
      <c r="A321" s="634"/>
      <c r="B321" s="545" t="s">
        <v>39</v>
      </c>
      <c r="C321" s="545" t="s">
        <v>1101</v>
      </c>
      <c r="D321" s="588" t="s">
        <v>1174</v>
      </c>
      <c r="E321" s="549" t="s">
        <v>1102</v>
      </c>
      <c r="F321" s="549" t="s">
        <v>102</v>
      </c>
      <c r="G321" s="557" t="s">
        <v>1131</v>
      </c>
      <c r="H321" s="485" t="s">
        <v>1108</v>
      </c>
      <c r="I321" s="664" t="s">
        <v>104</v>
      </c>
      <c r="J321" s="12" t="s">
        <v>1108</v>
      </c>
      <c r="K321" s="330">
        <v>40000000</v>
      </c>
      <c r="L321" s="330">
        <v>2000000</v>
      </c>
      <c r="M321" s="280">
        <v>44593</v>
      </c>
      <c r="N321" s="280">
        <v>44925</v>
      </c>
      <c r="O321" s="280">
        <v>44652</v>
      </c>
      <c r="P321" s="281">
        <f t="shared" si="39"/>
        <v>0.17771084337349397</v>
      </c>
      <c r="Q321" s="281">
        <f t="shared" si="25"/>
        <v>0.17771084337349397</v>
      </c>
      <c r="R321" s="282">
        <v>1</v>
      </c>
      <c r="S321" s="283">
        <v>0.25</v>
      </c>
      <c r="T321" s="283">
        <v>0.5</v>
      </c>
      <c r="U321" s="283">
        <v>0.75</v>
      </c>
      <c r="V321" s="283">
        <v>1</v>
      </c>
      <c r="W321" s="308">
        <v>0.25</v>
      </c>
      <c r="X321" s="283" t="s">
        <v>1175</v>
      </c>
      <c r="Y321" s="354" t="s">
        <v>1176</v>
      </c>
      <c r="Z321" s="284"/>
      <c r="AA321" s="285"/>
      <c r="AB321" s="285"/>
      <c r="AC321" s="284"/>
      <c r="AD321" s="285"/>
      <c r="AE321" s="285"/>
      <c r="AF321" s="284"/>
      <c r="AG321" s="285"/>
      <c r="AH321" s="285"/>
      <c r="AI321" s="286"/>
    </row>
    <row r="322" spans="1:35" ht="57.75" hidden="1" customHeight="1" outlineLevel="1" x14ac:dyDescent="0.2">
      <c r="A322" s="634"/>
      <c r="B322" s="546"/>
      <c r="C322" s="546"/>
      <c r="D322" s="589"/>
      <c r="E322" s="585"/>
      <c r="F322" s="585"/>
      <c r="G322" s="557"/>
      <c r="H322" s="485" t="s">
        <v>1135</v>
      </c>
      <c r="I322" s="557"/>
      <c r="J322" s="12" t="s">
        <v>1135</v>
      </c>
      <c r="K322" s="330">
        <v>20000000</v>
      </c>
      <c r="L322" s="330"/>
      <c r="M322" s="280">
        <v>44593</v>
      </c>
      <c r="N322" s="280">
        <v>44925</v>
      </c>
      <c r="O322" s="280">
        <v>44652</v>
      </c>
      <c r="P322" s="281">
        <f t="shared" si="39"/>
        <v>0.17771084337349397</v>
      </c>
      <c r="Q322" s="281">
        <f t="shared" si="25"/>
        <v>0.17771084337349397</v>
      </c>
      <c r="R322" s="282">
        <v>1</v>
      </c>
      <c r="S322" s="283">
        <v>0.25</v>
      </c>
      <c r="T322" s="283">
        <v>0.5</v>
      </c>
      <c r="U322" s="283">
        <v>0.75</v>
      </c>
      <c r="V322" s="283">
        <v>1</v>
      </c>
      <c r="W322" s="308">
        <v>0.25</v>
      </c>
      <c r="X322" s="283" t="s">
        <v>1177</v>
      </c>
      <c r="Y322" s="354" t="s">
        <v>1176</v>
      </c>
      <c r="Z322" s="284"/>
      <c r="AA322" s="285"/>
      <c r="AB322" s="285"/>
      <c r="AC322" s="284"/>
      <c r="AD322" s="285"/>
      <c r="AE322" s="285"/>
      <c r="AF322" s="284"/>
      <c r="AG322" s="285"/>
      <c r="AH322" s="285"/>
      <c r="AI322" s="286"/>
    </row>
    <row r="323" spans="1:35" ht="43.15" hidden="1" customHeight="1" outlineLevel="1" x14ac:dyDescent="0.2">
      <c r="A323" s="634"/>
      <c r="B323" s="546"/>
      <c r="C323" s="546"/>
      <c r="D323" s="589"/>
      <c r="E323" s="585"/>
      <c r="F323" s="585"/>
      <c r="G323" s="557"/>
      <c r="H323" s="485" t="s">
        <v>1137</v>
      </c>
      <c r="I323" s="557"/>
      <c r="J323" s="12" t="s">
        <v>1137</v>
      </c>
      <c r="K323" s="330">
        <v>80000000</v>
      </c>
      <c r="L323" s="330"/>
      <c r="M323" s="280">
        <v>44593</v>
      </c>
      <c r="N323" s="280">
        <v>44925</v>
      </c>
      <c r="O323" s="280">
        <v>44652</v>
      </c>
      <c r="P323" s="281">
        <f t="shared" si="39"/>
        <v>0.17771084337349397</v>
      </c>
      <c r="Q323" s="281">
        <f t="shared" si="25"/>
        <v>0.17771084337349397</v>
      </c>
      <c r="R323" s="282">
        <v>1</v>
      </c>
      <c r="S323" s="283">
        <v>0.25</v>
      </c>
      <c r="T323" s="283">
        <v>0.5</v>
      </c>
      <c r="U323" s="283">
        <v>0.75</v>
      </c>
      <c r="V323" s="283">
        <v>1</v>
      </c>
      <c r="W323" s="308">
        <v>0</v>
      </c>
      <c r="X323" s="283" t="s">
        <v>1178</v>
      </c>
      <c r="Y323" s="354" t="s">
        <v>1176</v>
      </c>
      <c r="Z323" s="284"/>
      <c r="AA323" s="285"/>
      <c r="AB323" s="285"/>
      <c r="AC323" s="284"/>
      <c r="AD323" s="285"/>
      <c r="AE323" s="285"/>
      <c r="AF323" s="284"/>
      <c r="AG323" s="285"/>
      <c r="AH323" s="285"/>
      <c r="AI323" s="286"/>
    </row>
    <row r="324" spans="1:35" ht="120" hidden="1" customHeight="1" outlineLevel="1" x14ac:dyDescent="0.2">
      <c r="A324" s="634"/>
      <c r="B324" s="546"/>
      <c r="C324" s="546"/>
      <c r="D324" s="589"/>
      <c r="E324" s="585"/>
      <c r="F324" s="585"/>
      <c r="G324" s="557"/>
      <c r="H324" s="485" t="s">
        <v>1138</v>
      </c>
      <c r="I324" s="557"/>
      <c r="J324" s="12" t="s">
        <v>1138</v>
      </c>
      <c r="K324" s="330">
        <v>40000000</v>
      </c>
      <c r="L324" s="330"/>
      <c r="M324" s="280">
        <v>44593</v>
      </c>
      <c r="N324" s="280">
        <v>44925</v>
      </c>
      <c r="O324" s="280">
        <v>44652</v>
      </c>
      <c r="P324" s="281">
        <f t="shared" si="39"/>
        <v>0.17771084337349397</v>
      </c>
      <c r="Q324" s="281">
        <f t="shared" ref="Q324:Q397" si="45">+IF(P324&gt;=100,100,IF(P324&lt;=0,0,P324))</f>
        <v>0.17771084337349397</v>
      </c>
      <c r="R324" s="282">
        <v>1</v>
      </c>
      <c r="S324" s="283">
        <v>0.25</v>
      </c>
      <c r="T324" s="283">
        <v>0.5</v>
      </c>
      <c r="U324" s="283">
        <v>0.75</v>
      </c>
      <c r="V324" s="283">
        <v>1</v>
      </c>
      <c r="W324" s="308">
        <v>0</v>
      </c>
      <c r="X324" s="283" t="s">
        <v>1178</v>
      </c>
      <c r="Y324" s="354" t="s">
        <v>1176</v>
      </c>
      <c r="Z324" s="284"/>
      <c r="AA324" s="285"/>
      <c r="AB324" s="285"/>
      <c r="AC324" s="284"/>
      <c r="AD324" s="285"/>
      <c r="AE324" s="285"/>
      <c r="AF324" s="284"/>
      <c r="AG324" s="285"/>
      <c r="AH324" s="285"/>
      <c r="AI324" s="286"/>
    </row>
    <row r="325" spans="1:35" ht="135" hidden="1" customHeight="1" outlineLevel="1" x14ac:dyDescent="0.2">
      <c r="A325" s="634"/>
      <c r="B325" s="546"/>
      <c r="C325" s="546"/>
      <c r="D325" s="589"/>
      <c r="E325" s="585"/>
      <c r="F325" s="585"/>
      <c r="G325" s="557"/>
      <c r="H325" s="485" t="s">
        <v>1140</v>
      </c>
      <c r="I325" s="557"/>
      <c r="J325" s="12" t="s">
        <v>1140</v>
      </c>
      <c r="K325" s="330">
        <v>50000000</v>
      </c>
      <c r="L325" s="330"/>
      <c r="M325" s="280">
        <v>44593</v>
      </c>
      <c r="N325" s="280">
        <v>44925</v>
      </c>
      <c r="O325" s="280">
        <v>44652</v>
      </c>
      <c r="P325" s="281">
        <f t="shared" si="39"/>
        <v>0.17771084337349397</v>
      </c>
      <c r="Q325" s="281">
        <f t="shared" si="45"/>
        <v>0.17771084337349397</v>
      </c>
      <c r="R325" s="282">
        <v>1</v>
      </c>
      <c r="S325" s="283">
        <v>0.25</v>
      </c>
      <c r="T325" s="283">
        <v>0.5</v>
      </c>
      <c r="U325" s="283">
        <v>0.75</v>
      </c>
      <c r="V325" s="283">
        <v>1</v>
      </c>
      <c r="W325" s="308">
        <v>0.25</v>
      </c>
      <c r="X325" s="283" t="s">
        <v>1179</v>
      </c>
      <c r="Y325" s="354" t="s">
        <v>1176</v>
      </c>
      <c r="Z325" s="284"/>
      <c r="AA325" s="285"/>
      <c r="AB325" s="285"/>
      <c r="AC325" s="284"/>
      <c r="AD325" s="285"/>
      <c r="AE325" s="285"/>
      <c r="AF325" s="284"/>
      <c r="AG325" s="285"/>
      <c r="AH325" s="285"/>
      <c r="AI325" s="286"/>
    </row>
    <row r="326" spans="1:35" ht="60.75" hidden="1" customHeight="1" outlineLevel="1" x14ac:dyDescent="0.2">
      <c r="A326" s="634"/>
      <c r="B326" s="546"/>
      <c r="C326" s="546"/>
      <c r="D326" s="589"/>
      <c r="E326" s="585"/>
      <c r="F326" s="585"/>
      <c r="G326" s="557"/>
      <c r="H326" s="485" t="s">
        <v>1180</v>
      </c>
      <c r="I326" s="557"/>
      <c r="J326" s="12" t="s">
        <v>1180</v>
      </c>
      <c r="K326" s="330">
        <v>15000000</v>
      </c>
      <c r="L326" s="330"/>
      <c r="M326" s="280">
        <v>44593</v>
      </c>
      <c r="N326" s="280">
        <v>44925</v>
      </c>
      <c r="O326" s="280">
        <v>44652</v>
      </c>
      <c r="P326" s="281">
        <f t="shared" si="39"/>
        <v>0.17771084337349397</v>
      </c>
      <c r="Q326" s="281">
        <f t="shared" si="45"/>
        <v>0.17771084337349397</v>
      </c>
      <c r="R326" s="282">
        <v>1</v>
      </c>
      <c r="S326" s="283">
        <v>0.25</v>
      </c>
      <c r="T326" s="283">
        <v>0.5</v>
      </c>
      <c r="U326" s="283">
        <v>0.75</v>
      </c>
      <c r="V326" s="283">
        <v>1</v>
      </c>
      <c r="W326" s="308">
        <v>0.2</v>
      </c>
      <c r="X326" s="283" t="s">
        <v>1181</v>
      </c>
      <c r="Y326" s="354" t="s">
        <v>1176</v>
      </c>
      <c r="Z326" s="284"/>
      <c r="AA326" s="285"/>
      <c r="AB326" s="285"/>
      <c r="AC326" s="284"/>
      <c r="AD326" s="285"/>
      <c r="AE326" s="285"/>
      <c r="AF326" s="284"/>
      <c r="AG326" s="285"/>
      <c r="AH326" s="285"/>
      <c r="AI326" s="286"/>
    </row>
    <row r="327" spans="1:35" ht="150" hidden="1" customHeight="1" outlineLevel="1" x14ac:dyDescent="0.2">
      <c r="A327" s="634"/>
      <c r="B327" s="546"/>
      <c r="C327" s="546"/>
      <c r="D327" s="589"/>
      <c r="E327" s="585"/>
      <c r="F327" s="585"/>
      <c r="G327" s="557"/>
      <c r="H327" s="485" t="s">
        <v>1182</v>
      </c>
      <c r="I327" s="557"/>
      <c r="J327" s="12" t="s">
        <v>1182</v>
      </c>
      <c r="K327" s="331">
        <v>1000000</v>
      </c>
      <c r="L327" s="331"/>
      <c r="M327" s="280">
        <v>44593</v>
      </c>
      <c r="N327" s="280">
        <v>44925</v>
      </c>
      <c r="O327" s="280">
        <v>44652</v>
      </c>
      <c r="P327" s="281">
        <f t="shared" si="39"/>
        <v>0.17771084337349397</v>
      </c>
      <c r="Q327" s="281">
        <f t="shared" ref="Q327:Q329" si="46">+IF(P327&gt;=100,100,IF(P327&lt;=0,0,P327))</f>
        <v>0.17771084337349397</v>
      </c>
      <c r="R327" s="282">
        <v>1</v>
      </c>
      <c r="S327" s="283">
        <v>0.25</v>
      </c>
      <c r="T327" s="283">
        <v>0.5</v>
      </c>
      <c r="U327" s="283">
        <v>0.75</v>
      </c>
      <c r="V327" s="283">
        <v>1</v>
      </c>
      <c r="W327" s="308">
        <v>0.25</v>
      </c>
      <c r="X327" s="283" t="s">
        <v>1183</v>
      </c>
      <c r="Y327" s="354" t="s">
        <v>1176</v>
      </c>
      <c r="Z327" s="284"/>
      <c r="AA327" s="285"/>
      <c r="AB327" s="285"/>
      <c r="AC327" s="284"/>
      <c r="AD327" s="285"/>
      <c r="AE327" s="285"/>
      <c r="AF327" s="284"/>
      <c r="AG327" s="285"/>
      <c r="AH327" s="285"/>
      <c r="AI327" s="286"/>
    </row>
    <row r="328" spans="1:35" ht="56.25" hidden="1" customHeight="1" outlineLevel="1" x14ac:dyDescent="0.2">
      <c r="A328" s="634"/>
      <c r="B328" s="547"/>
      <c r="C328" s="547"/>
      <c r="D328" s="589"/>
      <c r="E328" s="550"/>
      <c r="F328" s="550"/>
      <c r="G328" s="557"/>
      <c r="H328" s="485" t="s">
        <v>1184</v>
      </c>
      <c r="I328" s="558"/>
      <c r="J328" s="12" t="s">
        <v>1184</v>
      </c>
      <c r="K328" s="330">
        <v>2000000</v>
      </c>
      <c r="L328" s="330">
        <v>2000000</v>
      </c>
      <c r="M328" s="280">
        <v>44593</v>
      </c>
      <c r="N328" s="280">
        <v>44925</v>
      </c>
      <c r="O328" s="280">
        <v>44652</v>
      </c>
      <c r="P328" s="281">
        <f t="shared" si="39"/>
        <v>0.17771084337349397</v>
      </c>
      <c r="Q328" s="281">
        <f t="shared" si="46"/>
        <v>0.17771084337349397</v>
      </c>
      <c r="R328" s="282">
        <v>1</v>
      </c>
      <c r="S328" s="283">
        <v>0.25</v>
      </c>
      <c r="T328" s="283">
        <v>0.5</v>
      </c>
      <c r="U328" s="283">
        <v>0.75</v>
      </c>
      <c r="V328" s="283">
        <v>1</v>
      </c>
      <c r="W328" s="308">
        <v>0.5</v>
      </c>
      <c r="X328" s="283" t="s">
        <v>1185</v>
      </c>
      <c r="Y328" s="354" t="s">
        <v>1176</v>
      </c>
      <c r="Z328" s="284"/>
      <c r="AA328" s="285"/>
      <c r="AB328" s="285"/>
      <c r="AC328" s="284"/>
      <c r="AD328" s="285"/>
      <c r="AE328" s="285"/>
      <c r="AF328" s="284"/>
      <c r="AG328" s="285"/>
      <c r="AH328" s="285"/>
      <c r="AI328" s="286"/>
    </row>
    <row r="329" spans="1:35" ht="135" hidden="1" customHeight="1" outlineLevel="1" x14ac:dyDescent="0.2">
      <c r="A329" s="634"/>
      <c r="B329" s="545" t="s">
        <v>39</v>
      </c>
      <c r="C329" s="545" t="s">
        <v>1021</v>
      </c>
      <c r="D329" s="589"/>
      <c r="E329" s="244" t="s">
        <v>1094</v>
      </c>
      <c r="F329" s="244" t="s">
        <v>1159</v>
      </c>
      <c r="G329" s="485" t="s">
        <v>44</v>
      </c>
      <c r="H329" s="485" t="s">
        <v>1186</v>
      </c>
      <c r="I329" s="485" t="s">
        <v>1097</v>
      </c>
      <c r="J329" s="12" t="s">
        <v>1187</v>
      </c>
      <c r="K329" s="330">
        <v>60000000</v>
      </c>
      <c r="L329" s="330"/>
      <c r="M329" s="280">
        <v>44593</v>
      </c>
      <c r="N329" s="280">
        <v>44925</v>
      </c>
      <c r="O329" s="280">
        <v>44652</v>
      </c>
      <c r="P329" s="281">
        <f t="shared" si="39"/>
        <v>0.17771084337349397</v>
      </c>
      <c r="Q329" s="281">
        <f t="shared" si="46"/>
        <v>0.17771084337349397</v>
      </c>
      <c r="R329" s="282">
        <v>1</v>
      </c>
      <c r="S329" s="283">
        <v>0.25</v>
      </c>
      <c r="T329" s="283">
        <v>0.5</v>
      </c>
      <c r="U329" s="283">
        <v>0.75</v>
      </c>
      <c r="V329" s="283">
        <v>1</v>
      </c>
      <c r="W329" s="308">
        <v>0.25</v>
      </c>
      <c r="X329" s="283" t="s">
        <v>1188</v>
      </c>
      <c r="Y329" s="354" t="s">
        <v>1176</v>
      </c>
      <c r="Z329" s="284"/>
      <c r="AA329" s="285"/>
      <c r="AB329" s="285"/>
      <c r="AC329" s="284"/>
      <c r="AD329" s="285"/>
      <c r="AE329" s="285"/>
      <c r="AF329" s="284"/>
      <c r="AG329" s="285"/>
      <c r="AH329" s="285"/>
      <c r="AI329" s="286"/>
    </row>
    <row r="330" spans="1:35" ht="161.25" hidden="1" customHeight="1" outlineLevel="1" x14ac:dyDescent="0.2">
      <c r="A330" s="634"/>
      <c r="B330" s="546"/>
      <c r="C330" s="546"/>
      <c r="D330" s="589"/>
      <c r="E330" s="244" t="s">
        <v>1189</v>
      </c>
      <c r="F330" s="244" t="s">
        <v>1040</v>
      </c>
      <c r="G330" s="485" t="s">
        <v>1190</v>
      </c>
      <c r="H330" s="485" t="s">
        <v>1191</v>
      </c>
      <c r="I330" s="485" t="s">
        <v>1090</v>
      </c>
      <c r="J330" s="12" t="s">
        <v>1191</v>
      </c>
      <c r="K330" s="332" t="s">
        <v>52</v>
      </c>
      <c r="L330" s="332"/>
      <c r="M330" s="280">
        <v>44593</v>
      </c>
      <c r="N330" s="280">
        <v>44925</v>
      </c>
      <c r="O330" s="280">
        <v>44652</v>
      </c>
      <c r="P330" s="281">
        <f t="shared" si="39"/>
        <v>0.17771084337349397</v>
      </c>
      <c r="Q330" s="281">
        <f t="shared" si="45"/>
        <v>0.17771084337349397</v>
      </c>
      <c r="R330" s="282">
        <v>1</v>
      </c>
      <c r="S330" s="283">
        <v>0.25</v>
      </c>
      <c r="T330" s="283">
        <v>0.5</v>
      </c>
      <c r="U330" s="283">
        <v>0.75</v>
      </c>
      <c r="V330" s="283">
        <v>1</v>
      </c>
      <c r="W330" s="308">
        <v>0.25</v>
      </c>
      <c r="X330" s="283" t="s">
        <v>1192</v>
      </c>
      <c r="Y330" s="354" t="s">
        <v>1176</v>
      </c>
      <c r="Z330" s="284"/>
      <c r="AA330" s="285"/>
      <c r="AB330" s="285"/>
      <c r="AC330" s="284"/>
      <c r="AD330" s="285"/>
      <c r="AE330" s="285"/>
      <c r="AF330" s="284"/>
      <c r="AG330" s="285"/>
      <c r="AH330" s="285"/>
      <c r="AI330" s="286"/>
    </row>
    <row r="331" spans="1:35" ht="94.5" hidden="1" customHeight="1" outlineLevel="1" x14ac:dyDescent="0.2">
      <c r="A331" s="634"/>
      <c r="B331" s="546"/>
      <c r="C331" s="546"/>
      <c r="D331" s="589"/>
      <c r="E331" s="549" t="s">
        <v>1075</v>
      </c>
      <c r="F331" s="549" t="s">
        <v>181</v>
      </c>
      <c r="G331" s="485" t="s">
        <v>1193</v>
      </c>
      <c r="H331" s="485" t="s">
        <v>1194</v>
      </c>
      <c r="I331" s="485" t="s">
        <v>184</v>
      </c>
      <c r="J331" s="12" t="s">
        <v>1195</v>
      </c>
      <c r="K331" s="332" t="s">
        <v>52</v>
      </c>
      <c r="L331" s="332"/>
      <c r="M331" s="280">
        <v>44593</v>
      </c>
      <c r="N331" s="280">
        <v>44925</v>
      </c>
      <c r="O331" s="280">
        <v>44652</v>
      </c>
      <c r="P331" s="281">
        <f t="shared" si="39"/>
        <v>0.17771084337349397</v>
      </c>
      <c r="Q331" s="281">
        <f t="shared" si="45"/>
        <v>0.17771084337349397</v>
      </c>
      <c r="R331" s="282">
        <v>1</v>
      </c>
      <c r="S331" s="283">
        <v>0.25</v>
      </c>
      <c r="T331" s="283">
        <v>0.5</v>
      </c>
      <c r="U331" s="283">
        <v>0.75</v>
      </c>
      <c r="V331" s="283">
        <v>1</v>
      </c>
      <c r="W331" s="308">
        <v>0</v>
      </c>
      <c r="X331" s="283" t="s">
        <v>1196</v>
      </c>
      <c r="Y331" s="354" t="s">
        <v>1176</v>
      </c>
      <c r="Z331" s="284"/>
      <c r="AA331" s="285"/>
      <c r="AB331" s="285"/>
      <c r="AC331" s="284"/>
      <c r="AD331" s="285"/>
      <c r="AE331" s="285"/>
      <c r="AF331" s="284"/>
      <c r="AG331" s="285"/>
      <c r="AH331" s="285"/>
      <c r="AI331" s="286"/>
    </row>
    <row r="332" spans="1:35" ht="62.45" hidden="1" customHeight="1" outlineLevel="1" x14ac:dyDescent="0.2">
      <c r="A332" s="634"/>
      <c r="B332" s="546"/>
      <c r="C332" s="547"/>
      <c r="D332" s="589"/>
      <c r="E332" s="550"/>
      <c r="F332" s="550"/>
      <c r="G332" s="485" t="s">
        <v>1197</v>
      </c>
      <c r="H332" s="485" t="s">
        <v>1198</v>
      </c>
      <c r="I332" s="485" t="s">
        <v>184</v>
      </c>
      <c r="J332" s="12" t="s">
        <v>1199</v>
      </c>
      <c r="K332" s="330">
        <v>33960500</v>
      </c>
      <c r="L332" s="330"/>
      <c r="M332" s="280">
        <v>44593</v>
      </c>
      <c r="N332" s="280">
        <v>44925</v>
      </c>
      <c r="O332" s="280">
        <v>44652</v>
      </c>
      <c r="P332" s="281">
        <f t="shared" si="39"/>
        <v>0.17771084337349397</v>
      </c>
      <c r="Q332" s="281">
        <f t="shared" si="45"/>
        <v>0.17771084337349397</v>
      </c>
      <c r="R332" s="282">
        <v>1</v>
      </c>
      <c r="S332" s="283">
        <v>0.25</v>
      </c>
      <c r="T332" s="283">
        <v>0.5</v>
      </c>
      <c r="U332" s="283">
        <v>0.75</v>
      </c>
      <c r="V332" s="283">
        <v>1</v>
      </c>
      <c r="W332" s="308">
        <v>0.25</v>
      </c>
      <c r="X332" s="283" t="s">
        <v>1200</v>
      </c>
      <c r="Y332" s="354" t="s">
        <v>1176</v>
      </c>
      <c r="Z332" s="284"/>
      <c r="AA332" s="285"/>
      <c r="AB332" s="285"/>
      <c r="AC332" s="284"/>
      <c r="AD332" s="285"/>
      <c r="AE332" s="285"/>
      <c r="AF332" s="284"/>
      <c r="AG332" s="285"/>
      <c r="AH332" s="285"/>
      <c r="AI332" s="286"/>
    </row>
    <row r="333" spans="1:35" ht="62.45" hidden="1" customHeight="1" outlineLevel="1" x14ac:dyDescent="0.2">
      <c r="A333" s="634"/>
      <c r="B333" s="546"/>
      <c r="C333" s="545" t="s">
        <v>1055</v>
      </c>
      <c r="D333" s="589"/>
      <c r="E333" s="549" t="s">
        <v>1201</v>
      </c>
      <c r="F333" s="549" t="s">
        <v>789</v>
      </c>
      <c r="G333" s="557" t="s">
        <v>1202</v>
      </c>
      <c r="H333" s="459" t="s">
        <v>1203</v>
      </c>
      <c r="I333" s="558" t="s">
        <v>791</v>
      </c>
      <c r="J333" s="12" t="s">
        <v>1203</v>
      </c>
      <c r="K333" s="332" t="s">
        <v>1204</v>
      </c>
      <c r="L333" s="332"/>
      <c r="M333" s="280">
        <v>44593</v>
      </c>
      <c r="N333" s="280">
        <v>44925</v>
      </c>
      <c r="O333" s="280">
        <v>44652</v>
      </c>
      <c r="P333" s="281">
        <f t="shared" si="39"/>
        <v>0.17771084337349397</v>
      </c>
      <c r="Q333" s="281">
        <f t="shared" ref="Q333:Q334" si="47">+IF(P333&gt;=100,100,IF(P333&lt;=0,0,P333))</f>
        <v>0.17771084337349397</v>
      </c>
      <c r="R333" s="282">
        <v>1</v>
      </c>
      <c r="S333" s="283">
        <v>0.25</v>
      </c>
      <c r="T333" s="283">
        <v>0.5</v>
      </c>
      <c r="U333" s="283">
        <v>0.75</v>
      </c>
      <c r="V333" s="283">
        <v>1</v>
      </c>
      <c r="W333" s="308">
        <v>0</v>
      </c>
      <c r="X333" s="283" t="s">
        <v>1178</v>
      </c>
      <c r="Y333" s="352" t="s">
        <v>52</v>
      </c>
      <c r="Z333" s="284"/>
      <c r="AA333" s="285"/>
      <c r="AB333" s="285"/>
      <c r="AC333" s="284"/>
      <c r="AD333" s="285"/>
      <c r="AE333" s="285"/>
      <c r="AF333" s="284"/>
      <c r="AG333" s="285"/>
      <c r="AH333" s="285"/>
      <c r="AI333" s="286"/>
    </row>
    <row r="334" spans="1:35" ht="112.5" hidden="1" customHeight="1" outlineLevel="1" x14ac:dyDescent="0.2">
      <c r="A334" s="634"/>
      <c r="B334" s="547"/>
      <c r="C334" s="547"/>
      <c r="D334" s="589"/>
      <c r="E334" s="550"/>
      <c r="F334" s="550"/>
      <c r="G334" s="558"/>
      <c r="H334" s="485" t="s">
        <v>1205</v>
      </c>
      <c r="I334" s="780"/>
      <c r="J334" s="12" t="s">
        <v>1206</v>
      </c>
      <c r="K334" s="332" t="s">
        <v>52</v>
      </c>
      <c r="L334" s="332"/>
      <c r="M334" s="280">
        <v>44593</v>
      </c>
      <c r="N334" s="280">
        <v>44925</v>
      </c>
      <c r="O334" s="280">
        <v>44652</v>
      </c>
      <c r="P334" s="281">
        <f t="shared" si="39"/>
        <v>0.17771084337349397</v>
      </c>
      <c r="Q334" s="281">
        <f t="shared" si="47"/>
        <v>0.17771084337349397</v>
      </c>
      <c r="R334" s="282">
        <v>1</v>
      </c>
      <c r="S334" s="283">
        <v>0.25</v>
      </c>
      <c r="T334" s="283">
        <v>0.5</v>
      </c>
      <c r="U334" s="283">
        <v>0.75</v>
      </c>
      <c r="V334" s="283">
        <v>1</v>
      </c>
      <c r="W334" s="308">
        <v>0</v>
      </c>
      <c r="X334" s="283" t="s">
        <v>1178</v>
      </c>
      <c r="Y334" s="352" t="s">
        <v>52</v>
      </c>
      <c r="Z334" s="284"/>
      <c r="AA334" s="285"/>
      <c r="AB334" s="285"/>
      <c r="AC334" s="284"/>
      <c r="AD334" s="285"/>
      <c r="AE334" s="285"/>
      <c r="AF334" s="284"/>
      <c r="AG334" s="285"/>
      <c r="AH334" s="285"/>
      <c r="AI334" s="286"/>
    </row>
    <row r="335" spans="1:35" ht="91.5" hidden="1" customHeight="1" outlineLevel="1" x14ac:dyDescent="0.2">
      <c r="A335" s="634"/>
      <c r="B335" s="545" t="s">
        <v>868</v>
      </c>
      <c r="C335" s="447" t="s">
        <v>1152</v>
      </c>
      <c r="D335" s="589"/>
      <c r="E335" s="244" t="s">
        <v>1207</v>
      </c>
      <c r="F335" s="244" t="s">
        <v>1208</v>
      </c>
      <c r="G335" s="485" t="s">
        <v>1190</v>
      </c>
      <c r="H335" s="485" t="s">
        <v>1118</v>
      </c>
      <c r="I335" s="485" t="s">
        <v>1209</v>
      </c>
      <c r="J335" s="12" t="s">
        <v>1210</v>
      </c>
      <c r="K335" s="332" t="s">
        <v>52</v>
      </c>
      <c r="L335" s="332"/>
      <c r="M335" s="280">
        <v>44593</v>
      </c>
      <c r="N335" s="280">
        <v>44925</v>
      </c>
      <c r="O335" s="280">
        <v>44652</v>
      </c>
      <c r="P335" s="281">
        <f t="shared" si="39"/>
        <v>0.17771084337349397</v>
      </c>
      <c r="Q335" s="281">
        <f t="shared" si="45"/>
        <v>0.17771084337349397</v>
      </c>
      <c r="R335" s="282">
        <v>1</v>
      </c>
      <c r="S335" s="283">
        <v>0.25</v>
      </c>
      <c r="T335" s="283">
        <v>0.5</v>
      </c>
      <c r="U335" s="283">
        <v>0.75</v>
      </c>
      <c r="V335" s="283">
        <v>1</v>
      </c>
      <c r="W335" s="308">
        <v>0</v>
      </c>
      <c r="X335" s="283" t="s">
        <v>1211</v>
      </c>
      <c r="Y335" s="354" t="s">
        <v>1176</v>
      </c>
      <c r="Z335" s="284"/>
      <c r="AA335" s="285"/>
      <c r="AB335" s="285"/>
      <c r="AC335" s="284"/>
      <c r="AD335" s="285"/>
      <c r="AE335" s="285"/>
      <c r="AF335" s="284"/>
      <c r="AG335" s="285"/>
      <c r="AH335" s="285"/>
      <c r="AI335" s="286"/>
    </row>
    <row r="336" spans="1:35" ht="75.75" hidden="1" customHeight="1" outlineLevel="1" x14ac:dyDescent="0.2">
      <c r="A336" s="634"/>
      <c r="B336" s="547"/>
      <c r="C336" s="447" t="s">
        <v>1123</v>
      </c>
      <c r="D336" s="589"/>
      <c r="E336" s="244" t="s">
        <v>1212</v>
      </c>
      <c r="F336" s="244" t="s">
        <v>1213</v>
      </c>
      <c r="G336" s="485" t="s">
        <v>1214</v>
      </c>
      <c r="H336" s="485" t="s">
        <v>1215</v>
      </c>
      <c r="I336" s="485" t="s">
        <v>1216</v>
      </c>
      <c r="J336" s="12" t="s">
        <v>1215</v>
      </c>
      <c r="K336" s="332" t="s">
        <v>52</v>
      </c>
      <c r="L336" s="332"/>
      <c r="M336" s="280">
        <v>44593</v>
      </c>
      <c r="N336" s="280">
        <v>44925</v>
      </c>
      <c r="O336" s="280">
        <v>44652</v>
      </c>
      <c r="P336" s="281">
        <f t="shared" si="39"/>
        <v>0.17771084337349397</v>
      </c>
      <c r="Q336" s="281">
        <f t="shared" ref="Q336" si="48">+IF(P336&gt;=100,100,IF(P336&lt;=0,0,P336))</f>
        <v>0.17771084337349397</v>
      </c>
      <c r="R336" s="282">
        <v>1</v>
      </c>
      <c r="S336" s="283">
        <v>0.25</v>
      </c>
      <c r="T336" s="283">
        <v>0.5</v>
      </c>
      <c r="U336" s="283">
        <v>0.75</v>
      </c>
      <c r="V336" s="283">
        <v>1</v>
      </c>
      <c r="W336" s="308">
        <v>0</v>
      </c>
      <c r="X336" s="283" t="s">
        <v>1217</v>
      </c>
      <c r="Y336" s="354" t="s">
        <v>1176</v>
      </c>
      <c r="Z336" s="284"/>
      <c r="AA336" s="285"/>
      <c r="AB336" s="285"/>
      <c r="AC336" s="284"/>
      <c r="AD336" s="285"/>
      <c r="AE336" s="285"/>
      <c r="AF336" s="284"/>
      <c r="AG336" s="285"/>
      <c r="AH336" s="285"/>
      <c r="AI336" s="286"/>
    </row>
    <row r="337" spans="1:35" ht="90" hidden="1" customHeight="1" outlineLevel="1" x14ac:dyDescent="0.2">
      <c r="A337" s="634"/>
      <c r="B337" s="444" t="s">
        <v>267</v>
      </c>
      <c r="C337" s="444" t="s">
        <v>1069</v>
      </c>
      <c r="D337" s="589"/>
      <c r="E337" s="452" t="s">
        <v>1070</v>
      </c>
      <c r="F337" s="244" t="s">
        <v>1218</v>
      </c>
      <c r="G337" s="458" t="s">
        <v>1219</v>
      </c>
      <c r="H337" s="485" t="s">
        <v>1858</v>
      </c>
      <c r="I337" s="485" t="s">
        <v>1220</v>
      </c>
      <c r="J337" s="12" t="s">
        <v>1857</v>
      </c>
      <c r="K337" s="332" t="s">
        <v>1204</v>
      </c>
      <c r="L337" s="332"/>
      <c r="M337" s="280">
        <v>44593</v>
      </c>
      <c r="N337" s="280">
        <v>44925</v>
      </c>
      <c r="O337" s="280">
        <v>44652</v>
      </c>
      <c r="P337" s="281">
        <f t="shared" si="39"/>
        <v>0.17771084337349397</v>
      </c>
      <c r="Q337" s="281">
        <f t="shared" si="45"/>
        <v>0.17771084337349397</v>
      </c>
      <c r="R337" s="282">
        <v>0.5</v>
      </c>
      <c r="S337" s="283">
        <v>0.3</v>
      </c>
      <c r="T337" s="283">
        <v>0.4</v>
      </c>
      <c r="U337" s="283">
        <v>0.45</v>
      </c>
      <c r="V337" s="283">
        <v>0.5</v>
      </c>
      <c r="W337" s="308">
        <v>0</v>
      </c>
      <c r="X337" s="283" t="s">
        <v>1221</v>
      </c>
      <c r="Y337" s="354" t="s">
        <v>1176</v>
      </c>
      <c r="Z337" s="284"/>
      <c r="AA337" s="285"/>
      <c r="AB337" s="285"/>
      <c r="AC337" s="284"/>
      <c r="AD337" s="285"/>
      <c r="AE337" s="285"/>
      <c r="AF337" s="284"/>
      <c r="AG337" s="285"/>
      <c r="AH337" s="285"/>
      <c r="AI337" s="286"/>
    </row>
    <row r="338" spans="1:35" ht="75.75" hidden="1" customHeight="1" outlineLevel="1" x14ac:dyDescent="0.2">
      <c r="A338" s="634"/>
      <c r="B338" s="545" t="s">
        <v>39</v>
      </c>
      <c r="C338" s="545" t="s">
        <v>1101</v>
      </c>
      <c r="D338" s="537" t="s">
        <v>1222</v>
      </c>
      <c r="E338" s="591" t="s">
        <v>1223</v>
      </c>
      <c r="F338" s="591" t="s">
        <v>102</v>
      </c>
      <c r="G338" s="525" t="s">
        <v>1224</v>
      </c>
      <c r="H338" s="304" t="s">
        <v>1225</v>
      </c>
      <c r="I338" s="525" t="s">
        <v>1226</v>
      </c>
      <c r="J338" s="611" t="s">
        <v>1227</v>
      </c>
      <c r="K338" s="257" t="s">
        <v>501</v>
      </c>
      <c r="L338" s="257" t="s">
        <v>52</v>
      </c>
      <c r="M338" s="280">
        <v>44593</v>
      </c>
      <c r="N338" s="280">
        <v>44925</v>
      </c>
      <c r="O338" s="280">
        <v>44652</v>
      </c>
      <c r="P338" s="281">
        <f t="shared" si="39"/>
        <v>0.17771084337349397</v>
      </c>
      <c r="Q338" s="281">
        <f t="shared" si="45"/>
        <v>0.17771084337349397</v>
      </c>
      <c r="R338" s="282">
        <v>1</v>
      </c>
      <c r="S338" s="283">
        <v>0.25</v>
      </c>
      <c r="T338" s="283">
        <v>0.5</v>
      </c>
      <c r="U338" s="283">
        <v>0.75</v>
      </c>
      <c r="V338" s="283">
        <v>1</v>
      </c>
      <c r="W338" s="308">
        <v>0.15</v>
      </c>
      <c r="X338" s="283" t="s">
        <v>1228</v>
      </c>
      <c r="Y338" s="352" t="s">
        <v>52</v>
      </c>
      <c r="Z338" s="284"/>
      <c r="AA338" s="285"/>
      <c r="AB338" s="285"/>
      <c r="AC338" s="284"/>
      <c r="AD338" s="285"/>
      <c r="AE338" s="285"/>
      <c r="AF338" s="284"/>
      <c r="AG338" s="285"/>
      <c r="AH338" s="285"/>
      <c r="AI338" s="286"/>
    </row>
    <row r="339" spans="1:35" ht="112.5" hidden="1" customHeight="1" outlineLevel="1" x14ac:dyDescent="0.2">
      <c r="A339" s="634"/>
      <c r="B339" s="546"/>
      <c r="C339" s="546"/>
      <c r="D339" s="603"/>
      <c r="E339" s="592"/>
      <c r="F339" s="592"/>
      <c r="G339" s="526"/>
      <c r="H339" s="304" t="s">
        <v>1229</v>
      </c>
      <c r="I339" s="526"/>
      <c r="J339" s="612"/>
      <c r="K339" s="257" t="s">
        <v>501</v>
      </c>
      <c r="L339" s="257" t="s">
        <v>52</v>
      </c>
      <c r="M339" s="280">
        <v>44593</v>
      </c>
      <c r="N339" s="280">
        <v>44925</v>
      </c>
      <c r="O339" s="280">
        <v>44652</v>
      </c>
      <c r="P339" s="281">
        <f t="shared" si="39"/>
        <v>0.17771084337349397</v>
      </c>
      <c r="Q339" s="281">
        <f t="shared" si="45"/>
        <v>0.17771084337349397</v>
      </c>
      <c r="R339" s="282">
        <v>1</v>
      </c>
      <c r="S339" s="283">
        <v>0.25</v>
      </c>
      <c r="T339" s="283">
        <v>0.5</v>
      </c>
      <c r="U339" s="283">
        <v>0.75</v>
      </c>
      <c r="V339" s="283">
        <v>1</v>
      </c>
      <c r="W339" s="308">
        <v>0.15</v>
      </c>
      <c r="X339" s="283" t="s">
        <v>1230</v>
      </c>
      <c r="Y339" s="352" t="s">
        <v>52</v>
      </c>
      <c r="Z339" s="284"/>
      <c r="AA339" s="285"/>
      <c r="AB339" s="285"/>
      <c r="AC339" s="284"/>
      <c r="AD339" s="285"/>
      <c r="AE339" s="285"/>
      <c r="AF339" s="284"/>
      <c r="AG339" s="285"/>
      <c r="AH339" s="285"/>
      <c r="AI339" s="286"/>
    </row>
    <row r="340" spans="1:35" ht="116.45" hidden="1" customHeight="1" outlineLevel="1" x14ac:dyDescent="0.2">
      <c r="A340" s="634"/>
      <c r="B340" s="546"/>
      <c r="C340" s="546"/>
      <c r="D340" s="603"/>
      <c r="E340" s="592"/>
      <c r="F340" s="592"/>
      <c r="G340" s="526"/>
      <c r="H340" s="304" t="s">
        <v>1231</v>
      </c>
      <c r="I340" s="526"/>
      <c r="J340" s="612"/>
      <c r="K340" s="257" t="s">
        <v>501</v>
      </c>
      <c r="L340" s="257" t="s">
        <v>52</v>
      </c>
      <c r="M340" s="280">
        <v>44593</v>
      </c>
      <c r="N340" s="280">
        <v>44925</v>
      </c>
      <c r="O340" s="280">
        <v>44652</v>
      </c>
      <c r="P340" s="281">
        <f t="shared" si="39"/>
        <v>0.17771084337349397</v>
      </c>
      <c r="Q340" s="281">
        <f t="shared" si="45"/>
        <v>0.17771084337349397</v>
      </c>
      <c r="R340" s="282">
        <v>1</v>
      </c>
      <c r="S340" s="283">
        <v>0.25</v>
      </c>
      <c r="T340" s="283">
        <v>0.5</v>
      </c>
      <c r="U340" s="283">
        <v>0.75</v>
      </c>
      <c r="V340" s="283">
        <v>1</v>
      </c>
      <c r="W340" s="308">
        <v>0</v>
      </c>
      <c r="X340" s="283" t="s">
        <v>1232</v>
      </c>
      <c r="Y340" s="352" t="s">
        <v>52</v>
      </c>
      <c r="Z340" s="284"/>
      <c r="AA340" s="285"/>
      <c r="AB340" s="285"/>
      <c r="AC340" s="284"/>
      <c r="AD340" s="285"/>
      <c r="AE340" s="285"/>
      <c r="AF340" s="284"/>
      <c r="AG340" s="285"/>
      <c r="AH340" s="285"/>
      <c r="AI340" s="286"/>
    </row>
    <row r="341" spans="1:35" ht="116.45" hidden="1" customHeight="1" outlineLevel="1" x14ac:dyDescent="0.2">
      <c r="A341" s="634"/>
      <c r="B341" s="546"/>
      <c r="C341" s="546"/>
      <c r="D341" s="603"/>
      <c r="E341" s="592"/>
      <c r="F341" s="592"/>
      <c r="G341" s="526"/>
      <c r="H341" s="304" t="s">
        <v>1233</v>
      </c>
      <c r="I341" s="526"/>
      <c r="J341" s="612"/>
      <c r="K341" s="257" t="s">
        <v>501</v>
      </c>
      <c r="L341" s="257" t="s">
        <v>52</v>
      </c>
      <c r="M341" s="280">
        <v>44593</v>
      </c>
      <c r="N341" s="280">
        <v>44925</v>
      </c>
      <c r="O341" s="280">
        <v>44652</v>
      </c>
      <c r="P341" s="281">
        <f t="shared" si="39"/>
        <v>0.17771084337349397</v>
      </c>
      <c r="Q341" s="281">
        <f t="shared" ref="Q341:Q343" si="49">+IF(P341&gt;=100,100,IF(P341&lt;=0,0,P341))</f>
        <v>0.17771084337349397</v>
      </c>
      <c r="R341" s="282">
        <v>1</v>
      </c>
      <c r="S341" s="283">
        <v>0.25</v>
      </c>
      <c r="T341" s="283">
        <v>0.5</v>
      </c>
      <c r="U341" s="283">
        <v>0.75</v>
      </c>
      <c r="V341" s="283">
        <v>1</v>
      </c>
      <c r="W341" s="308">
        <v>0</v>
      </c>
      <c r="X341" s="283" t="s">
        <v>1234</v>
      </c>
      <c r="Y341" s="352" t="s">
        <v>52</v>
      </c>
      <c r="Z341" s="284"/>
      <c r="AA341" s="285"/>
      <c r="AB341" s="285"/>
      <c r="AC341" s="284"/>
      <c r="AD341" s="285"/>
      <c r="AE341" s="285"/>
      <c r="AF341" s="284"/>
      <c r="AG341" s="285"/>
      <c r="AH341" s="285"/>
      <c r="AI341" s="286"/>
    </row>
    <row r="342" spans="1:35" ht="116.45" hidden="1" customHeight="1" outlineLevel="1" x14ac:dyDescent="0.2">
      <c r="A342" s="634"/>
      <c r="B342" s="547"/>
      <c r="C342" s="547"/>
      <c r="D342" s="603"/>
      <c r="E342" s="593"/>
      <c r="F342" s="593"/>
      <c r="G342" s="527"/>
      <c r="H342" s="304" t="s">
        <v>1235</v>
      </c>
      <c r="I342" s="527"/>
      <c r="J342" s="613"/>
      <c r="K342" s="257" t="s">
        <v>501</v>
      </c>
      <c r="L342" s="257" t="s">
        <v>52</v>
      </c>
      <c r="M342" s="280">
        <v>44593</v>
      </c>
      <c r="N342" s="280">
        <v>44925</v>
      </c>
      <c r="O342" s="280">
        <v>44652</v>
      </c>
      <c r="P342" s="281">
        <f t="shared" si="39"/>
        <v>0.17771084337349397</v>
      </c>
      <c r="Q342" s="281">
        <f t="shared" si="49"/>
        <v>0.17771084337349397</v>
      </c>
      <c r="R342" s="282">
        <v>1</v>
      </c>
      <c r="S342" s="283">
        <v>0.25</v>
      </c>
      <c r="T342" s="283">
        <v>0.5</v>
      </c>
      <c r="U342" s="283">
        <v>0.75</v>
      </c>
      <c r="V342" s="283">
        <v>1</v>
      </c>
      <c r="W342" s="308">
        <v>0</v>
      </c>
      <c r="X342" s="283" t="s">
        <v>1221</v>
      </c>
      <c r="Y342" s="352" t="s">
        <v>52</v>
      </c>
      <c r="Z342" s="284"/>
      <c r="AA342" s="285"/>
      <c r="AB342" s="285"/>
      <c r="AC342" s="284"/>
      <c r="AD342" s="285"/>
      <c r="AE342" s="285"/>
      <c r="AF342" s="284"/>
      <c r="AG342" s="285"/>
      <c r="AH342" s="285"/>
      <c r="AI342" s="286"/>
    </row>
    <row r="343" spans="1:35" ht="116.45" hidden="1" customHeight="1" outlineLevel="1" x14ac:dyDescent="0.2">
      <c r="A343" s="634"/>
      <c r="B343" s="447" t="s">
        <v>267</v>
      </c>
      <c r="C343" s="447" t="s">
        <v>1069</v>
      </c>
      <c r="D343" s="603"/>
      <c r="E343" s="465" t="s">
        <v>1070</v>
      </c>
      <c r="F343" s="465" t="s">
        <v>1236</v>
      </c>
      <c r="G343" s="442" t="s">
        <v>1237</v>
      </c>
      <c r="H343" s="442" t="s">
        <v>1238</v>
      </c>
      <c r="I343" s="442" t="s">
        <v>1239</v>
      </c>
      <c r="J343" s="257" t="s">
        <v>1240</v>
      </c>
      <c r="K343" s="257" t="s">
        <v>501</v>
      </c>
      <c r="L343" s="257" t="s">
        <v>52</v>
      </c>
      <c r="M343" s="280">
        <v>44593</v>
      </c>
      <c r="N343" s="280">
        <v>44925</v>
      </c>
      <c r="O343" s="280">
        <v>44652</v>
      </c>
      <c r="P343" s="281">
        <f t="shared" si="39"/>
        <v>0.17771084337349397</v>
      </c>
      <c r="Q343" s="281">
        <f t="shared" si="49"/>
        <v>0.17771084337349397</v>
      </c>
      <c r="R343" s="282">
        <v>0.5</v>
      </c>
      <c r="S343" s="283">
        <v>0.35</v>
      </c>
      <c r="T343" s="283">
        <v>0.4</v>
      </c>
      <c r="U343" s="283">
        <v>0.45</v>
      </c>
      <c r="V343" s="283">
        <v>0.5</v>
      </c>
      <c r="W343" s="308">
        <v>0.15</v>
      </c>
      <c r="X343" s="283" t="s">
        <v>1241</v>
      </c>
      <c r="Y343" s="352" t="s">
        <v>1242</v>
      </c>
      <c r="Z343" s="284"/>
      <c r="AA343" s="285"/>
      <c r="AB343" s="285"/>
      <c r="AC343" s="284"/>
      <c r="AD343" s="285"/>
      <c r="AE343" s="285"/>
      <c r="AF343" s="284"/>
      <c r="AG343" s="285"/>
      <c r="AH343" s="285"/>
      <c r="AI343" s="286"/>
    </row>
    <row r="344" spans="1:35" ht="64.5" hidden="1" customHeight="1" outlineLevel="1" x14ac:dyDescent="0.2">
      <c r="A344" s="634"/>
      <c r="B344" s="545" t="s">
        <v>39</v>
      </c>
      <c r="C344" s="545" t="s">
        <v>1021</v>
      </c>
      <c r="D344" s="515" t="s">
        <v>1243</v>
      </c>
      <c r="E344" s="252" t="s">
        <v>1083</v>
      </c>
      <c r="F344" s="252" t="s">
        <v>43</v>
      </c>
      <c r="G344" s="10" t="s">
        <v>1244</v>
      </c>
      <c r="H344" s="10" t="s">
        <v>1084</v>
      </c>
      <c r="I344" s="10" t="s">
        <v>46</v>
      </c>
      <c r="J344" s="257" t="s">
        <v>450</v>
      </c>
      <c r="K344" s="257">
        <v>33960500</v>
      </c>
      <c r="L344" s="257"/>
      <c r="M344" s="280">
        <v>44593</v>
      </c>
      <c r="N344" s="280">
        <v>44925</v>
      </c>
      <c r="O344" s="280">
        <v>44652</v>
      </c>
      <c r="P344" s="281">
        <f t="shared" si="39"/>
        <v>0.17771084337349397</v>
      </c>
      <c r="Q344" s="281">
        <f t="shared" si="45"/>
        <v>0.17771084337349397</v>
      </c>
      <c r="R344" s="282">
        <v>1</v>
      </c>
      <c r="S344" s="283">
        <v>0.25</v>
      </c>
      <c r="T344" s="283">
        <v>0.5</v>
      </c>
      <c r="U344" s="283">
        <v>0.75</v>
      </c>
      <c r="V344" s="283">
        <v>1</v>
      </c>
      <c r="W344" s="308">
        <v>0.25</v>
      </c>
      <c r="X344" s="283" t="s">
        <v>1245</v>
      </c>
      <c r="Y344" s="352" t="s">
        <v>306</v>
      </c>
      <c r="Z344" s="284"/>
      <c r="AA344" s="285"/>
      <c r="AB344" s="285"/>
      <c r="AC344" s="284"/>
      <c r="AD344" s="285"/>
      <c r="AE344" s="285"/>
      <c r="AF344" s="284"/>
      <c r="AG344" s="285"/>
      <c r="AH344" s="285"/>
      <c r="AI344" s="286"/>
    </row>
    <row r="345" spans="1:35" ht="75" hidden="1" customHeight="1" outlineLevel="1" x14ac:dyDescent="0.2">
      <c r="A345" s="634"/>
      <c r="B345" s="546"/>
      <c r="C345" s="546"/>
      <c r="D345" s="516"/>
      <c r="E345" s="518" t="s">
        <v>1039</v>
      </c>
      <c r="F345" s="518" t="s">
        <v>1040</v>
      </c>
      <c r="G345" s="10" t="s">
        <v>1246</v>
      </c>
      <c r="H345" s="10" t="s">
        <v>1247</v>
      </c>
      <c r="I345" s="10" t="s">
        <v>1090</v>
      </c>
      <c r="J345" s="288" t="s">
        <v>1248</v>
      </c>
      <c r="K345" s="257" t="s">
        <v>501</v>
      </c>
      <c r="L345" s="257" t="s">
        <v>52</v>
      </c>
      <c r="M345" s="280">
        <v>44593</v>
      </c>
      <c r="N345" s="280">
        <v>44925</v>
      </c>
      <c r="O345" s="280">
        <v>44652</v>
      </c>
      <c r="P345" s="281">
        <f t="shared" si="39"/>
        <v>0.17771084337349397</v>
      </c>
      <c r="Q345" s="281">
        <f t="shared" ref="Q345:Q351" si="50">+IF(P345&gt;=100,100,IF(P345&lt;=0,0,P345))</f>
        <v>0.17771084337349397</v>
      </c>
      <c r="R345" s="282">
        <v>1</v>
      </c>
      <c r="S345" s="283">
        <v>0.25</v>
      </c>
      <c r="T345" s="283">
        <v>0.5</v>
      </c>
      <c r="U345" s="283">
        <v>0.75</v>
      </c>
      <c r="V345" s="283">
        <v>1</v>
      </c>
      <c r="W345" s="308">
        <v>0.25</v>
      </c>
      <c r="X345" s="283" t="s">
        <v>1249</v>
      </c>
      <c r="Y345" s="352" t="s">
        <v>1250</v>
      </c>
      <c r="Z345" s="284"/>
      <c r="AA345" s="285"/>
      <c r="AB345" s="285"/>
      <c r="AC345" s="284"/>
      <c r="AD345" s="285"/>
      <c r="AE345" s="285"/>
      <c r="AF345" s="284"/>
      <c r="AG345" s="285"/>
      <c r="AH345" s="285"/>
      <c r="AI345" s="286"/>
    </row>
    <row r="346" spans="1:35" ht="75" hidden="1" customHeight="1" outlineLevel="1" x14ac:dyDescent="0.2">
      <c r="A346" s="634"/>
      <c r="B346" s="546"/>
      <c r="C346" s="546"/>
      <c r="D346" s="516"/>
      <c r="E346" s="520"/>
      <c r="F346" s="520"/>
      <c r="G346" s="252" t="s">
        <v>1193</v>
      </c>
      <c r="H346" s="10" t="s">
        <v>1251</v>
      </c>
      <c r="I346" s="10" t="s">
        <v>1090</v>
      </c>
      <c r="J346" s="257" t="s">
        <v>1252</v>
      </c>
      <c r="K346" s="257" t="s">
        <v>501</v>
      </c>
      <c r="L346" s="257"/>
      <c r="M346" s="280">
        <v>44593</v>
      </c>
      <c r="N346" s="280">
        <v>44925</v>
      </c>
      <c r="O346" s="280">
        <v>44652</v>
      </c>
      <c r="P346" s="281">
        <f t="shared" si="39"/>
        <v>0.17771084337349397</v>
      </c>
      <c r="Q346" s="281">
        <f t="shared" si="50"/>
        <v>0.17771084337349397</v>
      </c>
      <c r="R346" s="282">
        <v>1</v>
      </c>
      <c r="S346" s="283">
        <v>0.25</v>
      </c>
      <c r="T346" s="283">
        <v>0.5</v>
      </c>
      <c r="U346" s="283">
        <v>0.75</v>
      </c>
      <c r="V346" s="283">
        <v>1</v>
      </c>
      <c r="W346" s="308">
        <v>0.4</v>
      </c>
      <c r="X346" s="283" t="s">
        <v>1253</v>
      </c>
      <c r="Y346" s="352" t="s">
        <v>1254</v>
      </c>
      <c r="Z346" s="284"/>
      <c r="AA346" s="285"/>
      <c r="AB346" s="285"/>
      <c r="AC346" s="284"/>
      <c r="AD346" s="285"/>
      <c r="AE346" s="285"/>
      <c r="AF346" s="284"/>
      <c r="AG346" s="285"/>
      <c r="AH346" s="285"/>
      <c r="AI346" s="286"/>
    </row>
    <row r="347" spans="1:35" ht="108" hidden="1" customHeight="1" outlineLevel="1" x14ac:dyDescent="0.2">
      <c r="A347" s="634"/>
      <c r="B347" s="546"/>
      <c r="C347" s="546"/>
      <c r="D347" s="516"/>
      <c r="E347" s="518" t="s">
        <v>1075</v>
      </c>
      <c r="F347" s="518" t="s">
        <v>181</v>
      </c>
      <c r="G347" s="528" t="s">
        <v>1255</v>
      </c>
      <c r="H347" s="10" t="s">
        <v>1170</v>
      </c>
      <c r="I347" s="528" t="s">
        <v>184</v>
      </c>
      <c r="J347" s="257" t="s">
        <v>1256</v>
      </c>
      <c r="K347" s="257" t="s">
        <v>501</v>
      </c>
      <c r="L347" s="257"/>
      <c r="M347" s="280">
        <v>44593</v>
      </c>
      <c r="N347" s="280">
        <v>44925</v>
      </c>
      <c r="O347" s="280">
        <v>44652</v>
      </c>
      <c r="P347" s="281">
        <f t="shared" si="39"/>
        <v>0.17771084337349397</v>
      </c>
      <c r="Q347" s="281">
        <f t="shared" si="50"/>
        <v>0.17771084337349397</v>
      </c>
      <c r="R347" s="282">
        <v>1</v>
      </c>
      <c r="S347" s="283">
        <v>0.25</v>
      </c>
      <c r="T347" s="283">
        <v>0.5</v>
      </c>
      <c r="U347" s="283">
        <v>0.75</v>
      </c>
      <c r="V347" s="283">
        <v>1</v>
      </c>
      <c r="W347" s="308">
        <v>0.5</v>
      </c>
      <c r="X347" s="283" t="s">
        <v>1257</v>
      </c>
      <c r="Y347" s="352" t="s">
        <v>1258</v>
      </c>
      <c r="Z347" s="284"/>
      <c r="AA347" s="285"/>
      <c r="AB347" s="285"/>
      <c r="AC347" s="284"/>
      <c r="AD347" s="285"/>
      <c r="AE347" s="285"/>
      <c r="AF347" s="284"/>
      <c r="AG347" s="285"/>
      <c r="AH347" s="285"/>
      <c r="AI347" s="286"/>
    </row>
    <row r="348" spans="1:35" ht="135.6" hidden="1" customHeight="1" outlineLevel="1" x14ac:dyDescent="0.2">
      <c r="A348" s="634"/>
      <c r="B348" s="546"/>
      <c r="C348" s="546"/>
      <c r="D348" s="516"/>
      <c r="E348" s="519"/>
      <c r="F348" s="519"/>
      <c r="G348" s="529"/>
      <c r="H348" s="10" t="s">
        <v>1259</v>
      </c>
      <c r="I348" s="529"/>
      <c r="J348" s="257" t="s">
        <v>1260</v>
      </c>
      <c r="K348" s="257" t="s">
        <v>501</v>
      </c>
      <c r="L348" s="257"/>
      <c r="M348" s="280">
        <v>44593</v>
      </c>
      <c r="N348" s="280">
        <v>44925</v>
      </c>
      <c r="O348" s="280">
        <v>44652</v>
      </c>
      <c r="P348" s="281">
        <f t="shared" si="39"/>
        <v>0.17771084337349397</v>
      </c>
      <c r="Q348" s="281">
        <f t="shared" si="50"/>
        <v>0.17771084337349397</v>
      </c>
      <c r="R348" s="282">
        <v>1</v>
      </c>
      <c r="S348" s="283">
        <v>0.25</v>
      </c>
      <c r="T348" s="283">
        <v>0.5</v>
      </c>
      <c r="U348" s="283">
        <v>0.75</v>
      </c>
      <c r="V348" s="283">
        <v>1</v>
      </c>
      <c r="W348" s="308">
        <v>0</v>
      </c>
      <c r="X348" s="283" t="s">
        <v>1221</v>
      </c>
      <c r="Y348" s="352" t="s">
        <v>52</v>
      </c>
      <c r="Z348" s="284"/>
      <c r="AA348" s="285"/>
      <c r="AB348" s="285"/>
      <c r="AC348" s="284"/>
      <c r="AD348" s="285"/>
      <c r="AE348" s="285"/>
      <c r="AF348" s="284"/>
      <c r="AG348" s="285"/>
      <c r="AH348" s="285"/>
      <c r="AI348" s="286"/>
    </row>
    <row r="349" spans="1:35" ht="87.75" hidden="1" customHeight="1" outlineLevel="1" x14ac:dyDescent="0.2">
      <c r="A349" s="634"/>
      <c r="B349" s="546"/>
      <c r="C349" s="546"/>
      <c r="D349" s="516"/>
      <c r="E349" s="519"/>
      <c r="F349" s="519"/>
      <c r="G349" s="529"/>
      <c r="H349" s="10" t="s">
        <v>1261</v>
      </c>
      <c r="I349" s="529"/>
      <c r="J349" s="257" t="s">
        <v>1262</v>
      </c>
      <c r="K349" s="257" t="s">
        <v>501</v>
      </c>
      <c r="L349" s="257"/>
      <c r="M349" s="280">
        <v>44593</v>
      </c>
      <c r="N349" s="280">
        <v>44925</v>
      </c>
      <c r="O349" s="280">
        <v>44652</v>
      </c>
      <c r="P349" s="281">
        <f t="shared" si="39"/>
        <v>0.17771084337349397</v>
      </c>
      <c r="Q349" s="281">
        <f t="shared" si="50"/>
        <v>0.17771084337349397</v>
      </c>
      <c r="R349" s="282">
        <v>1</v>
      </c>
      <c r="S349" s="283">
        <v>0.25</v>
      </c>
      <c r="T349" s="283">
        <v>0.5</v>
      </c>
      <c r="U349" s="283">
        <v>0.75</v>
      </c>
      <c r="V349" s="283">
        <v>1</v>
      </c>
      <c r="W349" s="308">
        <v>0.33</v>
      </c>
      <c r="X349" s="283" t="s">
        <v>1263</v>
      </c>
      <c r="Y349" s="352" t="s">
        <v>187</v>
      </c>
      <c r="Z349" s="284"/>
      <c r="AA349" s="285"/>
      <c r="AB349" s="285"/>
      <c r="AC349" s="284"/>
      <c r="AD349" s="285"/>
      <c r="AE349" s="285"/>
      <c r="AF349" s="284"/>
      <c r="AG349" s="285"/>
      <c r="AH349" s="285"/>
      <c r="AI349" s="286"/>
    </row>
    <row r="350" spans="1:35" ht="36.6" hidden="1" customHeight="1" outlineLevel="1" x14ac:dyDescent="0.2">
      <c r="A350" s="634"/>
      <c r="B350" s="546"/>
      <c r="C350" s="546"/>
      <c r="D350" s="516"/>
      <c r="E350" s="520"/>
      <c r="F350" s="520"/>
      <c r="G350" s="530"/>
      <c r="H350" s="10" t="s">
        <v>1264</v>
      </c>
      <c r="I350" s="530"/>
      <c r="J350" s="12" t="s">
        <v>1265</v>
      </c>
      <c r="K350" s="257" t="s">
        <v>501</v>
      </c>
      <c r="L350" s="257"/>
      <c r="M350" s="280">
        <v>44593</v>
      </c>
      <c r="N350" s="280">
        <v>44925</v>
      </c>
      <c r="O350" s="280">
        <v>44652</v>
      </c>
      <c r="P350" s="281">
        <f t="shared" si="39"/>
        <v>0.17771084337349397</v>
      </c>
      <c r="Q350" s="281">
        <f t="shared" si="50"/>
        <v>0.17771084337349397</v>
      </c>
      <c r="R350" s="282">
        <v>1</v>
      </c>
      <c r="S350" s="283">
        <v>0.25</v>
      </c>
      <c r="T350" s="283">
        <v>0.5</v>
      </c>
      <c r="U350" s="283">
        <v>0.75</v>
      </c>
      <c r="V350" s="283">
        <v>1</v>
      </c>
      <c r="W350" s="308">
        <v>0</v>
      </c>
      <c r="X350" s="283" t="s">
        <v>1266</v>
      </c>
      <c r="Y350" s="352" t="s">
        <v>52</v>
      </c>
      <c r="Z350" s="284"/>
      <c r="AA350" s="285"/>
      <c r="AB350" s="285"/>
      <c r="AC350" s="284"/>
      <c r="AD350" s="285"/>
      <c r="AE350" s="285"/>
      <c r="AF350" s="284"/>
      <c r="AG350" s="285"/>
      <c r="AH350" s="285"/>
      <c r="AI350" s="286"/>
    </row>
    <row r="351" spans="1:35" ht="135.6" hidden="1" customHeight="1" outlineLevel="1" x14ac:dyDescent="0.2">
      <c r="A351" s="634"/>
      <c r="B351" s="546"/>
      <c r="C351" s="547"/>
      <c r="D351" s="516"/>
      <c r="E351" s="252" t="s">
        <v>1094</v>
      </c>
      <c r="F351" s="252" t="s">
        <v>1159</v>
      </c>
      <c r="G351" s="10" t="s">
        <v>1186</v>
      </c>
      <c r="H351" s="10" t="s">
        <v>1267</v>
      </c>
      <c r="I351" s="10" t="s">
        <v>1097</v>
      </c>
      <c r="J351" s="12" t="s">
        <v>1268</v>
      </c>
      <c r="K351" s="257" t="s">
        <v>501</v>
      </c>
      <c r="L351" s="257"/>
      <c r="M351" s="280">
        <v>44593</v>
      </c>
      <c r="N351" s="280">
        <v>44925</v>
      </c>
      <c r="O351" s="280">
        <v>44652</v>
      </c>
      <c r="P351" s="281">
        <f t="shared" si="39"/>
        <v>0.17771084337349397</v>
      </c>
      <c r="Q351" s="281">
        <f t="shared" si="50"/>
        <v>0.17771084337349397</v>
      </c>
      <c r="R351" s="282">
        <v>1</v>
      </c>
      <c r="S351" s="283">
        <v>0.25</v>
      </c>
      <c r="T351" s="283">
        <v>0.5</v>
      </c>
      <c r="U351" s="283">
        <v>0.75</v>
      </c>
      <c r="V351" s="283">
        <v>1</v>
      </c>
      <c r="W351" s="308">
        <v>0.5</v>
      </c>
      <c r="X351" s="283" t="s">
        <v>1269</v>
      </c>
      <c r="Y351" s="352" t="s">
        <v>1270</v>
      </c>
      <c r="Z351" s="284"/>
      <c r="AA351" s="285"/>
      <c r="AB351" s="285"/>
      <c r="AC351" s="284"/>
      <c r="AD351" s="285"/>
      <c r="AE351" s="285"/>
      <c r="AF351" s="284"/>
      <c r="AG351" s="285"/>
      <c r="AH351" s="285"/>
      <c r="AI351" s="286"/>
    </row>
    <row r="352" spans="1:35" ht="75" hidden="1" customHeight="1" outlineLevel="1" x14ac:dyDescent="0.2">
      <c r="A352" s="634"/>
      <c r="B352" s="546"/>
      <c r="C352" s="545" t="s">
        <v>1101</v>
      </c>
      <c r="D352" s="516"/>
      <c r="E352" s="518" t="s">
        <v>1271</v>
      </c>
      <c r="F352" s="518" t="s">
        <v>102</v>
      </c>
      <c r="G352" s="528" t="s">
        <v>1272</v>
      </c>
      <c r="H352" s="10" t="s">
        <v>1273</v>
      </c>
      <c r="I352" s="10" t="s">
        <v>104</v>
      </c>
      <c r="J352" s="611" t="s">
        <v>1274</v>
      </c>
      <c r="K352" s="257" t="s">
        <v>501</v>
      </c>
      <c r="L352" s="257"/>
      <c r="M352" s="280">
        <v>44593</v>
      </c>
      <c r="N352" s="280">
        <v>44925</v>
      </c>
      <c r="O352" s="280">
        <v>44652</v>
      </c>
      <c r="P352" s="281">
        <f t="shared" si="39"/>
        <v>0.17771084337349397</v>
      </c>
      <c r="Q352" s="281">
        <f t="shared" si="45"/>
        <v>0.17771084337349397</v>
      </c>
      <c r="R352" s="282">
        <v>1</v>
      </c>
      <c r="S352" s="283">
        <v>0.25</v>
      </c>
      <c r="T352" s="283">
        <v>0.5</v>
      </c>
      <c r="U352" s="283">
        <v>0.75</v>
      </c>
      <c r="V352" s="283">
        <v>1</v>
      </c>
      <c r="W352" s="308">
        <v>0</v>
      </c>
      <c r="X352" s="283" t="s">
        <v>1221</v>
      </c>
      <c r="Y352" s="352" t="s">
        <v>52</v>
      </c>
      <c r="Z352" s="284"/>
      <c r="AA352" s="285"/>
      <c r="AB352" s="285"/>
      <c r="AC352" s="284"/>
      <c r="AD352" s="285"/>
      <c r="AE352" s="285"/>
      <c r="AF352" s="284"/>
      <c r="AG352" s="285"/>
      <c r="AH352" s="285"/>
      <c r="AI352" s="286"/>
    </row>
    <row r="353" spans="1:35" ht="73.5" hidden="1" customHeight="1" outlineLevel="1" x14ac:dyDescent="0.2">
      <c r="A353" s="634"/>
      <c r="B353" s="546"/>
      <c r="C353" s="546"/>
      <c r="D353" s="516"/>
      <c r="E353" s="519"/>
      <c r="F353" s="519"/>
      <c r="G353" s="529"/>
      <c r="H353" s="10" t="s">
        <v>1144</v>
      </c>
      <c r="I353" s="10" t="s">
        <v>104</v>
      </c>
      <c r="J353" s="612"/>
      <c r="K353" s="257" t="s">
        <v>501</v>
      </c>
      <c r="L353" s="257"/>
      <c r="M353" s="280">
        <v>44593</v>
      </c>
      <c r="N353" s="280">
        <v>44925</v>
      </c>
      <c r="O353" s="280">
        <v>44652</v>
      </c>
      <c r="P353" s="281">
        <f t="shared" si="39"/>
        <v>0.17771084337349397</v>
      </c>
      <c r="Q353" s="281">
        <f t="shared" ref="Q353:Q361" si="51">+IF(P353&gt;=100,100,IF(P353&lt;=0,0,P353))</f>
        <v>0.17771084337349397</v>
      </c>
      <c r="R353" s="282">
        <v>1</v>
      </c>
      <c r="S353" s="283">
        <v>0.25</v>
      </c>
      <c r="T353" s="283">
        <v>0.5</v>
      </c>
      <c r="U353" s="283">
        <v>0.75</v>
      </c>
      <c r="V353" s="283">
        <v>1</v>
      </c>
      <c r="W353" s="308">
        <v>0.5</v>
      </c>
      <c r="X353" s="283" t="s">
        <v>1275</v>
      </c>
      <c r="Y353" s="352" t="s">
        <v>1276</v>
      </c>
      <c r="Z353" s="284"/>
      <c r="AA353" s="285"/>
      <c r="AB353" s="285"/>
      <c r="AC353" s="284"/>
      <c r="AD353" s="285"/>
      <c r="AE353" s="285"/>
      <c r="AF353" s="284"/>
      <c r="AG353" s="285"/>
      <c r="AH353" s="285"/>
      <c r="AI353" s="286"/>
    </row>
    <row r="354" spans="1:35" ht="36.6" hidden="1" customHeight="1" outlineLevel="1" x14ac:dyDescent="0.2">
      <c r="A354" s="634"/>
      <c r="B354" s="546"/>
      <c r="C354" s="546"/>
      <c r="D354" s="516"/>
      <c r="E354" s="519"/>
      <c r="F354" s="519"/>
      <c r="G354" s="529"/>
      <c r="H354" s="10" t="s">
        <v>1277</v>
      </c>
      <c r="I354" s="10" t="s">
        <v>104</v>
      </c>
      <c r="J354" s="612"/>
      <c r="K354" s="257" t="s">
        <v>501</v>
      </c>
      <c r="L354" s="257"/>
      <c r="M354" s="280">
        <v>44593</v>
      </c>
      <c r="N354" s="280">
        <v>44925</v>
      </c>
      <c r="O354" s="280">
        <v>44652</v>
      </c>
      <c r="P354" s="281">
        <f t="shared" si="39"/>
        <v>0.17771084337349397</v>
      </c>
      <c r="Q354" s="281">
        <f t="shared" si="51"/>
        <v>0.17771084337349397</v>
      </c>
      <c r="R354" s="282">
        <v>1</v>
      </c>
      <c r="S354" s="283">
        <v>0.25</v>
      </c>
      <c r="T354" s="283">
        <v>0.5</v>
      </c>
      <c r="U354" s="283">
        <v>0.75</v>
      </c>
      <c r="V354" s="283">
        <v>1</v>
      </c>
      <c r="W354" s="308">
        <v>0</v>
      </c>
      <c r="X354" s="283" t="s">
        <v>1221</v>
      </c>
      <c r="Y354" s="352" t="s">
        <v>52</v>
      </c>
      <c r="Z354" s="284"/>
      <c r="AA354" s="285"/>
      <c r="AB354" s="285"/>
      <c r="AC354" s="284"/>
      <c r="AD354" s="285"/>
      <c r="AE354" s="285"/>
      <c r="AF354" s="284"/>
      <c r="AG354" s="285"/>
      <c r="AH354" s="285"/>
      <c r="AI354" s="286"/>
    </row>
    <row r="355" spans="1:35" ht="75" hidden="1" customHeight="1" outlineLevel="1" x14ac:dyDescent="0.2">
      <c r="A355" s="634"/>
      <c r="B355" s="546"/>
      <c r="C355" s="546"/>
      <c r="D355" s="516"/>
      <c r="E355" s="519"/>
      <c r="F355" s="519"/>
      <c r="G355" s="529"/>
      <c r="H355" s="10" t="s">
        <v>1278</v>
      </c>
      <c r="I355" s="10" t="s">
        <v>104</v>
      </c>
      <c r="J355" s="612"/>
      <c r="K355" s="257" t="s">
        <v>501</v>
      </c>
      <c r="L355" s="257"/>
      <c r="M355" s="280">
        <v>44593</v>
      </c>
      <c r="N355" s="280">
        <v>44925</v>
      </c>
      <c r="O355" s="280">
        <v>44652</v>
      </c>
      <c r="P355" s="281">
        <f t="shared" si="39"/>
        <v>0.17771084337349397</v>
      </c>
      <c r="Q355" s="281">
        <f t="shared" si="51"/>
        <v>0.17771084337349397</v>
      </c>
      <c r="R355" s="282">
        <v>1</v>
      </c>
      <c r="S355" s="283">
        <v>0.25</v>
      </c>
      <c r="T355" s="283">
        <v>0.5</v>
      </c>
      <c r="U355" s="283">
        <v>0.75</v>
      </c>
      <c r="V355" s="283">
        <v>1</v>
      </c>
      <c r="W355" s="308">
        <v>0</v>
      </c>
      <c r="X355" s="283" t="s">
        <v>1221</v>
      </c>
      <c r="Y355" s="352" t="s">
        <v>52</v>
      </c>
      <c r="Z355" s="284"/>
      <c r="AA355" s="285"/>
      <c r="AB355" s="285"/>
      <c r="AC355" s="284"/>
      <c r="AD355" s="285"/>
      <c r="AE355" s="285"/>
      <c r="AF355" s="284"/>
      <c r="AG355" s="285"/>
      <c r="AH355" s="285"/>
      <c r="AI355" s="286"/>
    </row>
    <row r="356" spans="1:35" ht="63.75" hidden="1" customHeight="1" outlineLevel="1" x14ac:dyDescent="0.2">
      <c r="A356" s="634"/>
      <c r="B356" s="546"/>
      <c r="C356" s="546"/>
      <c r="D356" s="516"/>
      <c r="E356" s="519"/>
      <c r="F356" s="519"/>
      <c r="G356" s="529"/>
      <c r="H356" s="10" t="s">
        <v>1279</v>
      </c>
      <c r="I356" s="10" t="s">
        <v>104</v>
      </c>
      <c r="J356" s="612"/>
      <c r="K356" s="257" t="s">
        <v>501</v>
      </c>
      <c r="L356" s="257"/>
      <c r="M356" s="280">
        <v>44593</v>
      </c>
      <c r="N356" s="280">
        <v>44925</v>
      </c>
      <c r="O356" s="280">
        <v>44652</v>
      </c>
      <c r="P356" s="281">
        <f t="shared" si="39"/>
        <v>0.17771084337349397</v>
      </c>
      <c r="Q356" s="281">
        <f t="shared" si="51"/>
        <v>0.17771084337349397</v>
      </c>
      <c r="R356" s="282">
        <v>1</v>
      </c>
      <c r="S356" s="283">
        <v>0.25</v>
      </c>
      <c r="T356" s="283">
        <v>0.5</v>
      </c>
      <c r="U356" s="283">
        <v>0.75</v>
      </c>
      <c r="V356" s="283">
        <v>1</v>
      </c>
      <c r="W356" s="308">
        <v>0</v>
      </c>
      <c r="X356" s="283" t="s">
        <v>1221</v>
      </c>
      <c r="Y356" s="352" t="s">
        <v>52</v>
      </c>
      <c r="Z356" s="284"/>
      <c r="AA356" s="285"/>
      <c r="AB356" s="285"/>
      <c r="AC356" s="284"/>
      <c r="AD356" s="285"/>
      <c r="AE356" s="285"/>
      <c r="AF356" s="284"/>
      <c r="AG356" s="285"/>
      <c r="AH356" s="285"/>
      <c r="AI356" s="286"/>
    </row>
    <row r="357" spans="1:35" ht="117.75" hidden="1" customHeight="1" outlineLevel="1" x14ac:dyDescent="0.2">
      <c r="A357" s="634"/>
      <c r="B357" s="546"/>
      <c r="C357" s="546"/>
      <c r="D357" s="516"/>
      <c r="E357" s="519"/>
      <c r="F357" s="519"/>
      <c r="G357" s="529"/>
      <c r="H357" s="10" t="s">
        <v>1108</v>
      </c>
      <c r="I357" s="10" t="s">
        <v>104</v>
      </c>
      <c r="J357" s="612"/>
      <c r="K357" s="257" t="s">
        <v>501</v>
      </c>
      <c r="L357" s="257"/>
      <c r="M357" s="280">
        <v>44593</v>
      </c>
      <c r="N357" s="280">
        <v>44925</v>
      </c>
      <c r="O357" s="280">
        <v>44652</v>
      </c>
      <c r="P357" s="281">
        <f t="shared" si="39"/>
        <v>0.17771084337349397</v>
      </c>
      <c r="Q357" s="281">
        <f t="shared" si="51"/>
        <v>0.17771084337349397</v>
      </c>
      <c r="R357" s="282">
        <v>1</v>
      </c>
      <c r="S357" s="283">
        <v>0.25</v>
      </c>
      <c r="T357" s="283">
        <v>0.5</v>
      </c>
      <c r="U357" s="283">
        <v>0.75</v>
      </c>
      <c r="V357" s="283">
        <v>1</v>
      </c>
      <c r="W357" s="308">
        <v>0</v>
      </c>
      <c r="X357" s="283" t="s">
        <v>1221</v>
      </c>
      <c r="Y357" s="352" t="s">
        <v>52</v>
      </c>
      <c r="Z357" s="284"/>
      <c r="AA357" s="285"/>
      <c r="AB357" s="285"/>
      <c r="AC357" s="284"/>
      <c r="AD357" s="285"/>
      <c r="AE357" s="285"/>
      <c r="AF357" s="284"/>
      <c r="AG357" s="285"/>
      <c r="AH357" s="285"/>
      <c r="AI357" s="286"/>
    </row>
    <row r="358" spans="1:35" ht="77.25" hidden="1" customHeight="1" outlineLevel="1" x14ac:dyDescent="0.2">
      <c r="A358" s="634"/>
      <c r="B358" s="546"/>
      <c r="C358" s="546"/>
      <c r="D358" s="516"/>
      <c r="E358" s="519"/>
      <c r="F358" s="519"/>
      <c r="G358" s="529"/>
      <c r="H358" s="10" t="s">
        <v>1135</v>
      </c>
      <c r="I358" s="10" t="s">
        <v>104</v>
      </c>
      <c r="J358" s="612"/>
      <c r="K358" s="257" t="s">
        <v>501</v>
      </c>
      <c r="L358" s="257"/>
      <c r="M358" s="280">
        <v>44593</v>
      </c>
      <c r="N358" s="280">
        <v>44925</v>
      </c>
      <c r="O358" s="280">
        <v>44652</v>
      </c>
      <c r="P358" s="281">
        <f t="shared" si="39"/>
        <v>0.17771084337349397</v>
      </c>
      <c r="Q358" s="281">
        <f t="shared" si="51"/>
        <v>0.17771084337349397</v>
      </c>
      <c r="R358" s="282">
        <v>1</v>
      </c>
      <c r="S358" s="283">
        <v>0.25</v>
      </c>
      <c r="T358" s="283">
        <v>0.5</v>
      </c>
      <c r="U358" s="283">
        <v>0.75</v>
      </c>
      <c r="V358" s="283">
        <v>1</v>
      </c>
      <c r="W358" s="308">
        <v>0</v>
      </c>
      <c r="X358" s="283" t="s">
        <v>1221</v>
      </c>
      <c r="Y358" s="352" t="s">
        <v>52</v>
      </c>
      <c r="Z358" s="284"/>
      <c r="AA358" s="285"/>
      <c r="AB358" s="285"/>
      <c r="AC358" s="284"/>
      <c r="AD358" s="285"/>
      <c r="AE358" s="285"/>
      <c r="AF358" s="284"/>
      <c r="AG358" s="285"/>
      <c r="AH358" s="285"/>
      <c r="AI358" s="286"/>
    </row>
    <row r="359" spans="1:35" ht="75" hidden="1" customHeight="1" outlineLevel="1" x14ac:dyDescent="0.2">
      <c r="A359" s="634"/>
      <c r="B359" s="546"/>
      <c r="C359" s="546"/>
      <c r="D359" s="516"/>
      <c r="E359" s="519"/>
      <c r="F359" s="519"/>
      <c r="G359" s="529"/>
      <c r="H359" s="10" t="s">
        <v>1137</v>
      </c>
      <c r="I359" s="10" t="s">
        <v>104</v>
      </c>
      <c r="J359" s="612"/>
      <c r="K359" s="257" t="s">
        <v>501</v>
      </c>
      <c r="L359" s="257"/>
      <c r="M359" s="280">
        <v>44593</v>
      </c>
      <c r="N359" s="280">
        <v>44925</v>
      </c>
      <c r="O359" s="280">
        <v>44652</v>
      </c>
      <c r="P359" s="281">
        <f t="shared" ref="P359:P422" si="52">+(+_xlfn.DAYS(M359,O359))/(+_xlfn.DAYS(M359,N359))</f>
        <v>0.17771084337349397</v>
      </c>
      <c r="Q359" s="281">
        <f t="shared" si="51"/>
        <v>0.17771084337349397</v>
      </c>
      <c r="R359" s="282">
        <v>1</v>
      </c>
      <c r="S359" s="283">
        <v>0.25</v>
      </c>
      <c r="T359" s="283">
        <v>0.5</v>
      </c>
      <c r="U359" s="283">
        <v>0.75</v>
      </c>
      <c r="V359" s="283">
        <v>1</v>
      </c>
      <c r="W359" s="308">
        <v>0.5</v>
      </c>
      <c r="X359" s="283" t="s">
        <v>1280</v>
      </c>
      <c r="Y359" s="352" t="s">
        <v>1281</v>
      </c>
      <c r="Z359" s="284"/>
      <c r="AA359" s="285"/>
      <c r="AB359" s="285"/>
      <c r="AC359" s="284"/>
      <c r="AD359" s="285"/>
      <c r="AE359" s="285"/>
      <c r="AF359" s="284"/>
      <c r="AG359" s="285"/>
      <c r="AH359" s="285"/>
      <c r="AI359" s="286"/>
    </row>
    <row r="360" spans="1:35" ht="108" hidden="1" customHeight="1" outlineLevel="1" x14ac:dyDescent="0.2">
      <c r="A360" s="634"/>
      <c r="B360" s="546"/>
      <c r="C360" s="546"/>
      <c r="D360" s="516"/>
      <c r="E360" s="519"/>
      <c r="F360" s="519"/>
      <c r="G360" s="529"/>
      <c r="H360" s="10" t="s">
        <v>1138</v>
      </c>
      <c r="I360" s="10" t="s">
        <v>104</v>
      </c>
      <c r="J360" s="612"/>
      <c r="K360" s="257" t="s">
        <v>501</v>
      </c>
      <c r="L360" s="257"/>
      <c r="M360" s="280">
        <v>44593</v>
      </c>
      <c r="N360" s="280">
        <v>44925</v>
      </c>
      <c r="O360" s="280">
        <v>44652</v>
      </c>
      <c r="P360" s="281">
        <f t="shared" si="52"/>
        <v>0.17771084337349397</v>
      </c>
      <c r="Q360" s="281">
        <f t="shared" si="51"/>
        <v>0.17771084337349397</v>
      </c>
      <c r="R360" s="282">
        <v>1</v>
      </c>
      <c r="S360" s="283">
        <v>0.25</v>
      </c>
      <c r="T360" s="283">
        <v>0.5</v>
      </c>
      <c r="U360" s="283">
        <v>0.75</v>
      </c>
      <c r="V360" s="283">
        <v>1</v>
      </c>
      <c r="W360" s="308">
        <v>0.5</v>
      </c>
      <c r="X360" s="283" t="s">
        <v>1282</v>
      </c>
      <c r="Y360" s="352" t="s">
        <v>1281</v>
      </c>
      <c r="Z360" s="284"/>
      <c r="AA360" s="285"/>
      <c r="AB360" s="285"/>
      <c r="AC360" s="284"/>
      <c r="AD360" s="285"/>
      <c r="AE360" s="285"/>
      <c r="AF360" s="284"/>
      <c r="AG360" s="285"/>
      <c r="AH360" s="285"/>
      <c r="AI360" s="286"/>
    </row>
    <row r="361" spans="1:35" ht="135.6" hidden="1" customHeight="1" outlineLevel="1" x14ac:dyDescent="0.2">
      <c r="A361" s="634"/>
      <c r="B361" s="546"/>
      <c r="C361" s="547"/>
      <c r="D361" s="516"/>
      <c r="E361" s="520"/>
      <c r="F361" s="520"/>
      <c r="G361" s="530"/>
      <c r="H361" s="10" t="s">
        <v>1140</v>
      </c>
      <c r="I361" s="10" t="s">
        <v>104</v>
      </c>
      <c r="J361" s="613"/>
      <c r="K361" s="257" t="s">
        <v>501</v>
      </c>
      <c r="L361" s="257"/>
      <c r="M361" s="280">
        <v>44593</v>
      </c>
      <c r="N361" s="280">
        <v>44925</v>
      </c>
      <c r="O361" s="280">
        <v>44652</v>
      </c>
      <c r="P361" s="281">
        <f t="shared" si="52"/>
        <v>0.17771084337349397</v>
      </c>
      <c r="Q361" s="281">
        <f t="shared" si="51"/>
        <v>0.17771084337349397</v>
      </c>
      <c r="R361" s="282">
        <v>1</v>
      </c>
      <c r="S361" s="283">
        <v>0.25</v>
      </c>
      <c r="T361" s="283">
        <v>0.5</v>
      </c>
      <c r="U361" s="283">
        <v>0.75</v>
      </c>
      <c r="V361" s="283">
        <v>1</v>
      </c>
      <c r="W361" s="308">
        <v>0.5</v>
      </c>
      <c r="X361" s="283" t="s">
        <v>1283</v>
      </c>
      <c r="Y361" s="352" t="s">
        <v>1284</v>
      </c>
      <c r="Z361" s="284"/>
      <c r="AA361" s="285"/>
      <c r="AB361" s="285"/>
      <c r="AC361" s="284"/>
      <c r="AD361" s="285"/>
      <c r="AE361" s="285"/>
      <c r="AF361" s="284"/>
      <c r="AG361" s="285"/>
      <c r="AH361" s="285"/>
      <c r="AI361" s="286"/>
    </row>
    <row r="362" spans="1:35" ht="46.15" hidden="1" customHeight="1" outlineLevel="1" x14ac:dyDescent="0.2">
      <c r="A362" s="634"/>
      <c r="B362" s="546"/>
      <c r="C362" s="545" t="s">
        <v>1055</v>
      </c>
      <c r="D362" s="516"/>
      <c r="E362" s="518" t="s">
        <v>788</v>
      </c>
      <c r="F362" s="518" t="s">
        <v>446</v>
      </c>
      <c r="G362" s="10" t="s">
        <v>1285</v>
      </c>
      <c r="H362" s="10" t="s">
        <v>1286</v>
      </c>
      <c r="I362" s="528" t="s">
        <v>449</v>
      </c>
      <c r="J362" s="12" t="s">
        <v>1287</v>
      </c>
      <c r="K362" s="257" t="s">
        <v>501</v>
      </c>
      <c r="L362" s="257"/>
      <c r="M362" s="280">
        <v>44593</v>
      </c>
      <c r="N362" s="280">
        <v>44925</v>
      </c>
      <c r="O362" s="280">
        <v>44652</v>
      </c>
      <c r="P362" s="281">
        <f t="shared" si="52"/>
        <v>0.17771084337349397</v>
      </c>
      <c r="Q362" s="281">
        <f t="shared" si="45"/>
        <v>0.17771084337349397</v>
      </c>
      <c r="R362" s="282">
        <v>1</v>
      </c>
      <c r="S362" s="283">
        <v>0.25</v>
      </c>
      <c r="T362" s="283">
        <v>0.5</v>
      </c>
      <c r="U362" s="283">
        <v>0.75</v>
      </c>
      <c r="V362" s="283">
        <v>1</v>
      </c>
      <c r="W362" s="308">
        <v>0</v>
      </c>
      <c r="X362" s="283" t="s">
        <v>1266</v>
      </c>
      <c r="Y362" s="352" t="s">
        <v>52</v>
      </c>
      <c r="Z362" s="284"/>
      <c r="AA362" s="285"/>
      <c r="AB362" s="285"/>
      <c r="AC362" s="284"/>
      <c r="AD362" s="285"/>
      <c r="AE362" s="285"/>
      <c r="AF362" s="284"/>
      <c r="AG362" s="285"/>
      <c r="AH362" s="285"/>
      <c r="AI362" s="286"/>
    </row>
    <row r="363" spans="1:35" ht="46.5" hidden="1" customHeight="1" outlineLevel="1" x14ac:dyDescent="0.2">
      <c r="A363" s="634"/>
      <c r="B363" s="546"/>
      <c r="C363" s="546"/>
      <c r="D363" s="516"/>
      <c r="E363" s="519"/>
      <c r="F363" s="519"/>
      <c r="G363" s="528" t="s">
        <v>76</v>
      </c>
      <c r="H363" s="10" t="s">
        <v>1288</v>
      </c>
      <c r="I363" s="529"/>
      <c r="J363" s="257" t="s">
        <v>1289</v>
      </c>
      <c r="K363" s="257" t="s">
        <v>501</v>
      </c>
      <c r="L363" s="257"/>
      <c r="M363" s="280">
        <v>44593</v>
      </c>
      <c r="N363" s="280">
        <v>44925</v>
      </c>
      <c r="O363" s="280">
        <v>44652</v>
      </c>
      <c r="P363" s="281">
        <f t="shared" si="52"/>
        <v>0.17771084337349397</v>
      </c>
      <c r="Q363" s="281">
        <f t="shared" si="45"/>
        <v>0.17771084337349397</v>
      </c>
      <c r="R363" s="282">
        <v>1</v>
      </c>
      <c r="S363" s="283">
        <v>0.25</v>
      </c>
      <c r="T363" s="283">
        <v>0.5</v>
      </c>
      <c r="U363" s="283">
        <v>0.75</v>
      </c>
      <c r="V363" s="283">
        <v>1</v>
      </c>
      <c r="W363" s="308">
        <v>0</v>
      </c>
      <c r="X363" s="283" t="s">
        <v>1221</v>
      </c>
      <c r="Y363" s="352" t="s">
        <v>52</v>
      </c>
      <c r="Z363" s="284"/>
      <c r="AA363" s="285"/>
      <c r="AB363" s="285"/>
      <c r="AC363" s="284"/>
      <c r="AD363" s="285"/>
      <c r="AE363" s="285"/>
      <c r="AF363" s="284"/>
      <c r="AG363" s="285"/>
      <c r="AH363" s="285"/>
      <c r="AI363" s="286"/>
    </row>
    <row r="364" spans="1:35" ht="46.15" hidden="1" customHeight="1" outlineLevel="1" x14ac:dyDescent="0.2">
      <c r="A364" s="634"/>
      <c r="B364" s="547"/>
      <c r="C364" s="547"/>
      <c r="D364" s="516"/>
      <c r="E364" s="520"/>
      <c r="F364" s="520"/>
      <c r="G364" s="530"/>
      <c r="H364" s="10" t="s">
        <v>1290</v>
      </c>
      <c r="I364" s="530"/>
      <c r="J364" s="257" t="s">
        <v>1291</v>
      </c>
      <c r="K364" s="257" t="s">
        <v>501</v>
      </c>
      <c r="L364" s="257"/>
      <c r="M364" s="280">
        <v>44593</v>
      </c>
      <c r="N364" s="280">
        <v>44925</v>
      </c>
      <c r="O364" s="280">
        <v>44652</v>
      </c>
      <c r="P364" s="281">
        <f t="shared" si="52"/>
        <v>0.17771084337349397</v>
      </c>
      <c r="Q364" s="281">
        <f t="shared" si="45"/>
        <v>0.17771084337349397</v>
      </c>
      <c r="R364" s="282">
        <v>1</v>
      </c>
      <c r="S364" s="283">
        <v>0.25</v>
      </c>
      <c r="T364" s="283">
        <v>0.5</v>
      </c>
      <c r="U364" s="283">
        <v>0.75</v>
      </c>
      <c r="V364" s="283">
        <v>1</v>
      </c>
      <c r="W364" s="308">
        <v>0</v>
      </c>
      <c r="X364" s="283" t="s">
        <v>1221</v>
      </c>
      <c r="Y364" s="352" t="s">
        <v>52</v>
      </c>
      <c r="Z364" s="284"/>
      <c r="AA364" s="285"/>
      <c r="AB364" s="285"/>
      <c r="AC364" s="284"/>
      <c r="AD364" s="285"/>
      <c r="AE364" s="285"/>
      <c r="AF364" s="284"/>
      <c r="AG364" s="285"/>
      <c r="AH364" s="285"/>
      <c r="AI364" s="286"/>
    </row>
    <row r="365" spans="1:35" ht="90.75" hidden="1" customHeight="1" outlineLevel="1" x14ac:dyDescent="0.2">
      <c r="A365" s="634"/>
      <c r="B365" s="545" t="s">
        <v>868</v>
      </c>
      <c r="C365" s="545" t="s">
        <v>869</v>
      </c>
      <c r="D365" s="516"/>
      <c r="E365" s="518" t="s">
        <v>1292</v>
      </c>
      <c r="F365" s="518" t="s">
        <v>1293</v>
      </c>
      <c r="G365" s="10" t="s">
        <v>1294</v>
      </c>
      <c r="H365" s="10" t="s">
        <v>1295</v>
      </c>
      <c r="I365" s="10" t="s">
        <v>256</v>
      </c>
      <c r="J365" s="257" t="s">
        <v>1296</v>
      </c>
      <c r="K365" s="257" t="s">
        <v>501</v>
      </c>
      <c r="L365" s="257"/>
      <c r="M365" s="280">
        <v>44593</v>
      </c>
      <c r="N365" s="280">
        <v>44925</v>
      </c>
      <c r="O365" s="280">
        <v>44652</v>
      </c>
      <c r="P365" s="281">
        <f t="shared" si="52"/>
        <v>0.17771084337349397</v>
      </c>
      <c r="Q365" s="281">
        <f t="shared" si="45"/>
        <v>0.17771084337349397</v>
      </c>
      <c r="R365" s="282">
        <v>1</v>
      </c>
      <c r="S365" s="283">
        <v>0.25</v>
      </c>
      <c r="T365" s="283">
        <v>0.5</v>
      </c>
      <c r="U365" s="283">
        <v>0.75</v>
      </c>
      <c r="V365" s="283">
        <v>1</v>
      </c>
      <c r="W365" s="308">
        <v>0.5</v>
      </c>
      <c r="X365" s="283" t="s">
        <v>1297</v>
      </c>
      <c r="Y365" s="352" t="s">
        <v>237</v>
      </c>
      <c r="Z365" s="284"/>
      <c r="AA365" s="285"/>
      <c r="AB365" s="285"/>
      <c r="AC365" s="284"/>
      <c r="AD365" s="285"/>
      <c r="AE365" s="285"/>
      <c r="AF365" s="284"/>
      <c r="AG365" s="285"/>
      <c r="AH365" s="285"/>
      <c r="AI365" s="286"/>
    </row>
    <row r="366" spans="1:35" ht="72.75" hidden="1" customHeight="1" outlineLevel="1" x14ac:dyDescent="0.2">
      <c r="A366" s="634"/>
      <c r="B366" s="547"/>
      <c r="C366" s="547"/>
      <c r="D366" s="516"/>
      <c r="E366" s="520"/>
      <c r="F366" s="520"/>
      <c r="G366" s="10" t="s">
        <v>1298</v>
      </c>
      <c r="H366" s="10" t="s">
        <v>1299</v>
      </c>
      <c r="I366" s="10" t="s">
        <v>256</v>
      </c>
      <c r="J366" s="257" t="s">
        <v>1296</v>
      </c>
      <c r="K366" s="257" t="s">
        <v>501</v>
      </c>
      <c r="L366" s="257"/>
      <c r="M366" s="280">
        <v>44593</v>
      </c>
      <c r="N366" s="280">
        <v>44925</v>
      </c>
      <c r="O366" s="280">
        <v>44652</v>
      </c>
      <c r="P366" s="281">
        <f t="shared" si="52"/>
        <v>0.17771084337349397</v>
      </c>
      <c r="Q366" s="281">
        <f t="shared" si="45"/>
        <v>0.17771084337349397</v>
      </c>
      <c r="R366" s="282">
        <v>1</v>
      </c>
      <c r="S366" s="283">
        <v>0.25</v>
      </c>
      <c r="T366" s="283">
        <v>0.5</v>
      </c>
      <c r="U366" s="283">
        <v>0.75</v>
      </c>
      <c r="V366" s="283">
        <v>1</v>
      </c>
      <c r="W366" s="308">
        <v>0</v>
      </c>
      <c r="X366" s="283" t="s">
        <v>1221</v>
      </c>
      <c r="Y366" s="352" t="s">
        <v>52</v>
      </c>
      <c r="Z366" s="284"/>
      <c r="AA366" s="285"/>
      <c r="AB366" s="285"/>
      <c r="AC366" s="284"/>
      <c r="AD366" s="285"/>
      <c r="AE366" s="285"/>
      <c r="AF366" s="284"/>
      <c r="AG366" s="285"/>
      <c r="AH366" s="285"/>
      <c r="AI366" s="286"/>
    </row>
    <row r="367" spans="1:35" ht="109.15" hidden="1" customHeight="1" outlineLevel="1" x14ac:dyDescent="0.2">
      <c r="A367" s="634"/>
      <c r="B367" s="447" t="s">
        <v>868</v>
      </c>
      <c r="C367" s="447" t="s">
        <v>869</v>
      </c>
      <c r="D367" s="629" t="s">
        <v>1300</v>
      </c>
      <c r="E367" s="259" t="s">
        <v>1292</v>
      </c>
      <c r="F367" s="319" t="s">
        <v>1293</v>
      </c>
      <c r="G367" s="260" t="s">
        <v>1298</v>
      </c>
      <c r="H367" s="260" t="s">
        <v>1301</v>
      </c>
      <c r="I367" s="260" t="s">
        <v>256</v>
      </c>
      <c r="J367" s="257" t="s">
        <v>1302</v>
      </c>
      <c r="K367" s="364">
        <v>120000000</v>
      </c>
      <c r="L367" s="364"/>
      <c r="M367" s="280">
        <v>44593</v>
      </c>
      <c r="N367" s="280">
        <v>44925</v>
      </c>
      <c r="O367" s="280">
        <v>44652</v>
      </c>
      <c r="P367" s="281">
        <f t="shared" si="52"/>
        <v>0.17771084337349397</v>
      </c>
      <c r="Q367" s="281">
        <f t="shared" si="45"/>
        <v>0.17771084337349397</v>
      </c>
      <c r="R367" s="282">
        <v>1</v>
      </c>
      <c r="S367" s="283">
        <v>0.25</v>
      </c>
      <c r="T367" s="283">
        <v>0.5</v>
      </c>
      <c r="U367" s="283">
        <v>0.75</v>
      </c>
      <c r="V367" s="283">
        <v>1</v>
      </c>
      <c r="W367" s="308">
        <v>0.25</v>
      </c>
      <c r="X367" s="283" t="s">
        <v>1303</v>
      </c>
      <c r="Y367" s="352" t="s">
        <v>1304</v>
      </c>
      <c r="Z367" s="284"/>
      <c r="AA367" s="285"/>
      <c r="AB367" s="285"/>
      <c r="AC367" s="284"/>
      <c r="AD367" s="285"/>
      <c r="AE367" s="285"/>
      <c r="AF367" s="284"/>
      <c r="AG367" s="285"/>
      <c r="AH367" s="285"/>
      <c r="AI367" s="286"/>
    </row>
    <row r="368" spans="1:35" ht="109.15" hidden="1" customHeight="1" outlineLevel="1" x14ac:dyDescent="0.2">
      <c r="A368" s="634"/>
      <c r="B368" s="545" t="s">
        <v>267</v>
      </c>
      <c r="C368" s="545" t="s">
        <v>1305</v>
      </c>
      <c r="D368" s="630"/>
      <c r="E368" s="553" t="s">
        <v>1306</v>
      </c>
      <c r="F368" s="523" t="s">
        <v>1307</v>
      </c>
      <c r="G368" s="261" t="s">
        <v>1308</v>
      </c>
      <c r="H368" s="260" t="s">
        <v>1309</v>
      </c>
      <c r="I368" s="521" t="s">
        <v>1310</v>
      </c>
      <c r="J368" s="257" t="s">
        <v>1311</v>
      </c>
      <c r="K368" s="323">
        <v>50000000</v>
      </c>
      <c r="L368" s="323"/>
      <c r="M368" s="280">
        <v>44593</v>
      </c>
      <c r="N368" s="280">
        <v>44925</v>
      </c>
      <c r="O368" s="280">
        <v>44652</v>
      </c>
      <c r="P368" s="281">
        <f t="shared" si="52"/>
        <v>0.17771084337349397</v>
      </c>
      <c r="Q368" s="281">
        <f t="shared" ref="Q368" si="53">+IF(P368&gt;=100,100,IF(P368&lt;=0,0,P368))</f>
        <v>0.17771084337349397</v>
      </c>
      <c r="R368" s="282">
        <v>1</v>
      </c>
      <c r="S368" s="283">
        <v>0.25</v>
      </c>
      <c r="T368" s="283">
        <v>0.5</v>
      </c>
      <c r="U368" s="283">
        <v>0.75</v>
      </c>
      <c r="V368" s="283">
        <v>1</v>
      </c>
      <c r="W368" s="308">
        <v>0.25</v>
      </c>
      <c r="X368" s="283" t="s">
        <v>1312</v>
      </c>
      <c r="Y368" s="352" t="s">
        <v>371</v>
      </c>
      <c r="Z368" s="284"/>
      <c r="AA368" s="285"/>
      <c r="AB368" s="285"/>
      <c r="AC368" s="284"/>
      <c r="AD368" s="285"/>
      <c r="AE368" s="285"/>
      <c r="AF368" s="284"/>
      <c r="AG368" s="285"/>
      <c r="AH368" s="285"/>
      <c r="AI368" s="286"/>
    </row>
    <row r="369" spans="1:35" ht="109.15" hidden="1" customHeight="1" outlineLevel="1" x14ac:dyDescent="0.2">
      <c r="A369" s="634"/>
      <c r="B369" s="547"/>
      <c r="C369" s="547"/>
      <c r="D369" s="631"/>
      <c r="E369" s="554"/>
      <c r="F369" s="524"/>
      <c r="G369" s="260" t="s">
        <v>1313</v>
      </c>
      <c r="H369" s="260" t="s">
        <v>1314</v>
      </c>
      <c r="I369" s="522"/>
      <c r="J369" s="257" t="s">
        <v>1869</v>
      </c>
      <c r="K369" s="323">
        <v>850000000</v>
      </c>
      <c r="L369" s="323"/>
      <c r="M369" s="280">
        <v>44593</v>
      </c>
      <c r="N369" s="280">
        <v>44925</v>
      </c>
      <c r="O369" s="280">
        <v>44652</v>
      </c>
      <c r="P369" s="281">
        <f>+(+_xlfn.DAYS(M369,O369))/(+_xlfn.DAYS(M369,N369))</f>
        <v>0.17771084337349397</v>
      </c>
      <c r="Q369" s="281">
        <f>+IF(P369&gt;=100,100,IF(P369&lt;=0,0,P369))</f>
        <v>0.17771084337349397</v>
      </c>
      <c r="R369" s="282">
        <v>1</v>
      </c>
      <c r="S369" s="283">
        <v>0.25</v>
      </c>
      <c r="T369" s="283">
        <v>0.5</v>
      </c>
      <c r="U369" s="283">
        <v>0.75</v>
      </c>
      <c r="V369" s="283">
        <v>1</v>
      </c>
      <c r="W369" s="357">
        <v>0.05</v>
      </c>
      <c r="X369" s="283" t="s">
        <v>1315</v>
      </c>
      <c r="Y369" s="352" t="s">
        <v>1316</v>
      </c>
      <c r="Z369" s="284"/>
      <c r="AA369" s="285"/>
      <c r="AB369" s="285"/>
      <c r="AC369" s="284"/>
      <c r="AD369" s="285"/>
      <c r="AE369" s="285"/>
      <c r="AF369" s="284"/>
      <c r="AG369" s="285"/>
      <c r="AH369" s="285"/>
      <c r="AI369" s="286"/>
    </row>
    <row r="370" spans="1:35" ht="52.9" hidden="1" customHeight="1" outlineLevel="1" x14ac:dyDescent="0.2">
      <c r="A370" s="634"/>
      <c r="B370" s="545" t="s">
        <v>39</v>
      </c>
      <c r="C370" s="545" t="s">
        <v>786</v>
      </c>
      <c r="D370" s="537" t="s">
        <v>1317</v>
      </c>
      <c r="E370" s="591" t="s">
        <v>445</v>
      </c>
      <c r="F370" s="562" t="s">
        <v>853</v>
      </c>
      <c r="G370" s="601" t="s">
        <v>1318</v>
      </c>
      <c r="H370" s="246" t="s">
        <v>1319</v>
      </c>
      <c r="I370" s="601" t="s">
        <v>855</v>
      </c>
      <c r="J370" s="257" t="s">
        <v>189</v>
      </c>
      <c r="K370" s="360">
        <v>40162500</v>
      </c>
      <c r="L370" s="360"/>
      <c r="M370" s="280">
        <v>44593</v>
      </c>
      <c r="N370" s="280">
        <v>44925</v>
      </c>
      <c r="O370" s="280">
        <v>44652</v>
      </c>
      <c r="P370" s="281">
        <f t="shared" si="52"/>
        <v>0.17771084337349397</v>
      </c>
      <c r="Q370" s="281">
        <f t="shared" si="45"/>
        <v>0.17771084337349397</v>
      </c>
      <c r="R370" s="282">
        <v>1</v>
      </c>
      <c r="S370" s="283">
        <v>0.25</v>
      </c>
      <c r="T370" s="283">
        <v>0.5</v>
      </c>
      <c r="U370" s="283">
        <v>0.75</v>
      </c>
      <c r="V370" s="283">
        <v>1</v>
      </c>
      <c r="W370" s="308">
        <v>0.25</v>
      </c>
      <c r="X370" s="283" t="s">
        <v>1320</v>
      </c>
      <c r="Y370" s="352"/>
      <c r="Z370" s="284"/>
      <c r="AA370" s="285"/>
      <c r="AB370" s="285"/>
      <c r="AC370" s="284"/>
      <c r="AD370" s="285"/>
      <c r="AE370" s="285"/>
      <c r="AF370" s="284"/>
      <c r="AG370" s="285"/>
      <c r="AH370" s="285"/>
      <c r="AI370" s="286"/>
    </row>
    <row r="371" spans="1:35" ht="112.5" hidden="1" customHeight="1" outlineLevel="1" x14ac:dyDescent="0.2">
      <c r="A371" s="634"/>
      <c r="B371" s="546"/>
      <c r="C371" s="546"/>
      <c r="D371" s="603"/>
      <c r="E371" s="592"/>
      <c r="F371" s="563"/>
      <c r="G371" s="602"/>
      <c r="H371" s="304" t="s">
        <v>1321</v>
      </c>
      <c r="I371" s="602"/>
      <c r="J371" s="257" t="s">
        <v>1322</v>
      </c>
      <c r="K371" s="323">
        <v>60000000</v>
      </c>
      <c r="L371" s="323"/>
      <c r="M371" s="280">
        <v>44593</v>
      </c>
      <c r="N371" s="280">
        <v>44925</v>
      </c>
      <c r="O371" s="280">
        <v>44652</v>
      </c>
      <c r="P371" s="281">
        <f t="shared" si="52"/>
        <v>0.17771084337349397</v>
      </c>
      <c r="Q371" s="281">
        <f t="shared" si="45"/>
        <v>0.17771084337349397</v>
      </c>
      <c r="R371" s="282">
        <v>1</v>
      </c>
      <c r="S371" s="283">
        <v>0.25</v>
      </c>
      <c r="T371" s="283">
        <v>0.5</v>
      </c>
      <c r="U371" s="283">
        <v>0.75</v>
      </c>
      <c r="V371" s="283">
        <v>1</v>
      </c>
      <c r="W371" s="308">
        <v>0</v>
      </c>
      <c r="X371" s="283" t="s">
        <v>1323</v>
      </c>
      <c r="Y371" s="352" t="s">
        <v>636</v>
      </c>
      <c r="Z371" s="284"/>
      <c r="AA371" s="285"/>
      <c r="AB371" s="285"/>
      <c r="AC371" s="284"/>
      <c r="AD371" s="285"/>
      <c r="AE371" s="285"/>
      <c r="AF371" s="284"/>
      <c r="AG371" s="285"/>
      <c r="AH371" s="285"/>
      <c r="AI371" s="286"/>
    </row>
    <row r="372" spans="1:35" ht="116.25" hidden="1" customHeight="1" outlineLevel="1" x14ac:dyDescent="0.2">
      <c r="A372" s="634"/>
      <c r="B372" s="546"/>
      <c r="C372" s="546"/>
      <c r="D372" s="603"/>
      <c r="E372" s="592"/>
      <c r="F372" s="563"/>
      <c r="G372" s="602"/>
      <c r="H372" s="304" t="s">
        <v>1324</v>
      </c>
      <c r="I372" s="602"/>
      <c r="J372" s="257" t="s">
        <v>1322</v>
      </c>
      <c r="K372" s="323">
        <v>35000000</v>
      </c>
      <c r="L372" s="323"/>
      <c r="M372" s="280">
        <v>44593</v>
      </c>
      <c r="N372" s="280">
        <v>44925</v>
      </c>
      <c r="O372" s="280">
        <v>44652</v>
      </c>
      <c r="P372" s="281">
        <f t="shared" si="52"/>
        <v>0.17771084337349397</v>
      </c>
      <c r="Q372" s="281">
        <f t="shared" si="45"/>
        <v>0.17771084337349397</v>
      </c>
      <c r="R372" s="282">
        <v>1</v>
      </c>
      <c r="S372" s="283">
        <v>0.25</v>
      </c>
      <c r="T372" s="283">
        <v>0.5</v>
      </c>
      <c r="U372" s="283">
        <v>0.75</v>
      </c>
      <c r="V372" s="283">
        <v>1</v>
      </c>
      <c r="W372" s="308">
        <v>0</v>
      </c>
      <c r="X372" s="283" t="s">
        <v>1325</v>
      </c>
      <c r="Y372" s="352" t="s">
        <v>52</v>
      </c>
      <c r="Z372" s="284"/>
      <c r="AA372" s="285"/>
      <c r="AB372" s="285"/>
      <c r="AC372" s="284"/>
      <c r="AD372" s="285"/>
      <c r="AE372" s="285"/>
      <c r="AF372" s="284"/>
      <c r="AG372" s="285"/>
      <c r="AH372" s="285"/>
      <c r="AI372" s="286"/>
    </row>
    <row r="373" spans="1:35" ht="71.45" hidden="1" customHeight="1" outlineLevel="1" x14ac:dyDescent="0.2">
      <c r="A373" s="634"/>
      <c r="B373" s="546"/>
      <c r="C373" s="546"/>
      <c r="D373" s="603"/>
      <c r="E373" s="592"/>
      <c r="F373" s="563"/>
      <c r="G373" s="602"/>
      <c r="H373" s="304" t="s">
        <v>1326</v>
      </c>
      <c r="I373" s="602"/>
      <c r="J373" s="257" t="s">
        <v>1322</v>
      </c>
      <c r="K373" s="323">
        <v>15000000</v>
      </c>
      <c r="L373" s="323"/>
      <c r="M373" s="280">
        <v>44593</v>
      </c>
      <c r="N373" s="280">
        <v>44925</v>
      </c>
      <c r="O373" s="280">
        <v>44652</v>
      </c>
      <c r="P373" s="281">
        <f t="shared" si="52"/>
        <v>0.17771084337349397</v>
      </c>
      <c r="Q373" s="281">
        <f t="shared" si="45"/>
        <v>0.17771084337349397</v>
      </c>
      <c r="R373" s="282">
        <v>1</v>
      </c>
      <c r="S373" s="283">
        <v>0.25</v>
      </c>
      <c r="T373" s="283">
        <v>0.5</v>
      </c>
      <c r="U373" s="283">
        <v>0.75</v>
      </c>
      <c r="V373" s="283">
        <v>1</v>
      </c>
      <c r="W373" s="308">
        <v>0</v>
      </c>
      <c r="X373" s="283" t="s">
        <v>1323</v>
      </c>
      <c r="Y373" s="352" t="s">
        <v>52</v>
      </c>
      <c r="Z373" s="284"/>
      <c r="AA373" s="285"/>
      <c r="AB373" s="285"/>
      <c r="AC373" s="284"/>
      <c r="AD373" s="285"/>
      <c r="AE373" s="285"/>
      <c r="AF373" s="284"/>
      <c r="AG373" s="285"/>
      <c r="AH373" s="285"/>
      <c r="AI373" s="286"/>
    </row>
    <row r="374" spans="1:35" ht="162.6" hidden="1" customHeight="1" outlineLevel="1" x14ac:dyDescent="0.2">
      <c r="A374" s="634"/>
      <c r="B374" s="546"/>
      <c r="C374" s="546"/>
      <c r="D374" s="603"/>
      <c r="E374" s="592"/>
      <c r="F374" s="563"/>
      <c r="G374" s="602"/>
      <c r="H374" s="304" t="s">
        <v>1327</v>
      </c>
      <c r="I374" s="602"/>
      <c r="J374" s="257" t="s">
        <v>1322</v>
      </c>
      <c r="K374" s="323">
        <v>2000000</v>
      </c>
      <c r="L374" s="323"/>
      <c r="M374" s="280">
        <v>44593</v>
      </c>
      <c r="N374" s="280">
        <v>44925</v>
      </c>
      <c r="O374" s="280">
        <v>44652</v>
      </c>
      <c r="P374" s="281">
        <f t="shared" si="52"/>
        <v>0.17771084337349397</v>
      </c>
      <c r="Q374" s="281">
        <f t="shared" si="45"/>
        <v>0.17771084337349397</v>
      </c>
      <c r="R374" s="282">
        <v>1</v>
      </c>
      <c r="S374" s="283">
        <v>0.25</v>
      </c>
      <c r="T374" s="283">
        <v>0.5</v>
      </c>
      <c r="U374" s="283">
        <v>0.75</v>
      </c>
      <c r="V374" s="283">
        <v>1</v>
      </c>
      <c r="W374" s="308">
        <v>0</v>
      </c>
      <c r="X374" s="283" t="s">
        <v>1328</v>
      </c>
      <c r="Y374" s="352" t="s">
        <v>52</v>
      </c>
      <c r="Z374" s="284"/>
      <c r="AA374" s="285"/>
      <c r="AB374" s="285"/>
      <c r="AC374" s="284"/>
      <c r="AD374" s="285"/>
      <c r="AE374" s="285"/>
      <c r="AF374" s="284"/>
      <c r="AG374" s="285"/>
      <c r="AH374" s="285"/>
      <c r="AI374" s="286"/>
    </row>
    <row r="375" spans="1:35" ht="162.6" hidden="1" customHeight="1" outlineLevel="1" x14ac:dyDescent="0.2">
      <c r="A375" s="634"/>
      <c r="B375" s="546"/>
      <c r="C375" s="546"/>
      <c r="D375" s="603"/>
      <c r="E375" s="592"/>
      <c r="F375" s="563"/>
      <c r="G375" s="602"/>
      <c r="H375" s="304" t="s">
        <v>1329</v>
      </c>
      <c r="I375" s="602"/>
      <c r="J375" s="257" t="s">
        <v>1330</v>
      </c>
      <c r="K375" s="323">
        <v>30000000</v>
      </c>
      <c r="L375" s="323"/>
      <c r="M375" s="280">
        <v>44593</v>
      </c>
      <c r="N375" s="280">
        <v>44925</v>
      </c>
      <c r="O375" s="280">
        <v>44652</v>
      </c>
      <c r="P375" s="281">
        <f t="shared" si="52"/>
        <v>0.17771084337349397</v>
      </c>
      <c r="Q375" s="281">
        <f t="shared" si="45"/>
        <v>0.17771084337349397</v>
      </c>
      <c r="R375" s="282">
        <v>1</v>
      </c>
      <c r="S375" s="283">
        <v>0.25</v>
      </c>
      <c r="T375" s="283">
        <v>0.5</v>
      </c>
      <c r="U375" s="283">
        <v>0.75</v>
      </c>
      <c r="V375" s="283">
        <v>1</v>
      </c>
      <c r="W375" s="308">
        <v>0.1</v>
      </c>
      <c r="X375" s="283" t="s">
        <v>1331</v>
      </c>
      <c r="Y375" s="352" t="s">
        <v>1332</v>
      </c>
      <c r="Z375" s="284"/>
      <c r="AA375" s="285"/>
      <c r="AB375" s="285"/>
      <c r="AC375" s="284"/>
      <c r="AD375" s="285"/>
      <c r="AE375" s="285"/>
      <c r="AF375" s="284"/>
      <c r="AG375" s="285"/>
      <c r="AH375" s="285"/>
      <c r="AI375" s="286"/>
    </row>
    <row r="376" spans="1:35" ht="94.15" hidden="1" customHeight="1" outlineLevel="1" x14ac:dyDescent="0.2">
      <c r="A376" s="634"/>
      <c r="B376" s="546"/>
      <c r="C376" s="546"/>
      <c r="D376" s="603"/>
      <c r="E376" s="592"/>
      <c r="F376" s="563"/>
      <c r="G376" s="602"/>
      <c r="H376" s="304" t="s">
        <v>1333</v>
      </c>
      <c r="I376" s="602"/>
      <c r="J376" s="257" t="s">
        <v>1334</v>
      </c>
      <c r="K376" s="323">
        <v>25000000</v>
      </c>
      <c r="L376" s="323"/>
      <c r="M376" s="280">
        <v>44593</v>
      </c>
      <c r="N376" s="280">
        <v>44925</v>
      </c>
      <c r="O376" s="280">
        <v>44652</v>
      </c>
      <c r="P376" s="281">
        <f t="shared" si="52"/>
        <v>0.17771084337349397</v>
      </c>
      <c r="Q376" s="281">
        <f t="shared" si="45"/>
        <v>0.17771084337349397</v>
      </c>
      <c r="R376" s="282">
        <v>1</v>
      </c>
      <c r="S376" s="283">
        <v>0.25</v>
      </c>
      <c r="T376" s="283">
        <v>0.5</v>
      </c>
      <c r="U376" s="283">
        <v>0.75</v>
      </c>
      <c r="V376" s="283">
        <v>1</v>
      </c>
      <c r="W376" s="308">
        <v>0.1</v>
      </c>
      <c r="X376" s="283" t="s">
        <v>1325</v>
      </c>
      <c r="Y376" s="352" t="s">
        <v>52</v>
      </c>
      <c r="Z376" s="284"/>
      <c r="AA376" s="285"/>
      <c r="AB376" s="285"/>
      <c r="AC376" s="284"/>
      <c r="AD376" s="285"/>
      <c r="AE376" s="285"/>
      <c r="AF376" s="284"/>
      <c r="AG376" s="285"/>
      <c r="AH376" s="285"/>
      <c r="AI376" s="286"/>
    </row>
    <row r="377" spans="1:35" ht="94.15" hidden="1" customHeight="1" outlineLevel="1" x14ac:dyDescent="0.2">
      <c r="A377" s="634"/>
      <c r="B377" s="546"/>
      <c r="C377" s="546"/>
      <c r="D377" s="603"/>
      <c r="E377" s="592"/>
      <c r="F377" s="563"/>
      <c r="G377" s="602"/>
      <c r="H377" s="304" t="s">
        <v>1335</v>
      </c>
      <c r="I377" s="602"/>
      <c r="J377" s="433" t="s">
        <v>296</v>
      </c>
      <c r="K377" s="323">
        <v>50859900</v>
      </c>
      <c r="L377" s="323"/>
      <c r="M377" s="280">
        <v>44593</v>
      </c>
      <c r="N377" s="280">
        <v>44925</v>
      </c>
      <c r="O377" s="280">
        <v>44652</v>
      </c>
      <c r="P377" s="281">
        <f t="shared" si="52"/>
        <v>0.17771084337349397</v>
      </c>
      <c r="Q377" s="281">
        <f t="shared" si="45"/>
        <v>0.17771084337349397</v>
      </c>
      <c r="R377" s="282">
        <v>1</v>
      </c>
      <c r="S377" s="283">
        <v>0.25</v>
      </c>
      <c r="T377" s="283">
        <v>0.5</v>
      </c>
      <c r="U377" s="283">
        <v>0.75</v>
      </c>
      <c r="V377" s="283">
        <v>1</v>
      </c>
      <c r="W377" s="308">
        <v>0</v>
      </c>
      <c r="X377" s="283" t="s">
        <v>1336</v>
      </c>
      <c r="Y377" s="352" t="s">
        <v>52</v>
      </c>
      <c r="Z377" s="284"/>
      <c r="AA377" s="285"/>
      <c r="AB377" s="285"/>
      <c r="AC377" s="284"/>
      <c r="AD377" s="285"/>
      <c r="AE377" s="285"/>
      <c r="AF377" s="284"/>
      <c r="AG377" s="285"/>
      <c r="AH377" s="285"/>
      <c r="AI377" s="286"/>
    </row>
    <row r="378" spans="1:35" ht="94.15" hidden="1" customHeight="1" outlineLevel="1" x14ac:dyDescent="0.2">
      <c r="A378" s="634"/>
      <c r="B378" s="546"/>
      <c r="C378" s="546"/>
      <c r="D378" s="538"/>
      <c r="E378" s="592"/>
      <c r="F378" s="563"/>
      <c r="G378" s="602"/>
      <c r="H378" s="304" t="s">
        <v>1337</v>
      </c>
      <c r="I378" s="602"/>
      <c r="J378" s="433" t="s">
        <v>1338</v>
      </c>
      <c r="K378" s="323">
        <v>3040000</v>
      </c>
      <c r="L378" s="323"/>
      <c r="M378" s="280">
        <v>44593</v>
      </c>
      <c r="N378" s="280">
        <v>44925</v>
      </c>
      <c r="O378" s="280">
        <v>44652</v>
      </c>
      <c r="P378" s="281">
        <f t="shared" si="52"/>
        <v>0.17771084337349397</v>
      </c>
      <c r="Q378" s="281">
        <f t="shared" si="45"/>
        <v>0.17771084337349397</v>
      </c>
      <c r="R378" s="282">
        <v>1</v>
      </c>
      <c r="S378" s="283">
        <v>0.25</v>
      </c>
      <c r="T378" s="283">
        <v>0.5</v>
      </c>
      <c r="U378" s="283">
        <v>0.75</v>
      </c>
      <c r="V378" s="283">
        <v>1</v>
      </c>
      <c r="W378" s="308">
        <v>0</v>
      </c>
      <c r="X378" s="283" t="s">
        <v>1339</v>
      </c>
      <c r="Y378" s="352" t="s">
        <v>52</v>
      </c>
      <c r="Z378" s="284"/>
      <c r="AA378" s="285"/>
      <c r="AB378" s="285"/>
      <c r="AC378" s="284"/>
      <c r="AD378" s="285"/>
      <c r="AE378" s="285"/>
      <c r="AF378" s="284"/>
      <c r="AG378" s="285"/>
      <c r="AH378" s="285"/>
      <c r="AI378" s="286"/>
    </row>
    <row r="379" spans="1:35" ht="53.45" hidden="1" customHeight="1" outlineLevel="1" x14ac:dyDescent="0.2">
      <c r="A379" s="634"/>
      <c r="B379" s="569" t="s">
        <v>1340</v>
      </c>
      <c r="C379" s="569" t="s">
        <v>786</v>
      </c>
      <c r="D379" s="773" t="s">
        <v>1341</v>
      </c>
      <c r="E379" s="553" t="s">
        <v>1342</v>
      </c>
      <c r="F379" s="553" t="s">
        <v>1343</v>
      </c>
      <c r="G379" s="609" t="s">
        <v>1344</v>
      </c>
      <c r="H379" s="253" t="s">
        <v>1345</v>
      </c>
      <c r="I379" s="762" t="s">
        <v>449</v>
      </c>
      <c r="J379" s="611" t="s">
        <v>1346</v>
      </c>
      <c r="K379" s="323">
        <v>23000000</v>
      </c>
      <c r="L379" s="323"/>
      <c r="M379" s="280">
        <v>44593</v>
      </c>
      <c r="N379" s="280">
        <v>44925</v>
      </c>
      <c r="O379" s="280">
        <v>44652</v>
      </c>
      <c r="P379" s="281">
        <f t="shared" si="52"/>
        <v>0.17771084337349397</v>
      </c>
      <c r="Q379" s="281">
        <f t="shared" si="45"/>
        <v>0.17771084337349397</v>
      </c>
      <c r="R379" s="282">
        <v>1</v>
      </c>
      <c r="S379" s="283">
        <v>0.25</v>
      </c>
      <c r="T379" s="283">
        <v>0.5</v>
      </c>
      <c r="U379" s="283">
        <v>0.75</v>
      </c>
      <c r="V379" s="283">
        <v>1</v>
      </c>
      <c r="W379" s="308">
        <v>0.1</v>
      </c>
      <c r="X379" s="283" t="s">
        <v>501</v>
      </c>
      <c r="Y379" s="352" t="s">
        <v>52</v>
      </c>
      <c r="Z379" s="284"/>
      <c r="AA379" s="285"/>
      <c r="AB379" s="285"/>
      <c r="AC379" s="284"/>
      <c r="AD379" s="285"/>
      <c r="AE379" s="285"/>
      <c r="AF379" s="284"/>
      <c r="AG379" s="285"/>
      <c r="AH379" s="285"/>
      <c r="AI379" s="286"/>
    </row>
    <row r="380" spans="1:35" ht="78" hidden="1" customHeight="1" outlineLevel="1" x14ac:dyDescent="0.2">
      <c r="A380" s="634"/>
      <c r="B380" s="570"/>
      <c r="C380" s="570"/>
      <c r="D380" s="774"/>
      <c r="E380" s="772"/>
      <c r="F380" s="772"/>
      <c r="G380" s="610"/>
      <c r="H380" s="253" t="s">
        <v>1347</v>
      </c>
      <c r="I380" s="771"/>
      <c r="J380" s="612"/>
      <c r="K380" s="323">
        <v>20515600</v>
      </c>
      <c r="L380" s="323"/>
      <c r="M380" s="280">
        <v>44593</v>
      </c>
      <c r="N380" s="280">
        <v>44925</v>
      </c>
      <c r="O380" s="280">
        <v>44652</v>
      </c>
      <c r="P380" s="281">
        <f t="shared" si="52"/>
        <v>0.17771084337349397</v>
      </c>
      <c r="Q380" s="281">
        <f t="shared" si="45"/>
        <v>0.17771084337349397</v>
      </c>
      <c r="R380" s="282">
        <v>1</v>
      </c>
      <c r="S380" s="283">
        <v>0.25</v>
      </c>
      <c r="T380" s="283">
        <v>0.5</v>
      </c>
      <c r="U380" s="283">
        <v>0.75</v>
      </c>
      <c r="V380" s="283">
        <v>1</v>
      </c>
      <c r="W380" s="357">
        <v>0.8</v>
      </c>
      <c r="X380" s="323" t="s">
        <v>1348</v>
      </c>
      <c r="Y380" s="352" t="s">
        <v>1349</v>
      </c>
      <c r="Z380" s="284"/>
      <c r="AA380" s="285"/>
      <c r="AB380" s="285"/>
      <c r="AC380" s="284"/>
      <c r="AD380" s="285"/>
      <c r="AE380" s="285"/>
      <c r="AF380" s="284"/>
      <c r="AG380" s="285"/>
      <c r="AH380" s="285"/>
      <c r="AI380" s="286"/>
    </row>
    <row r="381" spans="1:35" ht="56.25" hidden="1" customHeight="1" outlineLevel="1" x14ac:dyDescent="0.2">
      <c r="A381" s="634"/>
      <c r="B381" s="570"/>
      <c r="C381" s="570"/>
      <c r="D381" s="774"/>
      <c r="E381" s="772"/>
      <c r="F381" s="772"/>
      <c r="G381" s="610"/>
      <c r="H381" s="253"/>
      <c r="I381" s="771"/>
      <c r="J381" s="612"/>
      <c r="K381" s="323">
        <v>4500000</v>
      </c>
      <c r="L381" s="323"/>
      <c r="M381" s="280">
        <v>44593</v>
      </c>
      <c r="N381" s="280">
        <v>44925</v>
      </c>
      <c r="O381" s="280">
        <v>44652</v>
      </c>
      <c r="P381" s="281">
        <f t="shared" si="52"/>
        <v>0.17771084337349397</v>
      </c>
      <c r="Q381" s="281">
        <f t="shared" si="45"/>
        <v>0.17771084337349397</v>
      </c>
      <c r="R381" s="282">
        <v>1</v>
      </c>
      <c r="S381" s="283">
        <v>0.25</v>
      </c>
      <c r="T381" s="283">
        <v>0.5</v>
      </c>
      <c r="U381" s="283">
        <v>0.75</v>
      </c>
      <c r="V381" s="283">
        <v>1</v>
      </c>
      <c r="W381" s="308">
        <v>0.15</v>
      </c>
      <c r="X381" s="283" t="s">
        <v>1350</v>
      </c>
      <c r="Y381" s="352" t="s">
        <v>371</v>
      </c>
      <c r="Z381" s="284"/>
      <c r="AA381" s="285"/>
      <c r="AB381" s="285"/>
      <c r="AC381" s="284"/>
      <c r="AD381" s="285"/>
      <c r="AE381" s="285"/>
      <c r="AF381" s="284"/>
      <c r="AG381" s="285"/>
      <c r="AH381" s="285"/>
      <c r="AI381" s="286"/>
    </row>
    <row r="382" spans="1:35" ht="46.5" hidden="1" customHeight="1" outlineLevel="1" x14ac:dyDescent="0.2">
      <c r="A382" s="634"/>
      <c r="B382" s="570"/>
      <c r="C382" s="570"/>
      <c r="D382" s="774"/>
      <c r="E382" s="772"/>
      <c r="F382" s="772"/>
      <c r="G382" s="610"/>
      <c r="H382" s="253" t="s">
        <v>1351</v>
      </c>
      <c r="I382" s="771"/>
      <c r="J382" s="612"/>
      <c r="K382" s="323">
        <v>7200000</v>
      </c>
      <c r="L382" s="323"/>
      <c r="M382" s="280">
        <v>44593</v>
      </c>
      <c r="N382" s="280">
        <v>44925</v>
      </c>
      <c r="O382" s="280">
        <v>44652</v>
      </c>
      <c r="P382" s="281">
        <f t="shared" si="52"/>
        <v>0.17771084337349397</v>
      </c>
      <c r="Q382" s="281">
        <f t="shared" si="45"/>
        <v>0.17771084337349397</v>
      </c>
      <c r="R382" s="282">
        <v>1</v>
      </c>
      <c r="S382" s="283">
        <v>0.25</v>
      </c>
      <c r="T382" s="283">
        <v>0.5</v>
      </c>
      <c r="U382" s="283">
        <v>0.75</v>
      </c>
      <c r="V382" s="283">
        <v>1</v>
      </c>
      <c r="W382" s="308">
        <v>0.25</v>
      </c>
      <c r="X382" s="283" t="s">
        <v>1350</v>
      </c>
      <c r="Y382" s="352" t="s">
        <v>371</v>
      </c>
      <c r="Z382" s="284"/>
      <c r="AA382" s="285"/>
      <c r="AB382" s="285"/>
      <c r="AC382" s="284"/>
      <c r="AD382" s="285"/>
      <c r="AE382" s="285"/>
      <c r="AF382" s="284"/>
      <c r="AG382" s="285"/>
      <c r="AH382" s="285"/>
      <c r="AI382" s="286"/>
    </row>
    <row r="383" spans="1:35" ht="77.25" hidden="1" customHeight="1" outlineLevel="1" x14ac:dyDescent="0.2">
      <c r="A383" s="634"/>
      <c r="B383" s="570"/>
      <c r="C383" s="570"/>
      <c r="D383" s="774"/>
      <c r="E383" s="772"/>
      <c r="F383" s="772"/>
      <c r="G383" s="610"/>
      <c r="H383" s="253" t="s">
        <v>1352</v>
      </c>
      <c r="I383" s="771"/>
      <c r="J383" s="612"/>
      <c r="K383" s="323">
        <v>158000000</v>
      </c>
      <c r="L383" s="323"/>
      <c r="M383" s="280">
        <v>44593</v>
      </c>
      <c r="N383" s="280">
        <v>44925</v>
      </c>
      <c r="O383" s="280">
        <v>44652</v>
      </c>
      <c r="P383" s="281">
        <f t="shared" si="52"/>
        <v>0.17771084337349397</v>
      </c>
      <c r="Q383" s="281">
        <f t="shared" si="45"/>
        <v>0.17771084337349397</v>
      </c>
      <c r="R383" s="282">
        <v>1</v>
      </c>
      <c r="S383" s="283">
        <v>0.25</v>
      </c>
      <c r="T383" s="283">
        <v>0.5</v>
      </c>
      <c r="U383" s="283">
        <v>0.75</v>
      </c>
      <c r="V383" s="283">
        <v>1</v>
      </c>
      <c r="W383" s="308">
        <v>0.15</v>
      </c>
      <c r="X383" s="283" t="s">
        <v>1350</v>
      </c>
      <c r="Y383" s="352" t="s">
        <v>371</v>
      </c>
      <c r="Z383" s="284"/>
      <c r="AA383" s="285"/>
      <c r="AB383" s="285"/>
      <c r="AC383" s="284"/>
      <c r="AD383" s="285"/>
      <c r="AE383" s="285"/>
      <c r="AF383" s="284"/>
      <c r="AG383" s="285"/>
      <c r="AH383" s="285"/>
      <c r="AI383" s="286"/>
    </row>
    <row r="384" spans="1:35" ht="56.25" hidden="1" customHeight="1" outlineLevel="1" x14ac:dyDescent="0.2">
      <c r="A384" s="634"/>
      <c r="B384" s="570"/>
      <c r="C384" s="570"/>
      <c r="D384" s="774"/>
      <c r="E384" s="772"/>
      <c r="F384" s="772"/>
      <c r="G384" s="610"/>
      <c r="H384" s="253" t="s">
        <v>1353</v>
      </c>
      <c r="I384" s="771"/>
      <c r="J384" s="612"/>
      <c r="K384" s="323">
        <v>18000000</v>
      </c>
      <c r="L384" s="323"/>
      <c r="M384" s="280">
        <v>44593</v>
      </c>
      <c r="N384" s="280">
        <v>44925</v>
      </c>
      <c r="O384" s="280">
        <v>44652</v>
      </c>
      <c r="P384" s="281">
        <f t="shared" si="52"/>
        <v>0.17771084337349397</v>
      </c>
      <c r="Q384" s="281">
        <f t="shared" si="45"/>
        <v>0.17771084337349397</v>
      </c>
      <c r="R384" s="282">
        <v>1</v>
      </c>
      <c r="S384" s="283">
        <v>0.25</v>
      </c>
      <c r="T384" s="283">
        <v>0.5</v>
      </c>
      <c r="U384" s="283">
        <v>0.75</v>
      </c>
      <c r="V384" s="283">
        <v>1</v>
      </c>
      <c r="W384" s="308">
        <v>0.15</v>
      </c>
      <c r="X384" s="283" t="s">
        <v>1350</v>
      </c>
      <c r="Y384" s="352" t="s">
        <v>371</v>
      </c>
      <c r="Z384" s="284"/>
      <c r="AA384" s="285"/>
      <c r="AB384" s="285"/>
      <c r="AC384" s="284"/>
      <c r="AD384" s="285"/>
      <c r="AE384" s="285"/>
      <c r="AF384" s="284"/>
      <c r="AG384" s="285"/>
      <c r="AH384" s="285"/>
      <c r="AI384" s="286"/>
    </row>
    <row r="385" spans="1:35" ht="59.25" hidden="1" customHeight="1" outlineLevel="1" x14ac:dyDescent="0.2">
      <c r="A385" s="634"/>
      <c r="B385" s="570"/>
      <c r="C385" s="570"/>
      <c r="D385" s="774"/>
      <c r="E385" s="772"/>
      <c r="F385" s="772"/>
      <c r="G385" s="610"/>
      <c r="H385" s="253" t="s">
        <v>1354</v>
      </c>
      <c r="I385" s="771"/>
      <c r="J385" s="612"/>
      <c r="K385" s="323">
        <v>8676000</v>
      </c>
      <c r="L385" s="323"/>
      <c r="M385" s="280">
        <v>44593</v>
      </c>
      <c r="N385" s="280">
        <v>44925</v>
      </c>
      <c r="O385" s="280">
        <v>44652</v>
      </c>
      <c r="P385" s="281">
        <f t="shared" si="52"/>
        <v>0.17771084337349397</v>
      </c>
      <c r="Q385" s="281">
        <f t="shared" si="45"/>
        <v>0.17771084337349397</v>
      </c>
      <c r="R385" s="282">
        <v>1</v>
      </c>
      <c r="S385" s="283">
        <v>0.25</v>
      </c>
      <c r="T385" s="283">
        <v>0.5</v>
      </c>
      <c r="U385" s="283">
        <v>0.75</v>
      </c>
      <c r="V385" s="283">
        <v>1</v>
      </c>
      <c r="W385" s="308">
        <v>0.15</v>
      </c>
      <c r="X385" s="283" t="s">
        <v>1350</v>
      </c>
      <c r="Y385" s="352" t="s">
        <v>371</v>
      </c>
      <c r="Z385" s="284"/>
      <c r="AA385" s="285"/>
      <c r="AB385" s="285"/>
      <c r="AC385" s="284"/>
      <c r="AD385" s="285"/>
      <c r="AE385" s="285"/>
      <c r="AF385" s="284"/>
      <c r="AG385" s="285"/>
      <c r="AH385" s="285"/>
      <c r="AI385" s="286"/>
    </row>
    <row r="386" spans="1:35" ht="168.75" hidden="1" customHeight="1" outlineLevel="1" x14ac:dyDescent="0.2">
      <c r="A386" s="634"/>
      <c r="B386" s="570"/>
      <c r="C386" s="570"/>
      <c r="D386" s="774"/>
      <c r="E386" s="772"/>
      <c r="F386" s="772"/>
      <c r="G386" s="610"/>
      <c r="H386" s="253" t="s">
        <v>1355</v>
      </c>
      <c r="I386" s="771"/>
      <c r="J386" s="612"/>
      <c r="K386" s="323">
        <v>150000000</v>
      </c>
      <c r="L386" s="323"/>
      <c r="M386" s="280">
        <v>44593</v>
      </c>
      <c r="N386" s="280">
        <v>44925</v>
      </c>
      <c r="O386" s="280">
        <v>44652</v>
      </c>
      <c r="P386" s="281">
        <f t="shared" si="52"/>
        <v>0.17771084337349397</v>
      </c>
      <c r="Q386" s="281">
        <f t="shared" si="45"/>
        <v>0.17771084337349397</v>
      </c>
      <c r="R386" s="282">
        <v>1</v>
      </c>
      <c r="S386" s="283">
        <v>0.25</v>
      </c>
      <c r="T386" s="283">
        <v>0.5</v>
      </c>
      <c r="U386" s="283">
        <v>0.75</v>
      </c>
      <c r="V386" s="283">
        <v>1</v>
      </c>
      <c r="W386" s="308">
        <v>0.18</v>
      </c>
      <c r="X386" s="283" t="s">
        <v>1350</v>
      </c>
      <c r="Y386" s="352" t="s">
        <v>371</v>
      </c>
      <c r="Z386" s="284"/>
      <c r="AA386" s="285"/>
      <c r="AB386" s="285"/>
      <c r="AC386" s="284"/>
      <c r="AD386" s="285"/>
      <c r="AE386" s="285"/>
      <c r="AF386" s="284"/>
      <c r="AG386" s="285"/>
      <c r="AH386" s="285"/>
      <c r="AI386" s="286"/>
    </row>
    <row r="387" spans="1:35" ht="206.25" hidden="1" customHeight="1" outlineLevel="1" x14ac:dyDescent="0.2">
      <c r="A387" s="634"/>
      <c r="B387" s="570"/>
      <c r="C387" s="570"/>
      <c r="D387" s="774"/>
      <c r="E387" s="772"/>
      <c r="F387" s="772"/>
      <c r="G387" s="635"/>
      <c r="H387" s="253" t="s">
        <v>1356</v>
      </c>
      <c r="I387" s="771"/>
      <c r="J387" s="613"/>
      <c r="K387" s="323">
        <v>57500000</v>
      </c>
      <c r="L387" s="323"/>
      <c r="M387" s="280">
        <v>44593</v>
      </c>
      <c r="N387" s="280">
        <v>44925</v>
      </c>
      <c r="O387" s="280">
        <v>44652</v>
      </c>
      <c r="P387" s="281">
        <f t="shared" si="52"/>
        <v>0.17771084337349397</v>
      </c>
      <c r="Q387" s="281">
        <f t="shared" si="45"/>
        <v>0.17771084337349397</v>
      </c>
      <c r="R387" s="282">
        <v>1</v>
      </c>
      <c r="S387" s="283">
        <v>0.25</v>
      </c>
      <c r="T387" s="283">
        <v>0.5</v>
      </c>
      <c r="U387" s="283">
        <v>0.75</v>
      </c>
      <c r="V387" s="283">
        <v>1</v>
      </c>
      <c r="W387" s="308">
        <v>0.5</v>
      </c>
      <c r="X387" s="283" t="s">
        <v>1357</v>
      </c>
      <c r="Y387" s="352" t="s">
        <v>1358</v>
      </c>
      <c r="Z387" s="284"/>
      <c r="AA387" s="285"/>
      <c r="AB387" s="285"/>
      <c r="AC387" s="284"/>
      <c r="AD387" s="285"/>
      <c r="AE387" s="285"/>
      <c r="AF387" s="284"/>
      <c r="AG387" s="285"/>
      <c r="AH387" s="285"/>
      <c r="AI387" s="286"/>
    </row>
    <row r="388" spans="1:35" ht="104.45" hidden="1" customHeight="1" outlineLevel="1" x14ac:dyDescent="0.2">
      <c r="A388" s="634"/>
      <c r="B388" s="570"/>
      <c r="C388" s="570"/>
      <c r="D388" s="774"/>
      <c r="E388" s="772"/>
      <c r="F388" s="772"/>
      <c r="G388" s="609" t="s">
        <v>1359</v>
      </c>
      <c r="H388" s="253" t="s">
        <v>1360</v>
      </c>
      <c r="I388" s="771"/>
      <c r="J388" s="611" t="s">
        <v>296</v>
      </c>
      <c r="K388" s="323">
        <v>29190861</v>
      </c>
      <c r="L388" s="323"/>
      <c r="M388" s="280">
        <v>44593</v>
      </c>
      <c r="N388" s="280">
        <v>44925</v>
      </c>
      <c r="O388" s="280">
        <v>44652</v>
      </c>
      <c r="P388" s="281">
        <f t="shared" si="52"/>
        <v>0.17771084337349397</v>
      </c>
      <c r="Q388" s="281">
        <f t="shared" si="45"/>
        <v>0.17771084337349397</v>
      </c>
      <c r="R388" s="282">
        <v>1</v>
      </c>
      <c r="S388" s="283">
        <v>0.25</v>
      </c>
      <c r="T388" s="283">
        <v>0.5</v>
      </c>
      <c r="U388" s="283">
        <v>0.75</v>
      </c>
      <c r="V388" s="283">
        <v>1</v>
      </c>
      <c r="W388" s="308">
        <v>0.4</v>
      </c>
      <c r="X388" s="283" t="s">
        <v>1361</v>
      </c>
      <c r="Y388" s="352" t="s">
        <v>1362</v>
      </c>
      <c r="Z388" s="284"/>
      <c r="AA388" s="285"/>
      <c r="AB388" s="285"/>
      <c r="AC388" s="284"/>
      <c r="AD388" s="285"/>
      <c r="AE388" s="285"/>
      <c r="AF388" s="284"/>
      <c r="AG388" s="285"/>
      <c r="AH388" s="285"/>
      <c r="AI388" s="286"/>
    </row>
    <row r="389" spans="1:35" ht="172.5" hidden="1" customHeight="1" outlineLevel="1" x14ac:dyDescent="0.2">
      <c r="A389" s="634"/>
      <c r="B389" s="570"/>
      <c r="C389" s="570"/>
      <c r="D389" s="774"/>
      <c r="E389" s="772"/>
      <c r="F389" s="772"/>
      <c r="G389" s="610"/>
      <c r="H389" s="253" t="s">
        <v>1363</v>
      </c>
      <c r="I389" s="771"/>
      <c r="J389" s="612"/>
      <c r="K389" s="323">
        <v>433510000</v>
      </c>
      <c r="L389" s="323"/>
      <c r="M389" s="280">
        <v>44593</v>
      </c>
      <c r="N389" s="280">
        <v>44925</v>
      </c>
      <c r="O389" s="280">
        <v>44652</v>
      </c>
      <c r="P389" s="281">
        <f t="shared" si="52"/>
        <v>0.17771084337349397</v>
      </c>
      <c r="Q389" s="281">
        <f t="shared" si="45"/>
        <v>0.17771084337349397</v>
      </c>
      <c r="R389" s="282">
        <v>1</v>
      </c>
      <c r="S389" s="283">
        <v>0.25</v>
      </c>
      <c r="T389" s="283">
        <v>0.5</v>
      </c>
      <c r="U389" s="283">
        <v>0.75</v>
      </c>
      <c r="V389" s="283">
        <v>1</v>
      </c>
      <c r="W389" s="308">
        <v>0.15</v>
      </c>
      <c r="X389" s="283" t="s">
        <v>1364</v>
      </c>
      <c r="Y389" s="352" t="s">
        <v>52</v>
      </c>
      <c r="Z389" s="284"/>
      <c r="AA389" s="285"/>
      <c r="AB389" s="285"/>
      <c r="AC389" s="284"/>
      <c r="AD389" s="285"/>
      <c r="AE389" s="285"/>
      <c r="AF389" s="284"/>
      <c r="AG389" s="285"/>
      <c r="AH389" s="285"/>
      <c r="AI389" s="286"/>
    </row>
    <row r="390" spans="1:35" ht="46.5" hidden="1" customHeight="1" outlineLevel="1" x14ac:dyDescent="0.2">
      <c r="A390" s="634"/>
      <c r="B390" s="570"/>
      <c r="C390" s="570"/>
      <c r="D390" s="774"/>
      <c r="E390" s="772"/>
      <c r="F390" s="772"/>
      <c r="G390" s="610"/>
      <c r="H390" s="253" t="s">
        <v>1365</v>
      </c>
      <c r="I390" s="771"/>
      <c r="J390" s="612"/>
      <c r="K390" s="323">
        <v>30300000</v>
      </c>
      <c r="L390" s="323"/>
      <c r="M390" s="280">
        <v>44593</v>
      </c>
      <c r="N390" s="280">
        <v>44925</v>
      </c>
      <c r="O390" s="280">
        <v>44652</v>
      </c>
      <c r="P390" s="281">
        <f t="shared" si="52"/>
        <v>0.17771084337349397</v>
      </c>
      <c r="Q390" s="281">
        <f t="shared" si="45"/>
        <v>0.17771084337349397</v>
      </c>
      <c r="R390" s="282">
        <v>1</v>
      </c>
      <c r="S390" s="283">
        <v>0.25</v>
      </c>
      <c r="T390" s="283">
        <v>0.5</v>
      </c>
      <c r="U390" s="283">
        <v>0.75</v>
      </c>
      <c r="V390" s="283">
        <v>1</v>
      </c>
      <c r="W390" s="308">
        <v>0.15</v>
      </c>
      <c r="X390" s="283" t="s">
        <v>1364</v>
      </c>
      <c r="Y390" s="352" t="s">
        <v>52</v>
      </c>
      <c r="Z390" s="284"/>
      <c r="AA390" s="285"/>
      <c r="AB390" s="285"/>
      <c r="AC390" s="284"/>
      <c r="AD390" s="285"/>
      <c r="AE390" s="285"/>
      <c r="AF390" s="284"/>
      <c r="AG390" s="285"/>
      <c r="AH390" s="285"/>
      <c r="AI390" s="286"/>
    </row>
    <row r="391" spans="1:35" ht="104.45" hidden="1" customHeight="1" outlineLevel="1" x14ac:dyDescent="0.2">
      <c r="A391" s="634"/>
      <c r="B391" s="570"/>
      <c r="C391" s="570"/>
      <c r="D391" s="774"/>
      <c r="E391" s="772"/>
      <c r="F391" s="772"/>
      <c r="G391" s="610"/>
      <c r="H391" s="253" t="s">
        <v>1366</v>
      </c>
      <c r="I391" s="771"/>
      <c r="J391" s="612"/>
      <c r="K391" s="323">
        <v>210000000</v>
      </c>
      <c r="L391" s="323"/>
      <c r="M391" s="280">
        <v>44593</v>
      </c>
      <c r="N391" s="280">
        <v>44925</v>
      </c>
      <c r="O391" s="280">
        <v>44652</v>
      </c>
      <c r="P391" s="281">
        <f t="shared" si="52"/>
        <v>0.17771084337349397</v>
      </c>
      <c r="Q391" s="281">
        <f t="shared" si="45"/>
        <v>0.17771084337349397</v>
      </c>
      <c r="R391" s="282">
        <v>1</v>
      </c>
      <c r="S391" s="283">
        <v>0.25</v>
      </c>
      <c r="T391" s="283">
        <v>0.5</v>
      </c>
      <c r="U391" s="283">
        <v>0.75</v>
      </c>
      <c r="V391" s="283">
        <v>1</v>
      </c>
      <c r="W391" s="308">
        <v>0.15</v>
      </c>
      <c r="X391" s="283" t="s">
        <v>1367</v>
      </c>
      <c r="Y391" s="352" t="s">
        <v>52</v>
      </c>
      <c r="Z391" s="284"/>
      <c r="AA391" s="285"/>
      <c r="AB391" s="285"/>
      <c r="AC391" s="284"/>
      <c r="AD391" s="285"/>
      <c r="AE391" s="285"/>
      <c r="AF391" s="284"/>
      <c r="AG391" s="285"/>
      <c r="AH391" s="285"/>
      <c r="AI391" s="286"/>
    </row>
    <row r="392" spans="1:35" ht="104.45" hidden="1" customHeight="1" outlineLevel="1" x14ac:dyDescent="0.2">
      <c r="A392" s="634"/>
      <c r="B392" s="570"/>
      <c r="C392" s="570"/>
      <c r="D392" s="774"/>
      <c r="E392" s="772"/>
      <c r="F392" s="772"/>
      <c r="G392" s="635"/>
      <c r="H392" s="253" t="s">
        <v>1368</v>
      </c>
      <c r="I392" s="771"/>
      <c r="J392" s="613"/>
      <c r="K392" s="323">
        <v>45000000</v>
      </c>
      <c r="L392" s="323"/>
      <c r="M392" s="280">
        <v>44593</v>
      </c>
      <c r="N392" s="280">
        <v>44925</v>
      </c>
      <c r="O392" s="280">
        <v>44652</v>
      </c>
      <c r="P392" s="281">
        <f t="shared" si="52"/>
        <v>0.17771084337349397</v>
      </c>
      <c r="Q392" s="281">
        <f t="shared" si="45"/>
        <v>0.17771084337349397</v>
      </c>
      <c r="R392" s="282">
        <v>1</v>
      </c>
      <c r="S392" s="283">
        <v>0.25</v>
      </c>
      <c r="T392" s="283">
        <v>0.5</v>
      </c>
      <c r="U392" s="283">
        <v>0.75</v>
      </c>
      <c r="V392" s="283">
        <v>1</v>
      </c>
      <c r="W392" s="308">
        <v>0.15</v>
      </c>
      <c r="X392" s="283" t="s">
        <v>1369</v>
      </c>
      <c r="Y392" s="352" t="s">
        <v>52</v>
      </c>
      <c r="Z392" s="284"/>
      <c r="AA392" s="285"/>
      <c r="AB392" s="285"/>
      <c r="AC392" s="284"/>
      <c r="AD392" s="285"/>
      <c r="AE392" s="285"/>
      <c r="AF392" s="284"/>
      <c r="AG392" s="285"/>
      <c r="AH392" s="285"/>
      <c r="AI392" s="286"/>
    </row>
    <row r="393" spans="1:35" ht="93.75" hidden="1" customHeight="1" outlineLevel="1" x14ac:dyDescent="0.2">
      <c r="A393" s="634"/>
      <c r="B393" s="570"/>
      <c r="C393" s="570"/>
      <c r="D393" s="774"/>
      <c r="E393" s="772"/>
      <c r="F393" s="772"/>
      <c r="G393" s="253" t="s">
        <v>1370</v>
      </c>
      <c r="H393" s="253" t="s">
        <v>1371</v>
      </c>
      <c r="I393" s="771"/>
      <c r="J393" s="257" t="s">
        <v>1372</v>
      </c>
      <c r="K393" s="323">
        <v>3502396394</v>
      </c>
      <c r="L393" s="323"/>
      <c r="M393" s="280">
        <v>44593</v>
      </c>
      <c r="N393" s="280">
        <v>44925</v>
      </c>
      <c r="O393" s="280">
        <v>44652</v>
      </c>
      <c r="P393" s="281">
        <f t="shared" si="52"/>
        <v>0.17771084337349397</v>
      </c>
      <c r="Q393" s="281">
        <f t="shared" si="45"/>
        <v>0.17771084337349397</v>
      </c>
      <c r="R393" s="282">
        <v>1</v>
      </c>
      <c r="S393" s="283">
        <v>0.25</v>
      </c>
      <c r="T393" s="283">
        <v>0.5</v>
      </c>
      <c r="U393" s="283">
        <v>0.75</v>
      </c>
      <c r="V393" s="283">
        <v>1</v>
      </c>
      <c r="W393" s="356"/>
      <c r="X393" s="370" t="s">
        <v>1373</v>
      </c>
      <c r="Y393" s="352" t="s">
        <v>52</v>
      </c>
      <c r="Z393" s="284"/>
      <c r="AA393" s="285"/>
      <c r="AB393" s="285"/>
      <c r="AC393" s="284"/>
      <c r="AD393" s="285"/>
      <c r="AE393" s="285"/>
      <c r="AF393" s="284"/>
      <c r="AG393" s="285"/>
      <c r="AH393" s="285"/>
      <c r="AI393" s="286"/>
    </row>
    <row r="394" spans="1:35" ht="46.5" hidden="1" customHeight="1" outlineLevel="1" x14ac:dyDescent="0.2">
      <c r="A394" s="634"/>
      <c r="B394" s="570"/>
      <c r="C394" s="570"/>
      <c r="D394" s="774"/>
      <c r="E394" s="772"/>
      <c r="F394" s="772"/>
      <c r="G394" s="432"/>
      <c r="H394" s="253" t="s">
        <v>1374</v>
      </c>
      <c r="I394" s="771"/>
      <c r="J394" s="434"/>
      <c r="K394" s="323"/>
      <c r="L394" s="323"/>
      <c r="M394" s="280">
        <v>44593</v>
      </c>
      <c r="N394" s="280">
        <v>44925</v>
      </c>
      <c r="O394" s="280">
        <v>44652</v>
      </c>
      <c r="P394" s="281">
        <f t="shared" si="52"/>
        <v>0.17771084337349397</v>
      </c>
      <c r="Q394" s="281">
        <f t="shared" si="45"/>
        <v>0.17771084337349397</v>
      </c>
      <c r="R394" s="282">
        <v>1</v>
      </c>
      <c r="S394" s="283">
        <v>0.25</v>
      </c>
      <c r="T394" s="283">
        <v>0.5</v>
      </c>
      <c r="U394" s="283">
        <v>0.75</v>
      </c>
      <c r="V394" s="283">
        <v>1</v>
      </c>
      <c r="W394" s="356"/>
      <c r="X394" s="370" t="s">
        <v>1373</v>
      </c>
      <c r="Y394" s="352" t="s">
        <v>52</v>
      </c>
      <c r="Z394" s="284"/>
      <c r="AA394" s="285"/>
      <c r="AB394" s="285"/>
      <c r="AC394" s="284"/>
      <c r="AD394" s="285"/>
      <c r="AE394" s="285"/>
      <c r="AF394" s="284"/>
      <c r="AG394" s="285"/>
      <c r="AH394" s="285"/>
      <c r="AI394" s="286"/>
    </row>
    <row r="395" spans="1:35" ht="104.45" hidden="1" customHeight="1" outlineLevel="1" x14ac:dyDescent="0.2">
      <c r="A395" s="634"/>
      <c r="B395" s="570"/>
      <c r="C395" s="570"/>
      <c r="D395" s="774"/>
      <c r="E395" s="772"/>
      <c r="F395" s="772"/>
      <c r="G395" s="253" t="s">
        <v>1375</v>
      </c>
      <c r="H395" s="253" t="s">
        <v>1376</v>
      </c>
      <c r="I395" s="771"/>
      <c r="J395" s="257" t="s">
        <v>1372</v>
      </c>
      <c r="K395" s="323" t="s">
        <v>501</v>
      </c>
      <c r="L395" s="323"/>
      <c r="M395" s="280">
        <v>44593</v>
      </c>
      <c r="N395" s="280">
        <v>44925</v>
      </c>
      <c r="O395" s="280">
        <v>44652</v>
      </c>
      <c r="P395" s="281">
        <f t="shared" si="52"/>
        <v>0.17771084337349397</v>
      </c>
      <c r="Q395" s="281">
        <f t="shared" si="45"/>
        <v>0.17771084337349397</v>
      </c>
      <c r="R395" s="282">
        <v>1</v>
      </c>
      <c r="S395" s="283">
        <v>0.25</v>
      </c>
      <c r="T395" s="283">
        <v>0.5</v>
      </c>
      <c r="U395" s="283">
        <v>0.75</v>
      </c>
      <c r="V395" s="283">
        <v>1</v>
      </c>
      <c r="W395" s="356"/>
      <c r="X395" s="370" t="s">
        <v>1373</v>
      </c>
      <c r="Y395" s="352" t="s">
        <v>52</v>
      </c>
      <c r="Z395" s="284"/>
      <c r="AA395" s="285"/>
      <c r="AB395" s="285"/>
      <c r="AC395" s="284"/>
      <c r="AD395" s="285"/>
      <c r="AE395" s="285"/>
      <c r="AF395" s="284"/>
      <c r="AG395" s="285"/>
      <c r="AH395" s="285"/>
      <c r="AI395" s="286"/>
    </row>
    <row r="396" spans="1:35" ht="93.75" hidden="1" customHeight="1" outlineLevel="1" x14ac:dyDescent="0.2">
      <c r="A396" s="634"/>
      <c r="B396" s="570"/>
      <c r="C396" s="570"/>
      <c r="D396" s="774"/>
      <c r="E396" s="772"/>
      <c r="F396" s="772"/>
      <c r="G396" s="253" t="s">
        <v>1377</v>
      </c>
      <c r="H396" s="253" t="s">
        <v>1378</v>
      </c>
      <c r="I396" s="771"/>
      <c r="J396" s="257" t="s">
        <v>1870</v>
      </c>
      <c r="K396" s="323">
        <v>1000000000</v>
      </c>
      <c r="L396" s="323"/>
      <c r="M396" s="280">
        <v>44593</v>
      </c>
      <c r="N396" s="280">
        <v>44925</v>
      </c>
      <c r="O396" s="280">
        <v>44652</v>
      </c>
      <c r="P396" s="281">
        <f t="shared" si="52"/>
        <v>0.17771084337349397</v>
      </c>
      <c r="Q396" s="281">
        <f t="shared" si="45"/>
        <v>0.17771084337349397</v>
      </c>
      <c r="R396" s="282">
        <v>1</v>
      </c>
      <c r="S396" s="283">
        <v>0.25</v>
      </c>
      <c r="T396" s="283">
        <v>0.5</v>
      </c>
      <c r="U396" s="283">
        <v>0.75</v>
      </c>
      <c r="V396" s="283">
        <v>1</v>
      </c>
      <c r="W396" s="308">
        <v>0.2</v>
      </c>
      <c r="X396" s="283" t="s">
        <v>1350</v>
      </c>
      <c r="Y396" s="352" t="s">
        <v>371</v>
      </c>
      <c r="Z396" s="284"/>
      <c r="AA396" s="285"/>
      <c r="AB396" s="285"/>
      <c r="AC396" s="284"/>
      <c r="AD396" s="285"/>
      <c r="AE396" s="285"/>
      <c r="AF396" s="284"/>
      <c r="AG396" s="285"/>
      <c r="AH396" s="285"/>
      <c r="AI396" s="286"/>
    </row>
    <row r="397" spans="1:35" ht="104.45" hidden="1" customHeight="1" outlineLevel="1" x14ac:dyDescent="0.2">
      <c r="A397" s="634"/>
      <c r="B397" s="570"/>
      <c r="C397" s="570"/>
      <c r="D397" s="774"/>
      <c r="E397" s="772"/>
      <c r="F397" s="772"/>
      <c r="G397" s="432" t="s">
        <v>1868</v>
      </c>
      <c r="H397" s="253" t="s">
        <v>1379</v>
      </c>
      <c r="I397" s="771"/>
      <c r="J397" s="434" t="s">
        <v>636</v>
      </c>
      <c r="K397" s="323">
        <v>411600000</v>
      </c>
      <c r="L397" s="323"/>
      <c r="M397" s="280">
        <v>44593</v>
      </c>
      <c r="N397" s="280">
        <v>44925</v>
      </c>
      <c r="O397" s="280">
        <v>44652</v>
      </c>
      <c r="P397" s="281">
        <f t="shared" si="52"/>
        <v>0.17771084337349397</v>
      </c>
      <c r="Q397" s="281">
        <f t="shared" si="45"/>
        <v>0.17771084337349397</v>
      </c>
      <c r="R397" s="282">
        <v>1</v>
      </c>
      <c r="S397" s="283">
        <v>0.25</v>
      </c>
      <c r="T397" s="283">
        <v>0.5</v>
      </c>
      <c r="U397" s="283">
        <v>0.75</v>
      </c>
      <c r="V397" s="283">
        <v>1</v>
      </c>
      <c r="W397" s="308">
        <v>0.25</v>
      </c>
      <c r="X397" s="283" t="s">
        <v>1380</v>
      </c>
      <c r="Y397" s="352" t="s">
        <v>636</v>
      </c>
      <c r="Z397" s="284"/>
      <c r="AA397" s="285"/>
      <c r="AB397" s="285"/>
      <c r="AC397" s="284"/>
      <c r="AD397" s="285"/>
      <c r="AE397" s="285"/>
      <c r="AF397" s="284"/>
      <c r="AG397" s="285"/>
      <c r="AH397" s="285"/>
      <c r="AI397" s="286"/>
    </row>
    <row r="398" spans="1:35" ht="104.45" hidden="1" customHeight="1" outlineLevel="1" x14ac:dyDescent="0.2">
      <c r="A398" s="509"/>
      <c r="B398" s="570"/>
      <c r="C398" s="570"/>
      <c r="D398" s="774"/>
      <c r="E398" s="772"/>
      <c r="F398" s="772"/>
      <c r="G398" s="507" t="s">
        <v>1868</v>
      </c>
      <c r="H398" s="253" t="s">
        <v>1866</v>
      </c>
      <c r="I398" s="771"/>
      <c r="J398" s="508" t="s">
        <v>1877</v>
      </c>
      <c r="K398" s="323" t="s">
        <v>501</v>
      </c>
      <c r="L398" s="323"/>
      <c r="M398" s="280"/>
      <c r="N398" s="280"/>
      <c r="O398" s="280"/>
      <c r="P398" s="281"/>
      <c r="Q398" s="281"/>
      <c r="R398" s="282"/>
      <c r="S398" s="283"/>
      <c r="T398" s="283"/>
      <c r="U398" s="283"/>
      <c r="V398" s="283"/>
      <c r="W398" s="308"/>
      <c r="X398" s="283"/>
      <c r="Y398" s="352"/>
      <c r="Z398" s="284"/>
      <c r="AA398" s="285"/>
      <c r="AB398" s="285"/>
      <c r="AC398" s="284"/>
      <c r="AD398" s="285"/>
      <c r="AE398" s="285"/>
      <c r="AF398" s="284"/>
      <c r="AG398" s="285"/>
      <c r="AH398" s="285"/>
      <c r="AI398" s="286"/>
    </row>
    <row r="399" spans="1:35" ht="104.45" hidden="1" customHeight="1" outlineLevel="1" x14ac:dyDescent="0.2">
      <c r="A399" s="509"/>
      <c r="B399" s="571"/>
      <c r="C399" s="571"/>
      <c r="D399" s="774"/>
      <c r="E399" s="554"/>
      <c r="F399" s="554"/>
      <c r="G399" s="507" t="s">
        <v>1868</v>
      </c>
      <c r="H399" s="253" t="s">
        <v>1867</v>
      </c>
      <c r="I399" s="763"/>
      <c r="J399" s="508" t="s">
        <v>1876</v>
      </c>
      <c r="K399" s="323" t="s">
        <v>501</v>
      </c>
      <c r="L399" s="323"/>
      <c r="M399" s="280"/>
      <c r="N399" s="280"/>
      <c r="O399" s="280"/>
      <c r="P399" s="281"/>
      <c r="Q399" s="281"/>
      <c r="R399" s="282"/>
      <c r="S399" s="283"/>
      <c r="T399" s="283"/>
      <c r="U399" s="283"/>
      <c r="V399" s="283"/>
      <c r="W399" s="308"/>
      <c r="X399" s="283"/>
      <c r="Y399" s="352"/>
      <c r="Z399" s="284"/>
      <c r="AA399" s="285"/>
      <c r="AB399" s="285"/>
      <c r="AC399" s="284"/>
      <c r="AD399" s="285"/>
      <c r="AE399" s="285"/>
      <c r="AF399" s="284"/>
      <c r="AG399" s="285"/>
      <c r="AH399" s="285"/>
      <c r="AI399" s="286"/>
    </row>
    <row r="400" spans="1:35" ht="127.5" hidden="1" customHeight="1" outlineLevel="1" x14ac:dyDescent="0.2">
      <c r="A400" s="451"/>
      <c r="B400" s="545" t="s">
        <v>1340</v>
      </c>
      <c r="C400" s="545" t="s">
        <v>1381</v>
      </c>
      <c r="D400" s="581" t="s">
        <v>1382</v>
      </c>
      <c r="E400" s="582" t="s">
        <v>1383</v>
      </c>
      <c r="F400" s="582" t="s">
        <v>1384</v>
      </c>
      <c r="G400" s="598" t="s">
        <v>1385</v>
      </c>
      <c r="H400" s="471" t="s">
        <v>1386</v>
      </c>
      <c r="I400" s="598" t="s">
        <v>1387</v>
      </c>
      <c r="J400" s="434" t="s">
        <v>1388</v>
      </c>
      <c r="K400" s="323" t="s">
        <v>52</v>
      </c>
      <c r="L400" s="323"/>
      <c r="M400" s="280">
        <v>44593</v>
      </c>
      <c r="N400" s="280">
        <v>44925</v>
      </c>
      <c r="O400" s="280">
        <v>44652</v>
      </c>
      <c r="P400" s="281">
        <f t="shared" si="52"/>
        <v>0.17771084337349397</v>
      </c>
      <c r="Q400" s="281">
        <f t="shared" ref="Q400:Q405" si="54">+IF(P400&gt;=100,100,IF(P400&lt;=0,0,P400))</f>
        <v>0.17771084337349397</v>
      </c>
      <c r="R400" s="282">
        <v>1</v>
      </c>
      <c r="S400" s="283">
        <v>0.25</v>
      </c>
      <c r="T400" s="283">
        <v>0.5</v>
      </c>
      <c r="U400" s="283">
        <v>0.75</v>
      </c>
      <c r="V400" s="283">
        <v>1</v>
      </c>
      <c r="W400" s="308">
        <v>0.7</v>
      </c>
      <c r="X400" s="283" t="s">
        <v>1389</v>
      </c>
      <c r="Y400" s="352" t="s">
        <v>1390</v>
      </c>
      <c r="Z400" s="284"/>
      <c r="AA400" s="285"/>
      <c r="AB400" s="285"/>
      <c r="AC400" s="284"/>
      <c r="AD400" s="285"/>
      <c r="AE400" s="285"/>
      <c r="AF400" s="284"/>
      <c r="AG400" s="285"/>
      <c r="AH400" s="285"/>
      <c r="AI400" s="286"/>
    </row>
    <row r="401" spans="1:35" ht="104.45" hidden="1" customHeight="1" outlineLevel="1" x14ac:dyDescent="0.2">
      <c r="A401" s="451"/>
      <c r="B401" s="546"/>
      <c r="C401" s="546"/>
      <c r="D401" s="581"/>
      <c r="E401" s="583"/>
      <c r="F401" s="583"/>
      <c r="G401" s="600"/>
      <c r="H401" s="471" t="s">
        <v>1391</v>
      </c>
      <c r="I401" s="599"/>
      <c r="J401" s="434" t="s">
        <v>1346</v>
      </c>
      <c r="K401" s="323">
        <v>25000000</v>
      </c>
      <c r="L401" s="323"/>
      <c r="M401" s="280">
        <v>44593</v>
      </c>
      <c r="N401" s="280">
        <v>44925</v>
      </c>
      <c r="O401" s="280">
        <v>44652</v>
      </c>
      <c r="P401" s="281">
        <f t="shared" si="52"/>
        <v>0.17771084337349397</v>
      </c>
      <c r="Q401" s="281">
        <f t="shared" si="54"/>
        <v>0.17771084337349397</v>
      </c>
      <c r="R401" s="282">
        <v>1</v>
      </c>
      <c r="S401" s="283">
        <v>0.25</v>
      </c>
      <c r="T401" s="283">
        <v>0.5</v>
      </c>
      <c r="U401" s="283">
        <v>0.75</v>
      </c>
      <c r="V401" s="283">
        <v>1</v>
      </c>
      <c r="W401" s="308">
        <v>0.25</v>
      </c>
      <c r="X401" s="283" t="s">
        <v>1392</v>
      </c>
      <c r="Y401" s="352" t="s">
        <v>52</v>
      </c>
      <c r="Z401" s="284"/>
      <c r="AA401" s="285"/>
      <c r="AB401" s="285"/>
      <c r="AC401" s="284"/>
      <c r="AD401" s="285"/>
      <c r="AE401" s="285"/>
      <c r="AF401" s="284"/>
      <c r="AG401" s="285"/>
      <c r="AH401" s="285"/>
      <c r="AI401" s="286"/>
    </row>
    <row r="402" spans="1:35" ht="202.5" hidden="1" customHeight="1" outlineLevel="1" x14ac:dyDescent="0.2">
      <c r="A402" s="451"/>
      <c r="B402" s="546"/>
      <c r="C402" s="546"/>
      <c r="D402" s="581"/>
      <c r="E402" s="583"/>
      <c r="F402" s="583"/>
      <c r="G402" s="478" t="s">
        <v>1385</v>
      </c>
      <c r="H402" s="471" t="s">
        <v>1393</v>
      </c>
      <c r="I402" s="600"/>
      <c r="J402" s="434" t="s">
        <v>450</v>
      </c>
      <c r="K402" s="323">
        <v>125000000</v>
      </c>
      <c r="L402" s="323"/>
      <c r="M402" s="280">
        <v>44593</v>
      </c>
      <c r="N402" s="280">
        <v>44925</v>
      </c>
      <c r="O402" s="280">
        <v>44652</v>
      </c>
      <c r="P402" s="281">
        <f t="shared" si="52"/>
        <v>0.17771084337349397</v>
      </c>
      <c r="Q402" s="281">
        <f t="shared" si="54"/>
        <v>0.17771084337349397</v>
      </c>
      <c r="R402" s="282">
        <v>1</v>
      </c>
      <c r="S402" s="283">
        <v>0.25</v>
      </c>
      <c r="T402" s="283">
        <v>0.5</v>
      </c>
      <c r="U402" s="283">
        <v>0.75</v>
      </c>
      <c r="V402" s="283">
        <v>1</v>
      </c>
      <c r="W402" s="308">
        <v>0.25</v>
      </c>
      <c r="X402" s="283" t="s">
        <v>1394</v>
      </c>
      <c r="Y402" s="352" t="s">
        <v>1395</v>
      </c>
      <c r="Z402" s="284"/>
      <c r="AA402" s="285"/>
      <c r="AB402" s="285"/>
      <c r="AC402" s="284"/>
      <c r="AD402" s="285"/>
      <c r="AE402" s="285"/>
      <c r="AF402" s="284"/>
      <c r="AG402" s="285"/>
      <c r="AH402" s="285"/>
      <c r="AI402" s="286"/>
    </row>
    <row r="403" spans="1:35" ht="127.5" hidden="1" customHeight="1" outlineLevel="1" x14ac:dyDescent="0.2">
      <c r="A403" s="451"/>
      <c r="B403" s="546"/>
      <c r="C403" s="546"/>
      <c r="D403" s="581"/>
      <c r="E403" s="583"/>
      <c r="F403" s="583"/>
      <c r="G403" s="478" t="s">
        <v>1385</v>
      </c>
      <c r="H403" s="471" t="s">
        <v>1396</v>
      </c>
      <c r="I403" s="598" t="s">
        <v>1397</v>
      </c>
      <c r="J403" s="434" t="s">
        <v>1346</v>
      </c>
      <c r="K403" s="323">
        <v>25000000</v>
      </c>
      <c r="L403" s="323"/>
      <c r="M403" s="280">
        <v>44593</v>
      </c>
      <c r="N403" s="280">
        <v>44925</v>
      </c>
      <c r="O403" s="280">
        <v>44652</v>
      </c>
      <c r="P403" s="281">
        <f t="shared" si="52"/>
        <v>0.17771084337349397</v>
      </c>
      <c r="Q403" s="281">
        <f t="shared" si="54"/>
        <v>0.17771084337349397</v>
      </c>
      <c r="R403" s="282">
        <v>1</v>
      </c>
      <c r="S403" s="283">
        <v>0.25</v>
      </c>
      <c r="T403" s="283">
        <v>0.5</v>
      </c>
      <c r="U403" s="283">
        <v>0.75</v>
      </c>
      <c r="V403" s="283">
        <v>1</v>
      </c>
      <c r="W403" s="308">
        <v>0.25</v>
      </c>
      <c r="X403" s="283" t="s">
        <v>1398</v>
      </c>
      <c r="Y403" s="352" t="s">
        <v>1395</v>
      </c>
      <c r="Z403" s="284"/>
      <c r="AA403" s="285"/>
      <c r="AB403" s="285"/>
      <c r="AC403" s="284"/>
      <c r="AD403" s="285"/>
      <c r="AE403" s="285"/>
      <c r="AF403" s="284"/>
      <c r="AG403" s="285"/>
      <c r="AH403" s="285"/>
      <c r="AI403" s="286"/>
    </row>
    <row r="404" spans="1:35" ht="104.45" hidden="1" customHeight="1" outlineLevel="1" x14ac:dyDescent="0.2">
      <c r="A404" s="451"/>
      <c r="B404" s="546"/>
      <c r="C404" s="546"/>
      <c r="D404" s="581"/>
      <c r="E404" s="583"/>
      <c r="F404" s="583"/>
      <c r="G404" s="478" t="s">
        <v>1385</v>
      </c>
      <c r="H404" s="471" t="s">
        <v>1399</v>
      </c>
      <c r="I404" s="599"/>
      <c r="J404" s="434" t="s">
        <v>296</v>
      </c>
      <c r="K404" s="323">
        <v>272097792</v>
      </c>
      <c r="L404" s="323"/>
      <c r="M404" s="280">
        <v>44593</v>
      </c>
      <c r="N404" s="280">
        <v>44925</v>
      </c>
      <c r="O404" s="280">
        <v>44652</v>
      </c>
      <c r="P404" s="281">
        <f t="shared" si="52"/>
        <v>0.17771084337349397</v>
      </c>
      <c r="Q404" s="281">
        <f t="shared" si="54"/>
        <v>0.17771084337349397</v>
      </c>
      <c r="R404" s="282">
        <v>1</v>
      </c>
      <c r="S404" s="283">
        <v>0.25</v>
      </c>
      <c r="T404" s="283">
        <v>0.5</v>
      </c>
      <c r="U404" s="283">
        <v>0.75</v>
      </c>
      <c r="V404" s="283">
        <v>1</v>
      </c>
      <c r="W404" s="308">
        <v>0</v>
      </c>
      <c r="X404" s="283" t="s">
        <v>1400</v>
      </c>
      <c r="Y404" s="352" t="s">
        <v>52</v>
      </c>
      <c r="Z404" s="284"/>
      <c r="AA404" s="285"/>
      <c r="AB404" s="285"/>
      <c r="AC404" s="284"/>
      <c r="AD404" s="285"/>
      <c r="AE404" s="285"/>
      <c r="AF404" s="284"/>
      <c r="AG404" s="285"/>
      <c r="AH404" s="285"/>
      <c r="AI404" s="286"/>
    </row>
    <row r="405" spans="1:35" ht="104.45" hidden="1" customHeight="1" outlineLevel="1" x14ac:dyDescent="0.2">
      <c r="A405" s="451"/>
      <c r="B405" s="547"/>
      <c r="C405" s="547"/>
      <c r="D405" s="581"/>
      <c r="E405" s="584"/>
      <c r="F405" s="584"/>
      <c r="G405" s="478" t="s">
        <v>1385</v>
      </c>
      <c r="H405" s="471" t="s">
        <v>1401</v>
      </c>
      <c r="I405" s="600"/>
      <c r="J405" s="434" t="s">
        <v>450</v>
      </c>
      <c r="K405" s="322">
        <v>250000004</v>
      </c>
      <c r="L405" s="322"/>
      <c r="M405" s="280">
        <v>44593</v>
      </c>
      <c r="N405" s="280">
        <v>44925</v>
      </c>
      <c r="O405" s="280">
        <v>44652</v>
      </c>
      <c r="P405" s="281">
        <f t="shared" si="52"/>
        <v>0.17771084337349397</v>
      </c>
      <c r="Q405" s="281">
        <f t="shared" si="54"/>
        <v>0.17771084337349397</v>
      </c>
      <c r="R405" s="282">
        <v>1</v>
      </c>
      <c r="S405" s="283">
        <v>0.25</v>
      </c>
      <c r="T405" s="283">
        <v>0.5</v>
      </c>
      <c r="U405" s="283">
        <v>0.75</v>
      </c>
      <c r="V405" s="283">
        <v>1</v>
      </c>
      <c r="W405" s="308">
        <v>0.25</v>
      </c>
      <c r="X405" s="283" t="s">
        <v>1402</v>
      </c>
      <c r="Y405" s="352" t="s">
        <v>52</v>
      </c>
      <c r="Z405" s="284"/>
      <c r="AA405" s="285"/>
      <c r="AB405" s="285"/>
      <c r="AC405" s="284"/>
      <c r="AD405" s="285"/>
      <c r="AE405" s="285"/>
      <c r="AF405" s="284"/>
      <c r="AG405" s="285"/>
      <c r="AH405" s="285"/>
      <c r="AI405" s="286"/>
    </row>
    <row r="406" spans="1:35" ht="55.15" customHeight="1" collapsed="1" thickBot="1" x14ac:dyDescent="0.25">
      <c r="A406" s="632" t="s">
        <v>1403</v>
      </c>
      <c r="B406" s="632"/>
      <c r="C406" s="632"/>
      <c r="D406" s="632"/>
      <c r="E406" s="632"/>
      <c r="F406" s="632"/>
      <c r="G406" s="632"/>
      <c r="H406" s="632"/>
      <c r="I406" s="632"/>
      <c r="J406" s="632"/>
      <c r="K406" s="632"/>
      <c r="L406" s="632"/>
      <c r="M406" s="632"/>
      <c r="N406" s="632"/>
      <c r="O406" s="316">
        <v>44652</v>
      </c>
      <c r="P406" s="281"/>
      <c r="Q406" s="292">
        <f t="array" ref="Q406">+AVERAGE((Q322:Q405)*100)</f>
        <v>17.347963281698195</v>
      </c>
      <c r="R406" s="293">
        <v>100</v>
      </c>
      <c r="S406" s="283"/>
      <c r="T406" s="283"/>
      <c r="U406" s="283"/>
      <c r="V406" s="283"/>
      <c r="W406" s="406">
        <f>AVERAGE(W244:W405)</f>
        <v>0.2225641025641025</v>
      </c>
      <c r="X406" s="283"/>
      <c r="Y406" s="352"/>
      <c r="Z406" s="284"/>
      <c r="AA406" s="285"/>
      <c r="AB406" s="285"/>
      <c r="AC406" s="284"/>
      <c r="AD406" s="285"/>
      <c r="AE406" s="285"/>
      <c r="AF406" s="284"/>
      <c r="AG406" s="285"/>
      <c r="AH406" s="285"/>
      <c r="AI406" s="296"/>
    </row>
    <row r="407" spans="1:35" ht="260.25" hidden="1" customHeight="1" outlineLevel="1" x14ac:dyDescent="0.2">
      <c r="A407" s="633" t="s">
        <v>1404</v>
      </c>
      <c r="B407" s="545" t="s">
        <v>1405</v>
      </c>
      <c r="C407" s="545" t="s">
        <v>1406</v>
      </c>
      <c r="D407" s="515" t="s">
        <v>1407</v>
      </c>
      <c r="E407" s="617" t="s">
        <v>1408</v>
      </c>
      <c r="F407" s="617" t="s">
        <v>1409</v>
      </c>
      <c r="G407" s="479" t="s">
        <v>501</v>
      </c>
      <c r="H407" s="255" t="s">
        <v>1410</v>
      </c>
      <c r="I407" s="889" t="s">
        <v>1411</v>
      </c>
      <c r="J407" s="275" t="s">
        <v>1864</v>
      </c>
      <c r="K407" s="542">
        <v>150000000</v>
      </c>
      <c r="L407" s="333"/>
      <c r="M407" s="297">
        <v>44593</v>
      </c>
      <c r="N407" s="297">
        <v>44925</v>
      </c>
      <c r="O407" s="280">
        <v>44652</v>
      </c>
      <c r="P407" s="281">
        <f t="shared" si="52"/>
        <v>0.17771084337349397</v>
      </c>
      <c r="Q407" s="281">
        <f t="shared" ref="Q407:Q435" si="55">+IF(P407&gt;=100,100,IF(P407&lt;=0,0,P407))</f>
        <v>0.17771084337349397</v>
      </c>
      <c r="R407" s="282">
        <v>1</v>
      </c>
      <c r="S407" s="283">
        <v>0.65</v>
      </c>
      <c r="T407" s="283">
        <v>0.75</v>
      </c>
      <c r="U407" s="283">
        <v>0.85</v>
      </c>
      <c r="V407" s="283">
        <v>0.1</v>
      </c>
      <c r="W407" s="308">
        <v>0.2</v>
      </c>
      <c r="X407" s="283" t="s">
        <v>1865</v>
      </c>
      <c r="Y407" s="352" t="s">
        <v>1414</v>
      </c>
      <c r="Z407" s="284"/>
      <c r="AA407" s="285"/>
      <c r="AB407" s="285"/>
      <c r="AC407" s="284"/>
      <c r="AD407" s="285"/>
      <c r="AE407" s="285"/>
      <c r="AF407" s="284"/>
      <c r="AG407" s="285"/>
      <c r="AH407" s="285"/>
      <c r="AI407" s="286"/>
    </row>
    <row r="408" spans="1:35" ht="63" hidden="1" customHeight="1" outlineLevel="1" x14ac:dyDescent="0.2">
      <c r="A408" s="634"/>
      <c r="B408" s="546"/>
      <c r="C408" s="546"/>
      <c r="D408" s="516"/>
      <c r="E408" s="618"/>
      <c r="F408" s="618"/>
      <c r="G408" s="480"/>
      <c r="H408" s="255" t="s">
        <v>1415</v>
      </c>
      <c r="I408" s="890"/>
      <c r="J408" s="404" t="s">
        <v>1878</v>
      </c>
      <c r="K408" s="543"/>
      <c r="L408" s="335"/>
      <c r="M408" s="297">
        <v>44593</v>
      </c>
      <c r="N408" s="297">
        <v>44925</v>
      </c>
      <c r="O408" s="280">
        <v>44652</v>
      </c>
      <c r="P408" s="281">
        <f t="shared" si="52"/>
        <v>0.17771084337349397</v>
      </c>
      <c r="Q408" s="281">
        <f t="shared" si="55"/>
        <v>0.17771084337349397</v>
      </c>
      <c r="R408" s="282">
        <v>1</v>
      </c>
      <c r="S408" s="283">
        <v>0.25</v>
      </c>
      <c r="T408" s="283">
        <v>0.5</v>
      </c>
      <c r="U408" s="283">
        <v>0.75</v>
      </c>
      <c r="V408" s="283">
        <v>1</v>
      </c>
      <c r="W408" s="308">
        <v>0</v>
      </c>
      <c r="X408" s="283" t="s">
        <v>1416</v>
      </c>
      <c r="Y408" s="352" t="s">
        <v>52</v>
      </c>
      <c r="Z408" s="284"/>
      <c r="AA408" s="285"/>
      <c r="AB408" s="285"/>
      <c r="AC408" s="284"/>
      <c r="AD408" s="285"/>
      <c r="AE408" s="285"/>
      <c r="AF408" s="284"/>
      <c r="AG408" s="285"/>
      <c r="AH408" s="285"/>
      <c r="AI408" s="286"/>
    </row>
    <row r="409" spans="1:35" ht="63" hidden="1" customHeight="1" outlineLevel="1" x14ac:dyDescent="0.2">
      <c r="A409" s="634"/>
      <c r="B409" s="546"/>
      <c r="C409" s="546"/>
      <c r="D409" s="516"/>
      <c r="E409" s="618"/>
      <c r="F409" s="618"/>
      <c r="G409" s="514"/>
      <c r="H409" s="255" t="s">
        <v>1881</v>
      </c>
      <c r="I409" s="890"/>
      <c r="J409" s="404" t="s">
        <v>1882</v>
      </c>
      <c r="K409" s="543"/>
      <c r="L409" s="335"/>
      <c r="M409" s="297"/>
      <c r="N409" s="297"/>
      <c r="O409" s="280"/>
      <c r="P409" s="281"/>
      <c r="Q409" s="281"/>
      <c r="R409" s="282"/>
      <c r="S409" s="283"/>
      <c r="T409" s="283"/>
      <c r="U409" s="283"/>
      <c r="V409" s="283"/>
      <c r="W409" s="308">
        <v>0</v>
      </c>
      <c r="X409" s="283" t="s">
        <v>1416</v>
      </c>
      <c r="Y409" s="352" t="s">
        <v>52</v>
      </c>
      <c r="Z409" s="284"/>
      <c r="AA409" s="285"/>
      <c r="AB409" s="285"/>
      <c r="AC409" s="284"/>
      <c r="AD409" s="285"/>
      <c r="AE409" s="285"/>
      <c r="AF409" s="284"/>
      <c r="AG409" s="285"/>
      <c r="AH409" s="285"/>
      <c r="AI409" s="286"/>
    </row>
    <row r="410" spans="1:35" ht="71.25" hidden="1" customHeight="1" outlineLevel="1" x14ac:dyDescent="0.2">
      <c r="A410" s="634"/>
      <c r="B410" s="546"/>
      <c r="C410" s="546"/>
      <c r="D410" s="516"/>
      <c r="E410" s="618"/>
      <c r="F410" s="618"/>
      <c r="G410" s="480"/>
      <c r="H410" s="255" t="s">
        <v>1417</v>
      </c>
      <c r="I410" s="890"/>
      <c r="J410" s="404" t="s">
        <v>1879</v>
      </c>
      <c r="K410" s="543"/>
      <c r="L410" s="335"/>
      <c r="M410" s="297">
        <v>44593</v>
      </c>
      <c r="N410" s="297">
        <v>44925</v>
      </c>
      <c r="O410" s="280">
        <v>44652</v>
      </c>
      <c r="P410" s="281">
        <f t="shared" si="52"/>
        <v>0.17771084337349397</v>
      </c>
      <c r="Q410" s="281">
        <f t="shared" si="55"/>
        <v>0.17771084337349397</v>
      </c>
      <c r="R410" s="282">
        <v>1</v>
      </c>
      <c r="S410" s="283">
        <v>0.25</v>
      </c>
      <c r="T410" s="283">
        <v>0.5</v>
      </c>
      <c r="U410" s="283">
        <v>0.75</v>
      </c>
      <c r="V410" s="283">
        <v>1</v>
      </c>
      <c r="W410" s="308">
        <v>0</v>
      </c>
      <c r="X410" s="283" t="s">
        <v>1416</v>
      </c>
      <c r="Y410" s="352" t="s">
        <v>52</v>
      </c>
      <c r="Z410" s="284"/>
      <c r="AA410" s="285"/>
      <c r="AB410" s="285"/>
      <c r="AC410" s="284"/>
      <c r="AD410" s="285"/>
      <c r="AE410" s="285"/>
      <c r="AF410" s="284"/>
      <c r="AG410" s="285"/>
      <c r="AH410" s="285"/>
      <c r="AI410" s="286"/>
    </row>
    <row r="411" spans="1:35" ht="47.25" hidden="1" customHeight="1" outlineLevel="1" x14ac:dyDescent="0.2">
      <c r="A411" s="634"/>
      <c r="B411" s="546"/>
      <c r="C411" s="546"/>
      <c r="D411" s="516"/>
      <c r="E411" s="618"/>
      <c r="F411" s="619"/>
      <c r="G411" s="480"/>
      <c r="H411" s="255" t="s">
        <v>1418</v>
      </c>
      <c r="I411" s="891"/>
      <c r="J411" s="404" t="s">
        <v>1880</v>
      </c>
      <c r="K411" s="544"/>
      <c r="L411" s="335"/>
      <c r="M411" s="297">
        <v>44593</v>
      </c>
      <c r="N411" s="297">
        <v>44925</v>
      </c>
      <c r="O411" s="280">
        <v>44652</v>
      </c>
      <c r="P411" s="281">
        <f t="shared" si="52"/>
        <v>0.17771084337349397</v>
      </c>
      <c r="Q411" s="281">
        <f t="shared" si="55"/>
        <v>0.17771084337349397</v>
      </c>
      <c r="R411" s="282">
        <v>1</v>
      </c>
      <c r="S411" s="283">
        <v>0.25</v>
      </c>
      <c r="T411" s="283">
        <v>0.5</v>
      </c>
      <c r="U411" s="283">
        <v>0.75</v>
      </c>
      <c r="V411" s="283">
        <v>1</v>
      </c>
      <c r="W411" s="308">
        <v>0</v>
      </c>
      <c r="X411" s="283" t="s">
        <v>1416</v>
      </c>
      <c r="Y411" s="352" t="s">
        <v>52</v>
      </c>
      <c r="Z411" s="284"/>
      <c r="AA411" s="285"/>
      <c r="AB411" s="285"/>
      <c r="AC411" s="284"/>
      <c r="AD411" s="285"/>
      <c r="AE411" s="285"/>
      <c r="AF411" s="284"/>
      <c r="AG411" s="285"/>
      <c r="AH411" s="285"/>
      <c r="AI411" s="286"/>
    </row>
    <row r="412" spans="1:35" ht="46.5" hidden="1" customHeight="1" outlineLevel="1" x14ac:dyDescent="0.2">
      <c r="A412" s="634"/>
      <c r="B412" s="546"/>
      <c r="C412" s="546"/>
      <c r="D412" s="516"/>
      <c r="E412" s="618"/>
      <c r="F412" s="513" t="s">
        <v>1419</v>
      </c>
      <c r="G412" s="480"/>
      <c r="H412" s="255" t="s">
        <v>1420</v>
      </c>
      <c r="I412" s="511" t="s">
        <v>1421</v>
      </c>
      <c r="J412" s="275" t="s">
        <v>1412</v>
      </c>
      <c r="K412" s="334" t="s">
        <v>116</v>
      </c>
      <c r="L412" s="334"/>
      <c r="M412" s="297">
        <v>44593</v>
      </c>
      <c r="N412" s="297">
        <v>44925</v>
      </c>
      <c r="O412" s="280">
        <v>44652</v>
      </c>
      <c r="P412" s="281">
        <f t="shared" si="52"/>
        <v>0.17771084337349397</v>
      </c>
      <c r="Q412" s="281">
        <f t="shared" si="55"/>
        <v>0.17771084337349397</v>
      </c>
      <c r="R412" s="282">
        <v>0.6</v>
      </c>
      <c r="S412" s="283">
        <v>0.35</v>
      </c>
      <c r="T412" s="283">
        <v>0.45</v>
      </c>
      <c r="U412" s="283">
        <v>0.55000000000000004</v>
      </c>
      <c r="V412" s="283">
        <v>0.6</v>
      </c>
      <c r="W412" s="308">
        <v>0</v>
      </c>
      <c r="X412" s="283" t="s">
        <v>1422</v>
      </c>
      <c r="Y412" s="352" t="s">
        <v>52</v>
      </c>
      <c r="Z412" s="284"/>
      <c r="AA412" s="285"/>
      <c r="AB412" s="285"/>
      <c r="AC412" s="284"/>
      <c r="AD412" s="285"/>
      <c r="AE412" s="285"/>
      <c r="AF412" s="284"/>
      <c r="AG412" s="285"/>
      <c r="AH412" s="285"/>
      <c r="AI412" s="286"/>
    </row>
    <row r="413" spans="1:35" ht="59.25" hidden="1" customHeight="1" outlineLevel="1" x14ac:dyDescent="0.2">
      <c r="A413" s="634"/>
      <c r="B413" s="546"/>
      <c r="C413" s="546"/>
      <c r="D413" s="516"/>
      <c r="E413" s="617" t="s">
        <v>1423</v>
      </c>
      <c r="F413" s="617" t="s">
        <v>1424</v>
      </c>
      <c r="G413" s="480"/>
      <c r="H413" s="255" t="s">
        <v>1871</v>
      </c>
      <c r="I413" s="614" t="s">
        <v>1425</v>
      </c>
      <c r="J413" s="275" t="s">
        <v>1426</v>
      </c>
      <c r="K413" s="335">
        <v>12000000</v>
      </c>
      <c r="L413" s="335"/>
      <c r="M413" s="297">
        <v>44593</v>
      </c>
      <c r="N413" s="297">
        <v>44925</v>
      </c>
      <c r="O413" s="280">
        <v>44652</v>
      </c>
      <c r="P413" s="281">
        <f t="shared" si="52"/>
        <v>0.17771084337349397</v>
      </c>
      <c r="Q413" s="281">
        <f t="shared" si="55"/>
        <v>0.17771084337349397</v>
      </c>
      <c r="R413" s="282">
        <v>1</v>
      </c>
      <c r="S413" s="283">
        <v>0.25</v>
      </c>
      <c r="T413" s="283">
        <v>0.5</v>
      </c>
      <c r="U413" s="283">
        <v>0.75</v>
      </c>
      <c r="V413" s="283">
        <v>1</v>
      </c>
      <c r="W413" s="308">
        <v>0</v>
      </c>
      <c r="X413" s="283" t="s">
        <v>1427</v>
      </c>
      <c r="Y413" s="352" t="s">
        <v>52</v>
      </c>
      <c r="Z413" s="284"/>
      <c r="AA413" s="285"/>
      <c r="AB413" s="285"/>
      <c r="AC413" s="284"/>
      <c r="AD413" s="285"/>
      <c r="AE413" s="285"/>
      <c r="AF413" s="284"/>
      <c r="AG413" s="285"/>
      <c r="AH413" s="285"/>
      <c r="AI413" s="286"/>
    </row>
    <row r="414" spans="1:35" ht="72" hidden="1" customHeight="1" outlineLevel="1" x14ac:dyDescent="0.2">
      <c r="A414" s="634"/>
      <c r="B414" s="546"/>
      <c r="C414" s="546"/>
      <c r="D414" s="516"/>
      <c r="E414" s="618"/>
      <c r="F414" s="618"/>
      <c r="G414" s="480"/>
      <c r="H414" s="255" t="s">
        <v>1428</v>
      </c>
      <c r="I414" s="615"/>
      <c r="J414" s="275" t="s">
        <v>1429</v>
      </c>
      <c r="K414" s="335">
        <v>80000000</v>
      </c>
      <c r="L414" s="335"/>
      <c r="M414" s="297">
        <v>44593</v>
      </c>
      <c r="N414" s="297">
        <v>44925</v>
      </c>
      <c r="O414" s="280">
        <v>44652</v>
      </c>
      <c r="P414" s="281">
        <f t="shared" si="52"/>
        <v>0.17771084337349397</v>
      </c>
      <c r="Q414" s="281">
        <f t="shared" si="55"/>
        <v>0.17771084337349397</v>
      </c>
      <c r="R414" s="282">
        <v>1</v>
      </c>
      <c r="S414" s="283">
        <v>0.25</v>
      </c>
      <c r="T414" s="283">
        <v>0.5</v>
      </c>
      <c r="U414" s="283">
        <v>0.75</v>
      </c>
      <c r="V414" s="283">
        <v>1</v>
      </c>
      <c r="W414" s="308">
        <v>0.8</v>
      </c>
      <c r="X414" s="283" t="s">
        <v>1430</v>
      </c>
      <c r="Y414" s="352" t="s">
        <v>371</v>
      </c>
      <c r="Z414" s="284"/>
      <c r="AA414" s="285"/>
      <c r="AB414" s="285"/>
      <c r="AC414" s="284"/>
      <c r="AD414" s="285"/>
      <c r="AE414" s="285"/>
      <c r="AF414" s="284"/>
      <c r="AG414" s="285"/>
      <c r="AH414" s="285"/>
      <c r="AI414" s="286"/>
    </row>
    <row r="415" spans="1:35" ht="46.5" hidden="1" customHeight="1" outlineLevel="1" x14ac:dyDescent="0.2">
      <c r="A415" s="634"/>
      <c r="B415" s="546"/>
      <c r="C415" s="546"/>
      <c r="D415" s="516"/>
      <c r="E415" s="618"/>
      <c r="F415" s="619"/>
      <c r="G415" s="480"/>
      <c r="H415" s="255" t="s">
        <v>1432</v>
      </c>
      <c r="I415" s="616"/>
      <c r="J415" s="275" t="s">
        <v>1431</v>
      </c>
      <c r="K415" s="335">
        <v>30000000</v>
      </c>
      <c r="L415" s="335"/>
      <c r="M415" s="297">
        <v>44593</v>
      </c>
      <c r="N415" s="297">
        <v>44925</v>
      </c>
      <c r="O415" s="280">
        <v>44652</v>
      </c>
      <c r="P415" s="281">
        <f t="shared" si="52"/>
        <v>0.17771084337349397</v>
      </c>
      <c r="Q415" s="281">
        <f t="shared" si="55"/>
        <v>0.17771084337349397</v>
      </c>
      <c r="R415" s="282">
        <v>1</v>
      </c>
      <c r="S415" s="283">
        <v>0.25</v>
      </c>
      <c r="T415" s="283">
        <v>0.5</v>
      </c>
      <c r="U415" s="283">
        <v>0.75</v>
      </c>
      <c r="V415" s="283">
        <v>1</v>
      </c>
      <c r="W415" s="308">
        <v>0</v>
      </c>
      <c r="X415" s="283" t="s">
        <v>1433</v>
      </c>
      <c r="Y415" s="352" t="s">
        <v>52</v>
      </c>
      <c r="Z415" s="284"/>
      <c r="AA415" s="285"/>
      <c r="AB415" s="285"/>
      <c r="AC415" s="284"/>
      <c r="AD415" s="285"/>
      <c r="AE415" s="285"/>
      <c r="AF415" s="284"/>
      <c r="AG415" s="285"/>
      <c r="AH415" s="285"/>
      <c r="AI415" s="286"/>
    </row>
    <row r="416" spans="1:35" ht="56.25" hidden="1" customHeight="1" outlineLevel="1" x14ac:dyDescent="0.2">
      <c r="A416" s="634"/>
      <c r="B416" s="546"/>
      <c r="C416" s="546"/>
      <c r="D416" s="516"/>
      <c r="E416" s="618"/>
      <c r="F416" s="617" t="s">
        <v>1434</v>
      </c>
      <c r="G416" s="480"/>
      <c r="H416" s="255" t="s">
        <v>1435</v>
      </c>
      <c r="I416" s="614" t="s">
        <v>1436</v>
      </c>
      <c r="J416" s="275" t="s">
        <v>1431</v>
      </c>
      <c r="K416" s="383">
        <v>40000000</v>
      </c>
      <c r="L416" s="335">
        <v>177845094</v>
      </c>
      <c r="M416" s="297">
        <v>44593</v>
      </c>
      <c r="N416" s="297">
        <v>44925</v>
      </c>
      <c r="O416" s="280">
        <v>44652</v>
      </c>
      <c r="P416" s="281">
        <f t="shared" si="52"/>
        <v>0.17771084337349397</v>
      </c>
      <c r="Q416" s="281">
        <f t="shared" si="55"/>
        <v>0.17771084337349397</v>
      </c>
      <c r="R416" s="282">
        <v>1</v>
      </c>
      <c r="S416" s="283">
        <v>0.25</v>
      </c>
      <c r="T416" s="283">
        <v>0.5</v>
      </c>
      <c r="U416" s="283">
        <v>0.75</v>
      </c>
      <c r="V416" s="283">
        <v>1</v>
      </c>
      <c r="W416" s="308">
        <v>0.3</v>
      </c>
      <c r="X416" s="283" t="s">
        <v>1437</v>
      </c>
      <c r="Y416" s="352" t="s">
        <v>1438</v>
      </c>
      <c r="Z416" s="284"/>
      <c r="AA416" s="285"/>
      <c r="AB416" s="285"/>
      <c r="AC416" s="284"/>
      <c r="AD416" s="285"/>
      <c r="AE416" s="285"/>
      <c r="AF416" s="284"/>
      <c r="AG416" s="285"/>
      <c r="AH416" s="285"/>
      <c r="AI416" s="286"/>
    </row>
    <row r="417" spans="1:35" ht="150" hidden="1" customHeight="1" outlineLevel="1" x14ac:dyDescent="0.2">
      <c r="A417" s="634"/>
      <c r="B417" s="546"/>
      <c r="C417" s="546"/>
      <c r="D417" s="516"/>
      <c r="E417" s="618"/>
      <c r="F417" s="618"/>
      <c r="G417" s="480"/>
      <c r="H417" s="255" t="s">
        <v>1439</v>
      </c>
      <c r="I417" s="615"/>
      <c r="J417" s="275" t="s">
        <v>1440</v>
      </c>
      <c r="K417" s="335">
        <v>105000000</v>
      </c>
      <c r="L417" s="335">
        <v>10008369</v>
      </c>
      <c r="M417" s="297">
        <v>44593</v>
      </c>
      <c r="N417" s="297">
        <v>44925</v>
      </c>
      <c r="O417" s="280">
        <v>44652</v>
      </c>
      <c r="P417" s="281">
        <f t="shared" si="52"/>
        <v>0.17771084337349397</v>
      </c>
      <c r="Q417" s="281">
        <f t="shared" si="55"/>
        <v>0.17771084337349397</v>
      </c>
      <c r="R417" s="282">
        <v>1</v>
      </c>
      <c r="S417" s="283">
        <v>0.25</v>
      </c>
      <c r="T417" s="283">
        <v>0.5</v>
      </c>
      <c r="U417" s="283">
        <v>0.75</v>
      </c>
      <c r="V417" s="283">
        <v>1</v>
      </c>
      <c r="W417" s="308">
        <v>0.25</v>
      </c>
      <c r="X417" s="283" t="s">
        <v>1441</v>
      </c>
      <c r="Y417" s="352" t="s">
        <v>1442</v>
      </c>
      <c r="Z417" s="284"/>
      <c r="AA417" s="285"/>
      <c r="AB417" s="285"/>
      <c r="AC417" s="284"/>
      <c r="AD417" s="285"/>
      <c r="AE417" s="285"/>
      <c r="AF417" s="284"/>
      <c r="AG417" s="285"/>
      <c r="AH417" s="285"/>
      <c r="AI417" s="286"/>
    </row>
    <row r="418" spans="1:35" ht="46.5" hidden="1" customHeight="1" outlineLevel="1" x14ac:dyDescent="0.2">
      <c r="A418" s="634"/>
      <c r="B418" s="546"/>
      <c r="C418" s="546"/>
      <c r="D418" s="516"/>
      <c r="E418" s="618"/>
      <c r="F418" s="618"/>
      <c r="G418" s="480"/>
      <c r="H418" s="255" t="s">
        <v>1443</v>
      </c>
      <c r="I418" s="615"/>
      <c r="J418" s="275" t="s">
        <v>1444</v>
      </c>
      <c r="K418" s="335">
        <v>30000000</v>
      </c>
      <c r="L418" s="335"/>
      <c r="M418" s="297">
        <v>44593</v>
      </c>
      <c r="N418" s="297">
        <v>44925</v>
      </c>
      <c r="O418" s="280">
        <v>44652</v>
      </c>
      <c r="P418" s="281">
        <f t="shared" si="52"/>
        <v>0.17771084337349397</v>
      </c>
      <c r="Q418" s="281">
        <f t="shared" si="55"/>
        <v>0.17771084337349397</v>
      </c>
      <c r="R418" s="282">
        <v>1</v>
      </c>
      <c r="S418" s="283">
        <v>0.25</v>
      </c>
      <c r="T418" s="283">
        <v>0.5</v>
      </c>
      <c r="U418" s="283">
        <v>0.75</v>
      </c>
      <c r="V418" s="283">
        <v>1</v>
      </c>
      <c r="W418" s="308">
        <v>0</v>
      </c>
      <c r="X418" s="283" t="s">
        <v>1427</v>
      </c>
      <c r="Y418" s="352" t="s">
        <v>52</v>
      </c>
      <c r="Z418" s="284"/>
      <c r="AA418" s="285"/>
      <c r="AB418" s="285"/>
      <c r="AC418" s="284"/>
      <c r="AD418" s="285"/>
      <c r="AE418" s="285"/>
      <c r="AF418" s="284"/>
      <c r="AG418" s="285"/>
      <c r="AH418" s="285"/>
      <c r="AI418" s="286"/>
    </row>
    <row r="419" spans="1:35" ht="144" hidden="1" customHeight="1" outlineLevel="1" x14ac:dyDescent="0.2">
      <c r="A419" s="634"/>
      <c r="B419" s="546"/>
      <c r="C419" s="546"/>
      <c r="D419" s="516"/>
      <c r="E419" s="618"/>
      <c r="F419" s="618"/>
      <c r="G419" s="480"/>
      <c r="H419" s="255" t="s">
        <v>1445</v>
      </c>
      <c r="I419" s="615"/>
      <c r="J419" s="275" t="s">
        <v>1446</v>
      </c>
      <c r="K419" s="335">
        <v>5000000</v>
      </c>
      <c r="L419" s="335"/>
      <c r="M419" s="297">
        <v>44593</v>
      </c>
      <c r="N419" s="297">
        <v>44925</v>
      </c>
      <c r="O419" s="280">
        <v>44652</v>
      </c>
      <c r="P419" s="281">
        <f t="shared" si="52"/>
        <v>0.17771084337349397</v>
      </c>
      <c r="Q419" s="281">
        <f t="shared" si="55"/>
        <v>0.17771084337349397</v>
      </c>
      <c r="R419" s="282">
        <v>1</v>
      </c>
      <c r="S419" s="283">
        <v>0.25</v>
      </c>
      <c r="T419" s="283">
        <v>0.5</v>
      </c>
      <c r="U419" s="283">
        <v>0.75</v>
      </c>
      <c r="V419" s="283">
        <v>1</v>
      </c>
      <c r="W419" s="308">
        <v>0.2</v>
      </c>
      <c r="X419" s="283" t="s">
        <v>1447</v>
      </c>
      <c r="Y419" s="352" t="s">
        <v>1448</v>
      </c>
      <c r="Z419" s="284"/>
      <c r="AA419" s="285"/>
      <c r="AB419" s="285"/>
      <c r="AC419" s="284"/>
      <c r="AD419" s="285"/>
      <c r="AE419" s="285"/>
      <c r="AF419" s="284"/>
      <c r="AG419" s="285"/>
      <c r="AH419" s="285"/>
      <c r="AI419" s="286"/>
    </row>
    <row r="420" spans="1:35" ht="144" hidden="1" customHeight="1" outlineLevel="1" x14ac:dyDescent="0.2">
      <c r="A420" s="634"/>
      <c r="B420" s="546"/>
      <c r="C420" s="546"/>
      <c r="D420" s="516"/>
      <c r="E420" s="618"/>
      <c r="F420" s="618"/>
      <c r="G420" s="512"/>
      <c r="H420" s="255" t="s">
        <v>1873</v>
      </c>
      <c r="I420" s="615"/>
      <c r="J420" s="275" t="s">
        <v>1874</v>
      </c>
      <c r="K420" s="335">
        <v>5000000</v>
      </c>
      <c r="L420" s="335"/>
      <c r="M420" s="297"/>
      <c r="N420" s="297"/>
      <c r="O420" s="280"/>
      <c r="P420" s="281"/>
      <c r="Q420" s="281"/>
      <c r="R420" s="282"/>
      <c r="S420" s="283"/>
      <c r="T420" s="283"/>
      <c r="U420" s="283"/>
      <c r="V420" s="283"/>
      <c r="W420" s="308">
        <v>0</v>
      </c>
      <c r="X420" s="283" t="s">
        <v>1427</v>
      </c>
      <c r="Y420" s="352" t="s">
        <v>52</v>
      </c>
      <c r="Z420" s="284"/>
      <c r="AA420" s="285"/>
      <c r="AB420" s="285"/>
      <c r="AC420" s="284"/>
      <c r="AD420" s="285"/>
      <c r="AE420" s="285"/>
      <c r="AF420" s="284"/>
      <c r="AG420" s="285"/>
      <c r="AH420" s="285"/>
      <c r="AI420" s="286"/>
    </row>
    <row r="421" spans="1:35" ht="43.15" hidden="1" customHeight="1" outlineLevel="1" x14ac:dyDescent="0.2">
      <c r="A421" s="634"/>
      <c r="B421" s="546"/>
      <c r="C421" s="546"/>
      <c r="D421" s="516"/>
      <c r="E421" s="618"/>
      <c r="F421" s="618"/>
      <c r="G421" s="480"/>
      <c r="H421" s="255" t="s">
        <v>1449</v>
      </c>
      <c r="I421" s="615"/>
      <c r="J421" s="275" t="s">
        <v>1450</v>
      </c>
      <c r="K421" s="335">
        <v>10000000</v>
      </c>
      <c r="L421" s="335"/>
      <c r="M421" s="297">
        <v>44593</v>
      </c>
      <c r="N421" s="297">
        <v>44925</v>
      </c>
      <c r="O421" s="280">
        <v>44652</v>
      </c>
      <c r="P421" s="281">
        <f t="shared" si="52"/>
        <v>0.17771084337349397</v>
      </c>
      <c r="Q421" s="281">
        <f t="shared" si="55"/>
        <v>0.17771084337349397</v>
      </c>
      <c r="R421" s="282">
        <v>1</v>
      </c>
      <c r="S421" s="283">
        <v>0.25</v>
      </c>
      <c r="T421" s="283">
        <v>0.5</v>
      </c>
      <c r="U421" s="283">
        <v>0.75</v>
      </c>
      <c r="V421" s="283">
        <v>1</v>
      </c>
      <c r="W421" s="308">
        <v>0</v>
      </c>
      <c r="X421" s="283" t="s">
        <v>1427</v>
      </c>
      <c r="Y421" s="352"/>
      <c r="Z421" s="284"/>
      <c r="AA421" s="285"/>
      <c r="AB421" s="285"/>
      <c r="AC421" s="284"/>
      <c r="AD421" s="285"/>
      <c r="AE421" s="285"/>
      <c r="AF421" s="284"/>
      <c r="AG421" s="285"/>
      <c r="AH421" s="285"/>
      <c r="AI421" s="286"/>
    </row>
    <row r="422" spans="1:35" ht="66" hidden="1" customHeight="1" outlineLevel="1" x14ac:dyDescent="0.2">
      <c r="A422" s="634"/>
      <c r="B422" s="546"/>
      <c r="C422" s="546"/>
      <c r="D422" s="516"/>
      <c r="E422" s="618"/>
      <c r="F422" s="618"/>
      <c r="G422" s="480"/>
      <c r="H422" s="255" t="s">
        <v>1451</v>
      </c>
      <c r="I422" s="615"/>
      <c r="J422" s="275" t="s">
        <v>1452</v>
      </c>
      <c r="K422" s="335">
        <v>200000000</v>
      </c>
      <c r="L422" s="335"/>
      <c r="M422" s="297">
        <v>44593</v>
      </c>
      <c r="N422" s="297">
        <v>44925</v>
      </c>
      <c r="O422" s="280">
        <v>44652</v>
      </c>
      <c r="P422" s="281">
        <f t="shared" si="52"/>
        <v>0.17771084337349397</v>
      </c>
      <c r="Q422" s="281">
        <f t="shared" si="55"/>
        <v>0.17771084337349397</v>
      </c>
      <c r="R422" s="282">
        <v>1</v>
      </c>
      <c r="S422" s="283">
        <v>0.25</v>
      </c>
      <c r="T422" s="283">
        <v>0.5</v>
      </c>
      <c r="U422" s="283">
        <v>0.75</v>
      </c>
      <c r="V422" s="283">
        <v>1</v>
      </c>
      <c r="W422" s="308">
        <v>0.2</v>
      </c>
      <c r="X422" s="283" t="s">
        <v>1453</v>
      </c>
      <c r="Y422" s="352" t="s">
        <v>1454</v>
      </c>
      <c r="Z422" s="284"/>
      <c r="AA422" s="285"/>
      <c r="AB422" s="285"/>
      <c r="AC422" s="284"/>
      <c r="AD422" s="285"/>
      <c r="AE422" s="285"/>
      <c r="AF422" s="284"/>
      <c r="AG422" s="285"/>
      <c r="AH422" s="285"/>
      <c r="AI422" s="286"/>
    </row>
    <row r="423" spans="1:35" ht="53.25" hidden="1" customHeight="1" outlineLevel="1" x14ac:dyDescent="0.2">
      <c r="A423" s="634"/>
      <c r="B423" s="546"/>
      <c r="C423" s="546"/>
      <c r="D423" s="516"/>
      <c r="E423" s="618"/>
      <c r="F423" s="618"/>
      <c r="G423" s="480"/>
      <c r="H423" s="255" t="s">
        <v>1455</v>
      </c>
      <c r="I423" s="615"/>
      <c r="J423" s="275" t="s">
        <v>1456</v>
      </c>
      <c r="K423" s="335">
        <v>1000000</v>
      </c>
      <c r="L423" s="335">
        <v>900000</v>
      </c>
      <c r="M423" s="297">
        <v>44593</v>
      </c>
      <c r="N423" s="297">
        <v>44925</v>
      </c>
      <c r="O423" s="280">
        <v>44652</v>
      </c>
      <c r="P423" s="281">
        <f t="shared" ref="P423:P480" si="56">+(+_xlfn.DAYS(M423,O423))/(+_xlfn.DAYS(M423,N423))</f>
        <v>0.17771084337349397</v>
      </c>
      <c r="Q423" s="281">
        <f t="shared" si="55"/>
        <v>0.17771084337349397</v>
      </c>
      <c r="R423" s="282">
        <v>1</v>
      </c>
      <c r="S423" s="283">
        <v>0.25</v>
      </c>
      <c r="T423" s="283">
        <v>0.5</v>
      </c>
      <c r="U423" s="283">
        <v>0.75</v>
      </c>
      <c r="V423" s="283">
        <v>1</v>
      </c>
      <c r="W423" s="308">
        <v>1</v>
      </c>
      <c r="X423" s="283" t="s">
        <v>1457</v>
      </c>
      <c r="Y423" s="352" t="s">
        <v>1458</v>
      </c>
      <c r="Z423" s="284"/>
      <c r="AA423" s="285"/>
      <c r="AB423" s="285"/>
      <c r="AC423" s="284"/>
      <c r="AD423" s="285"/>
      <c r="AE423" s="285"/>
      <c r="AF423" s="284"/>
      <c r="AG423" s="285"/>
      <c r="AH423" s="285"/>
      <c r="AI423" s="286"/>
    </row>
    <row r="424" spans="1:35" ht="79.5" hidden="1" customHeight="1" outlineLevel="1" x14ac:dyDescent="0.2">
      <c r="A424" s="634"/>
      <c r="B424" s="546"/>
      <c r="C424" s="546"/>
      <c r="D424" s="516"/>
      <c r="E424" s="618"/>
      <c r="F424" s="618"/>
      <c r="G424" s="480"/>
      <c r="H424" s="255" t="s">
        <v>1459</v>
      </c>
      <c r="I424" s="615"/>
      <c r="J424" s="275" t="s">
        <v>1460</v>
      </c>
      <c r="K424" s="335">
        <v>25000000</v>
      </c>
      <c r="L424" s="335"/>
      <c r="M424" s="297">
        <v>44593</v>
      </c>
      <c r="N424" s="297">
        <v>44925</v>
      </c>
      <c r="O424" s="280">
        <v>44652</v>
      </c>
      <c r="P424" s="281">
        <f t="shared" si="56"/>
        <v>0.17771084337349397</v>
      </c>
      <c r="Q424" s="281">
        <f t="shared" si="55"/>
        <v>0.17771084337349397</v>
      </c>
      <c r="R424" s="282">
        <v>1</v>
      </c>
      <c r="S424" s="283">
        <v>0.25</v>
      </c>
      <c r="T424" s="283">
        <v>0.5</v>
      </c>
      <c r="U424" s="283">
        <v>0.75</v>
      </c>
      <c r="V424" s="283">
        <v>1</v>
      </c>
      <c r="W424" s="308">
        <v>0</v>
      </c>
      <c r="X424" s="283" t="s">
        <v>1447</v>
      </c>
      <c r="Y424" s="352" t="s">
        <v>1461</v>
      </c>
      <c r="Z424" s="284"/>
      <c r="AA424" s="285"/>
      <c r="AB424" s="285"/>
      <c r="AC424" s="284"/>
      <c r="AD424" s="285"/>
      <c r="AE424" s="285"/>
      <c r="AF424" s="284"/>
      <c r="AG424" s="285"/>
      <c r="AH424" s="285"/>
      <c r="AI424" s="286"/>
    </row>
    <row r="425" spans="1:35" ht="46.5" hidden="1" customHeight="1" outlineLevel="1" x14ac:dyDescent="0.2">
      <c r="A425" s="634"/>
      <c r="B425" s="546"/>
      <c r="C425" s="546"/>
      <c r="D425" s="516"/>
      <c r="E425" s="618"/>
      <c r="F425" s="618"/>
      <c r="G425" s="480"/>
      <c r="H425" s="255" t="s">
        <v>1462</v>
      </c>
      <c r="I425" s="615"/>
      <c r="J425" s="275" t="s">
        <v>1450</v>
      </c>
      <c r="K425" s="336">
        <v>1000000</v>
      </c>
      <c r="L425" s="336"/>
      <c r="M425" s="297">
        <v>44593</v>
      </c>
      <c r="N425" s="297">
        <v>44925</v>
      </c>
      <c r="O425" s="280">
        <v>44652</v>
      </c>
      <c r="P425" s="281">
        <f t="shared" si="56"/>
        <v>0.17771084337349397</v>
      </c>
      <c r="Q425" s="281">
        <f t="shared" si="55"/>
        <v>0.17771084337349397</v>
      </c>
      <c r="R425" s="282">
        <v>1</v>
      </c>
      <c r="S425" s="283">
        <v>0.25</v>
      </c>
      <c r="T425" s="283">
        <v>0.5</v>
      </c>
      <c r="U425" s="283">
        <v>0.75</v>
      </c>
      <c r="V425" s="283">
        <v>1</v>
      </c>
      <c r="W425" s="308">
        <v>0</v>
      </c>
      <c r="X425" s="283" t="s">
        <v>1427</v>
      </c>
      <c r="Y425" s="352" t="s">
        <v>52</v>
      </c>
      <c r="Z425" s="284"/>
      <c r="AA425" s="285"/>
      <c r="AB425" s="285"/>
      <c r="AC425" s="284"/>
      <c r="AD425" s="285"/>
      <c r="AE425" s="285"/>
      <c r="AF425" s="284"/>
      <c r="AG425" s="285"/>
      <c r="AH425" s="285"/>
      <c r="AI425" s="286"/>
    </row>
    <row r="426" spans="1:35" ht="28.9" hidden="1" customHeight="1" outlineLevel="1" x14ac:dyDescent="0.2">
      <c r="A426" s="634"/>
      <c r="B426" s="546"/>
      <c r="C426" s="546"/>
      <c r="D426" s="516"/>
      <c r="E426" s="618"/>
      <c r="F426" s="618"/>
      <c r="G426" s="480"/>
      <c r="H426" s="255" t="s">
        <v>1463</v>
      </c>
      <c r="I426" s="615"/>
      <c r="J426" s="275" t="s">
        <v>1450</v>
      </c>
      <c r="K426" s="336">
        <v>11000000</v>
      </c>
      <c r="L426" s="336"/>
      <c r="M426" s="297">
        <v>44593</v>
      </c>
      <c r="N426" s="297">
        <v>44925</v>
      </c>
      <c r="O426" s="280">
        <v>44652</v>
      </c>
      <c r="P426" s="281">
        <f t="shared" si="56"/>
        <v>0.17771084337349397</v>
      </c>
      <c r="Q426" s="281">
        <f t="shared" si="55"/>
        <v>0.17771084337349397</v>
      </c>
      <c r="R426" s="282">
        <v>1</v>
      </c>
      <c r="S426" s="283">
        <v>0.25</v>
      </c>
      <c r="T426" s="283">
        <v>0.5</v>
      </c>
      <c r="U426" s="283">
        <v>0.75</v>
      </c>
      <c r="V426" s="283">
        <v>1</v>
      </c>
      <c r="W426" s="308">
        <v>0</v>
      </c>
      <c r="X426" s="283" t="s">
        <v>1427</v>
      </c>
      <c r="Y426" s="352" t="s">
        <v>52</v>
      </c>
      <c r="Z426" s="284"/>
      <c r="AA426" s="285"/>
      <c r="AB426" s="285"/>
      <c r="AC426" s="284"/>
      <c r="AD426" s="285"/>
      <c r="AE426" s="285"/>
      <c r="AF426" s="284"/>
      <c r="AG426" s="285"/>
      <c r="AH426" s="285"/>
      <c r="AI426" s="286"/>
    </row>
    <row r="427" spans="1:35" ht="28.9" hidden="1" customHeight="1" outlineLevel="1" x14ac:dyDescent="0.2">
      <c r="A427" s="634"/>
      <c r="B427" s="546"/>
      <c r="C427" s="546"/>
      <c r="D427" s="516"/>
      <c r="E427" s="618"/>
      <c r="F427" s="618"/>
      <c r="G427" s="512"/>
      <c r="H427" s="255" t="s">
        <v>1872</v>
      </c>
      <c r="I427" s="615"/>
      <c r="J427" s="275" t="s">
        <v>1450</v>
      </c>
      <c r="K427" s="336">
        <v>5000000</v>
      </c>
      <c r="L427" s="336"/>
      <c r="M427" s="297"/>
      <c r="N427" s="297"/>
      <c r="O427" s="280"/>
      <c r="P427" s="281"/>
      <c r="Q427" s="281"/>
      <c r="R427" s="282"/>
      <c r="S427" s="283"/>
      <c r="T427" s="283"/>
      <c r="U427" s="283"/>
      <c r="V427" s="283"/>
      <c r="W427" s="308">
        <v>0</v>
      </c>
      <c r="X427" s="283" t="s">
        <v>1427</v>
      </c>
      <c r="Y427" s="352" t="s">
        <v>52</v>
      </c>
      <c r="Z427" s="284"/>
      <c r="AA427" s="285"/>
      <c r="AB427" s="285"/>
      <c r="AC427" s="284"/>
      <c r="AD427" s="285"/>
      <c r="AE427" s="285"/>
      <c r="AF427" s="284"/>
      <c r="AG427" s="285"/>
      <c r="AH427" s="285"/>
      <c r="AI427" s="286"/>
    </row>
    <row r="428" spans="1:35" ht="46.5" hidden="1" customHeight="1" outlineLevel="1" x14ac:dyDescent="0.2">
      <c r="A428" s="634"/>
      <c r="B428" s="546"/>
      <c r="C428" s="546"/>
      <c r="D428" s="517"/>
      <c r="E428" s="619"/>
      <c r="F428" s="619"/>
      <c r="G428" s="481"/>
      <c r="H428" s="255" t="s">
        <v>1464</v>
      </c>
      <c r="I428" s="616"/>
      <c r="J428" s="275" t="s">
        <v>1460</v>
      </c>
      <c r="K428" s="335">
        <v>7000000</v>
      </c>
      <c r="L428" s="335"/>
      <c r="M428" s="297">
        <v>44593</v>
      </c>
      <c r="N428" s="297">
        <v>44925</v>
      </c>
      <c r="O428" s="280">
        <v>44652</v>
      </c>
      <c r="P428" s="281">
        <f t="shared" si="56"/>
        <v>0.17771084337349397</v>
      </c>
      <c r="Q428" s="281">
        <f t="shared" si="55"/>
        <v>0.17771084337349397</v>
      </c>
      <c r="R428" s="282">
        <v>1</v>
      </c>
      <c r="S428" s="283">
        <v>0.25</v>
      </c>
      <c r="T428" s="283">
        <v>0.5</v>
      </c>
      <c r="U428" s="283">
        <v>0.75</v>
      </c>
      <c r="V428" s="283">
        <v>1</v>
      </c>
      <c r="W428" s="308">
        <v>0</v>
      </c>
      <c r="X428" s="283" t="s">
        <v>1427</v>
      </c>
      <c r="Y428" s="352" t="s">
        <v>52</v>
      </c>
      <c r="Z428" s="284"/>
      <c r="AA428" s="285"/>
      <c r="AB428" s="285"/>
      <c r="AC428" s="284"/>
      <c r="AD428" s="285"/>
      <c r="AE428" s="285"/>
      <c r="AF428" s="284"/>
      <c r="AG428" s="285"/>
      <c r="AH428" s="285"/>
      <c r="AI428" s="286"/>
    </row>
    <row r="429" spans="1:35" ht="184.5" hidden="1" customHeight="1" outlineLevel="1" x14ac:dyDescent="0.2">
      <c r="A429" s="634"/>
      <c r="B429" s="546"/>
      <c r="C429" s="546"/>
      <c r="D429" s="556" t="s">
        <v>1465</v>
      </c>
      <c r="E429" s="746"/>
      <c r="F429" s="384" t="s">
        <v>1466</v>
      </c>
      <c r="G429" s="483"/>
      <c r="H429" s="256" t="s">
        <v>1467</v>
      </c>
      <c r="I429" s="385" t="s">
        <v>1468</v>
      </c>
      <c r="J429" s="275" t="s">
        <v>1431</v>
      </c>
      <c r="K429" s="336">
        <v>28304410</v>
      </c>
      <c r="L429" s="335"/>
      <c r="M429" s="297">
        <v>44593</v>
      </c>
      <c r="N429" s="297">
        <v>44925</v>
      </c>
      <c r="O429" s="280">
        <v>44652</v>
      </c>
      <c r="P429" s="281">
        <f t="shared" si="56"/>
        <v>0.17771084337349397</v>
      </c>
      <c r="Q429" s="281">
        <f t="shared" si="55"/>
        <v>0.17771084337349397</v>
      </c>
      <c r="R429" s="282">
        <v>1</v>
      </c>
      <c r="S429" s="283">
        <v>0.25</v>
      </c>
      <c r="T429" s="283">
        <v>0.5</v>
      </c>
      <c r="U429" s="283">
        <v>0.75</v>
      </c>
      <c r="V429" s="283">
        <v>1</v>
      </c>
      <c r="W429" s="308">
        <v>0.25</v>
      </c>
      <c r="X429" s="283" t="s">
        <v>1469</v>
      </c>
      <c r="Y429" s="354" t="s">
        <v>1470</v>
      </c>
      <c r="Z429" s="284"/>
      <c r="AA429" s="285"/>
      <c r="AB429" s="285"/>
      <c r="AC429" s="284"/>
      <c r="AD429" s="285"/>
      <c r="AE429" s="285"/>
      <c r="AF429" s="284"/>
      <c r="AG429" s="285"/>
      <c r="AH429" s="285"/>
      <c r="AI429" s="286"/>
    </row>
    <row r="430" spans="1:35" ht="60" hidden="1" customHeight="1" outlineLevel="1" x14ac:dyDescent="0.2">
      <c r="A430" s="634"/>
      <c r="B430" s="546"/>
      <c r="C430" s="546"/>
      <c r="D430" s="556"/>
      <c r="E430" s="746"/>
      <c r="F430" s="320" t="s">
        <v>1471</v>
      </c>
      <c r="G430" s="483"/>
      <c r="H430" s="256" t="s">
        <v>1472</v>
      </c>
      <c r="I430" s="483"/>
      <c r="J430" s="275" t="s">
        <v>1431</v>
      </c>
      <c r="K430" s="335">
        <v>18000000</v>
      </c>
      <c r="L430" s="335"/>
      <c r="M430" s="297">
        <v>44593</v>
      </c>
      <c r="N430" s="297">
        <v>44925</v>
      </c>
      <c r="O430" s="280">
        <v>44652</v>
      </c>
      <c r="P430" s="281">
        <f t="shared" si="56"/>
        <v>0.17771084337349397</v>
      </c>
      <c r="Q430" s="281">
        <f t="shared" si="55"/>
        <v>0.17771084337349397</v>
      </c>
      <c r="R430" s="282">
        <v>1</v>
      </c>
      <c r="S430" s="283">
        <v>0.25</v>
      </c>
      <c r="T430" s="283">
        <v>0.5</v>
      </c>
      <c r="U430" s="283">
        <v>0.75</v>
      </c>
      <c r="V430" s="283">
        <v>1</v>
      </c>
      <c r="W430" s="308">
        <v>0</v>
      </c>
      <c r="X430" s="283" t="s">
        <v>1473</v>
      </c>
      <c r="Y430" s="352" t="s">
        <v>52</v>
      </c>
      <c r="Z430" s="284"/>
      <c r="AA430" s="285"/>
      <c r="AB430" s="285"/>
      <c r="AC430" s="284"/>
      <c r="AD430" s="285"/>
      <c r="AE430" s="285"/>
      <c r="AF430" s="284"/>
      <c r="AG430" s="285"/>
      <c r="AH430" s="285"/>
      <c r="AI430" s="286"/>
    </row>
    <row r="431" spans="1:35" ht="88.5" hidden="1" customHeight="1" outlineLevel="1" x14ac:dyDescent="0.2">
      <c r="A431" s="634"/>
      <c r="B431" s="546"/>
      <c r="C431" s="546"/>
      <c r="D431" s="556"/>
      <c r="E431" s="746"/>
      <c r="F431" s="605" t="s">
        <v>1474</v>
      </c>
      <c r="G431" s="483"/>
      <c r="H431" s="256" t="s">
        <v>1475</v>
      </c>
      <c r="I431" s="607" t="s">
        <v>1156</v>
      </c>
      <c r="J431" s="275" t="s">
        <v>1431</v>
      </c>
      <c r="K431" s="335">
        <v>8000000</v>
      </c>
      <c r="L431" s="335"/>
      <c r="M431" s="297">
        <v>44593</v>
      </c>
      <c r="N431" s="297">
        <v>44925</v>
      </c>
      <c r="O431" s="280">
        <v>44652</v>
      </c>
      <c r="P431" s="281">
        <f t="shared" si="56"/>
        <v>0.17771084337349397</v>
      </c>
      <c r="Q431" s="281">
        <f t="shared" si="55"/>
        <v>0.17771084337349397</v>
      </c>
      <c r="R431" s="282">
        <v>1</v>
      </c>
      <c r="S431" s="283">
        <v>0.25</v>
      </c>
      <c r="T431" s="283">
        <v>0.5</v>
      </c>
      <c r="U431" s="283">
        <v>0.75</v>
      </c>
      <c r="V431" s="283">
        <v>1</v>
      </c>
      <c r="W431" s="308">
        <v>0.15</v>
      </c>
      <c r="X431" s="283" t="s">
        <v>1476</v>
      </c>
      <c r="Y431" s="352" t="s">
        <v>1477</v>
      </c>
      <c r="Z431" s="284"/>
      <c r="AA431" s="285"/>
      <c r="AB431" s="285"/>
      <c r="AC431" s="284"/>
      <c r="AD431" s="285"/>
      <c r="AE431" s="285"/>
      <c r="AF431" s="284"/>
      <c r="AG431" s="285"/>
      <c r="AH431" s="285"/>
      <c r="AI431" s="286"/>
    </row>
    <row r="432" spans="1:35" ht="106.5" hidden="1" customHeight="1" outlineLevel="1" x14ac:dyDescent="0.2">
      <c r="A432" s="634"/>
      <c r="B432" s="546"/>
      <c r="C432" s="546"/>
      <c r="D432" s="556"/>
      <c r="E432" s="746"/>
      <c r="F432" s="606"/>
      <c r="G432" s="483"/>
      <c r="H432" s="256" t="s">
        <v>1875</v>
      </c>
      <c r="I432" s="608"/>
      <c r="J432" s="275" t="s">
        <v>1431</v>
      </c>
      <c r="K432" s="335">
        <v>10000000</v>
      </c>
      <c r="L432" s="335">
        <v>548000</v>
      </c>
      <c r="M432" s="297">
        <v>44593</v>
      </c>
      <c r="N432" s="297">
        <v>44925</v>
      </c>
      <c r="O432" s="280">
        <v>44652</v>
      </c>
      <c r="P432" s="281">
        <f t="shared" si="56"/>
        <v>0.17771084337349397</v>
      </c>
      <c r="Q432" s="281">
        <f t="shared" si="55"/>
        <v>0.17771084337349397</v>
      </c>
      <c r="R432" s="282">
        <v>1</v>
      </c>
      <c r="S432" s="283">
        <v>0.25</v>
      </c>
      <c r="T432" s="283">
        <v>0.5</v>
      </c>
      <c r="U432" s="283">
        <v>0.75</v>
      </c>
      <c r="V432" s="283">
        <v>1</v>
      </c>
      <c r="W432" s="308">
        <v>1</v>
      </c>
      <c r="X432" s="283" t="s">
        <v>1478</v>
      </c>
      <c r="Y432" s="352" t="s">
        <v>1479</v>
      </c>
      <c r="Z432" s="284"/>
      <c r="AA432" s="285"/>
      <c r="AB432" s="285"/>
      <c r="AC432" s="284"/>
      <c r="AD432" s="285"/>
      <c r="AE432" s="285"/>
      <c r="AF432" s="284"/>
      <c r="AG432" s="285"/>
      <c r="AH432" s="285"/>
      <c r="AI432" s="286"/>
    </row>
    <row r="433" spans="1:35" ht="60" hidden="1" customHeight="1" outlineLevel="1" x14ac:dyDescent="0.2">
      <c r="A433" s="634"/>
      <c r="B433" s="546"/>
      <c r="C433" s="546"/>
      <c r="D433" s="556"/>
      <c r="E433" s="746"/>
      <c r="F433" s="482" t="s">
        <v>1480</v>
      </c>
      <c r="G433" s="483"/>
      <c r="H433" s="256" t="s">
        <v>1481</v>
      </c>
      <c r="I433" s="256"/>
      <c r="J433" s="275" t="s">
        <v>1482</v>
      </c>
      <c r="K433" s="335">
        <v>8500000</v>
      </c>
      <c r="L433" s="335"/>
      <c r="M433" s="297">
        <v>44593</v>
      </c>
      <c r="N433" s="297">
        <v>44925</v>
      </c>
      <c r="O433" s="280">
        <v>44652</v>
      </c>
      <c r="P433" s="281">
        <f t="shared" si="56"/>
        <v>0.17771084337349397</v>
      </c>
      <c r="Q433" s="281">
        <f t="shared" si="55"/>
        <v>0.17771084337349397</v>
      </c>
      <c r="R433" s="282">
        <v>0.5</v>
      </c>
      <c r="S433" s="283">
        <v>0.35</v>
      </c>
      <c r="T433" s="283">
        <v>0.4</v>
      </c>
      <c r="U433" s="283">
        <v>0.45</v>
      </c>
      <c r="V433" s="283">
        <v>0.5</v>
      </c>
      <c r="W433" s="308">
        <v>0.1</v>
      </c>
      <c r="X433" s="283" t="s">
        <v>1483</v>
      </c>
      <c r="Y433" s="352" t="s">
        <v>1431</v>
      </c>
      <c r="Z433" s="284"/>
      <c r="AA433" s="285"/>
      <c r="AB433" s="285"/>
      <c r="AC433" s="284"/>
      <c r="AD433" s="285"/>
      <c r="AE433" s="285"/>
      <c r="AF433" s="284"/>
      <c r="AG433" s="285"/>
      <c r="AH433" s="285"/>
      <c r="AI433" s="286"/>
    </row>
    <row r="434" spans="1:35" ht="108" hidden="1" customHeight="1" outlineLevel="1" x14ac:dyDescent="0.2">
      <c r="A434" s="634"/>
      <c r="B434" s="546"/>
      <c r="C434" s="546"/>
      <c r="D434" s="556"/>
      <c r="E434" s="746"/>
      <c r="F434" s="605" t="s">
        <v>1484</v>
      </c>
      <c r="G434" s="483"/>
      <c r="H434" s="256" t="s">
        <v>1486</v>
      </c>
      <c r="I434" s="256"/>
      <c r="J434" s="275" t="s">
        <v>1487</v>
      </c>
      <c r="K434" s="335">
        <v>800000</v>
      </c>
      <c r="L434" s="335"/>
      <c r="M434" s="297">
        <v>44593</v>
      </c>
      <c r="N434" s="297">
        <v>44925</v>
      </c>
      <c r="O434" s="280">
        <v>44652</v>
      </c>
      <c r="P434" s="281">
        <f t="shared" ref="P434" si="57">+(+_xlfn.DAYS(M434,O434))/(+_xlfn.DAYS(M434,N434))</f>
        <v>0.17771084337349397</v>
      </c>
      <c r="Q434" s="281">
        <f t="shared" ref="Q434" si="58">+IF(P434&gt;=100,100,IF(P434&lt;=0,0,P434))</f>
        <v>0.17771084337349397</v>
      </c>
      <c r="R434" s="282">
        <v>1</v>
      </c>
      <c r="S434" s="283">
        <v>0.25</v>
      </c>
      <c r="T434" s="283">
        <v>0.5</v>
      </c>
      <c r="U434" s="283">
        <v>0.75</v>
      </c>
      <c r="V434" s="283">
        <v>1</v>
      </c>
      <c r="W434" s="308">
        <v>0</v>
      </c>
      <c r="X434" s="283" t="s">
        <v>1488</v>
      </c>
      <c r="Y434" s="352" t="s">
        <v>52</v>
      </c>
      <c r="Z434" s="284"/>
      <c r="AA434" s="285"/>
      <c r="AB434" s="285"/>
      <c r="AC434" s="284"/>
      <c r="AD434" s="285"/>
      <c r="AE434" s="285"/>
      <c r="AF434" s="284"/>
      <c r="AG434" s="285"/>
      <c r="AH434" s="285"/>
      <c r="AI434" s="286"/>
    </row>
    <row r="435" spans="1:35" ht="119.45" hidden="1" customHeight="1" outlineLevel="1" x14ac:dyDescent="0.2">
      <c r="A435" s="634"/>
      <c r="B435" s="547"/>
      <c r="C435" s="547"/>
      <c r="D435" s="594"/>
      <c r="E435" s="606"/>
      <c r="F435" s="606"/>
      <c r="G435" s="484"/>
      <c r="H435" s="256" t="s">
        <v>1489</v>
      </c>
      <c r="I435" s="256"/>
      <c r="J435" s="275" t="s">
        <v>1490</v>
      </c>
      <c r="K435" s="335">
        <v>4998000</v>
      </c>
      <c r="L435" s="335"/>
      <c r="M435" s="297">
        <v>44593</v>
      </c>
      <c r="N435" s="297">
        <v>44925</v>
      </c>
      <c r="O435" s="280">
        <v>44652</v>
      </c>
      <c r="P435" s="281">
        <f t="shared" si="56"/>
        <v>0.17771084337349397</v>
      </c>
      <c r="Q435" s="281">
        <f t="shared" si="55"/>
        <v>0.17771084337349397</v>
      </c>
      <c r="R435" s="282">
        <v>1</v>
      </c>
      <c r="S435" s="283">
        <v>0.25</v>
      </c>
      <c r="T435" s="283">
        <v>0.5</v>
      </c>
      <c r="U435" s="283">
        <v>0.75</v>
      </c>
      <c r="V435" s="283">
        <v>1</v>
      </c>
      <c r="W435" s="308">
        <v>0</v>
      </c>
      <c r="X435" s="283" t="s">
        <v>1491</v>
      </c>
      <c r="Y435" s="352" t="s">
        <v>52</v>
      </c>
      <c r="Z435" s="284"/>
      <c r="AA435" s="285"/>
      <c r="AB435" s="285"/>
      <c r="AC435" s="284"/>
      <c r="AD435" s="285"/>
      <c r="AE435" s="285"/>
      <c r="AF435" s="284"/>
      <c r="AG435" s="285"/>
      <c r="AH435" s="285"/>
      <c r="AI435" s="286"/>
    </row>
    <row r="436" spans="1:35" ht="126.75" hidden="1" customHeight="1" outlineLevel="1" x14ac:dyDescent="0.2">
      <c r="A436" s="634"/>
      <c r="B436" s="545" t="s">
        <v>868</v>
      </c>
      <c r="C436" s="545" t="s">
        <v>1123</v>
      </c>
      <c r="D436" s="679" t="s">
        <v>1492</v>
      </c>
      <c r="E436" s="1" t="s">
        <v>1493</v>
      </c>
      <c r="F436" s="1" t="s">
        <v>1494</v>
      </c>
      <c r="G436" s="2" t="s">
        <v>205</v>
      </c>
      <c r="H436" s="2" t="s">
        <v>1495</v>
      </c>
      <c r="I436" s="2" t="s">
        <v>1496</v>
      </c>
      <c r="J436" s="12" t="s">
        <v>1497</v>
      </c>
      <c r="K436" s="12" t="s">
        <v>1204</v>
      </c>
      <c r="L436" s="12"/>
      <c r="M436" s="297">
        <v>44593</v>
      </c>
      <c r="N436" s="297">
        <v>44925</v>
      </c>
      <c r="O436" s="280">
        <v>44652</v>
      </c>
      <c r="P436" s="281">
        <f t="shared" si="56"/>
        <v>0.17771084337349397</v>
      </c>
      <c r="Q436" s="281">
        <f t="shared" ref="Q436:Q502" si="59">+IF(P436&gt;=100,100,IF(P436&lt;=0,0,P436))</f>
        <v>0.17771084337349397</v>
      </c>
      <c r="R436" s="282">
        <v>0.5</v>
      </c>
      <c r="S436" s="283">
        <v>0.32</v>
      </c>
      <c r="T436" s="283">
        <v>0.35</v>
      </c>
      <c r="U436" s="283">
        <v>0.42</v>
      </c>
      <c r="V436" s="283">
        <v>1</v>
      </c>
      <c r="W436" s="308">
        <v>0.1</v>
      </c>
      <c r="X436" s="283" t="s">
        <v>1498</v>
      </c>
      <c r="Y436" s="352" t="s">
        <v>242</v>
      </c>
      <c r="Z436" s="284"/>
      <c r="AA436" s="285"/>
      <c r="AB436" s="285"/>
      <c r="AC436" s="284"/>
      <c r="AD436" s="285"/>
      <c r="AE436" s="285"/>
      <c r="AF436" s="284"/>
      <c r="AG436" s="285"/>
      <c r="AH436" s="285"/>
      <c r="AI436" s="286"/>
    </row>
    <row r="437" spans="1:35" ht="96" hidden="1" customHeight="1" outlineLevel="1" x14ac:dyDescent="0.2">
      <c r="A437" s="634"/>
      <c r="B437" s="546"/>
      <c r="C437" s="546"/>
      <c r="D437" s="680"/>
      <c r="E437" s="693" t="s">
        <v>1499</v>
      </c>
      <c r="F437" s="733" t="s">
        <v>1125</v>
      </c>
      <c r="G437" s="682" t="s">
        <v>205</v>
      </c>
      <c r="H437" s="2" t="s">
        <v>1500</v>
      </c>
      <c r="I437" s="682" t="s">
        <v>1127</v>
      </c>
      <c r="J437" s="12" t="s">
        <v>1501</v>
      </c>
      <c r="K437" s="12" t="s">
        <v>1204</v>
      </c>
      <c r="L437" s="12"/>
      <c r="M437" s="297">
        <v>44593</v>
      </c>
      <c r="N437" s="297">
        <v>44925</v>
      </c>
      <c r="O437" s="280">
        <v>44652</v>
      </c>
      <c r="P437" s="281">
        <f t="shared" si="56"/>
        <v>0.17771084337349397</v>
      </c>
      <c r="Q437" s="281">
        <f t="shared" si="59"/>
        <v>0.17771084337349397</v>
      </c>
      <c r="R437" s="282">
        <v>0.5</v>
      </c>
      <c r="S437" s="283">
        <v>0.35</v>
      </c>
      <c r="T437" s="283">
        <v>0.4</v>
      </c>
      <c r="U437" s="283">
        <v>0.45</v>
      </c>
      <c r="V437" s="283">
        <v>0.5</v>
      </c>
      <c r="W437" s="308">
        <v>0.1</v>
      </c>
      <c r="X437" s="283" t="s">
        <v>1502</v>
      </c>
      <c r="Y437" s="352" t="s">
        <v>52</v>
      </c>
      <c r="Z437" s="284"/>
      <c r="AA437" s="285"/>
      <c r="AB437" s="285"/>
      <c r="AC437" s="284"/>
      <c r="AD437" s="285"/>
      <c r="AE437" s="285"/>
      <c r="AF437" s="284"/>
      <c r="AG437" s="285"/>
      <c r="AH437" s="285"/>
      <c r="AI437" s="286"/>
    </row>
    <row r="438" spans="1:35" ht="96" hidden="1" customHeight="1" outlineLevel="1" x14ac:dyDescent="0.2">
      <c r="A438" s="634"/>
      <c r="B438" s="546"/>
      <c r="C438" s="546"/>
      <c r="D438" s="680"/>
      <c r="E438" s="694"/>
      <c r="F438" s="734"/>
      <c r="G438" s="683"/>
      <c r="H438" s="2" t="s">
        <v>1503</v>
      </c>
      <c r="I438" s="683"/>
      <c r="J438" s="12" t="s">
        <v>1504</v>
      </c>
      <c r="K438" s="337">
        <v>24000000</v>
      </c>
      <c r="L438" s="337"/>
      <c r="M438" s="297">
        <v>44593</v>
      </c>
      <c r="N438" s="297">
        <v>44925</v>
      </c>
      <c r="O438" s="280">
        <v>44652</v>
      </c>
      <c r="P438" s="281">
        <f t="shared" si="56"/>
        <v>0.17771084337349397</v>
      </c>
      <c r="Q438" s="281">
        <f t="shared" si="59"/>
        <v>0.17771084337349397</v>
      </c>
      <c r="R438" s="282">
        <v>1</v>
      </c>
      <c r="S438" s="283">
        <v>0.25</v>
      </c>
      <c r="T438" s="283">
        <v>0.5</v>
      </c>
      <c r="U438" s="283">
        <v>0.75</v>
      </c>
      <c r="V438" s="283">
        <v>1</v>
      </c>
      <c r="W438" s="308">
        <v>0</v>
      </c>
      <c r="X438" s="283" t="s">
        <v>1505</v>
      </c>
      <c r="Y438" s="352" t="s">
        <v>52</v>
      </c>
      <c r="Z438" s="284"/>
      <c r="AA438" s="285"/>
      <c r="AB438" s="285"/>
      <c r="AC438" s="284"/>
      <c r="AD438" s="285"/>
      <c r="AE438" s="285"/>
      <c r="AF438" s="284"/>
      <c r="AG438" s="285"/>
      <c r="AH438" s="285"/>
      <c r="AI438" s="286"/>
    </row>
    <row r="439" spans="1:35" ht="96" hidden="1" customHeight="1" outlineLevel="1" x14ac:dyDescent="0.2">
      <c r="A439" s="634"/>
      <c r="B439" s="546"/>
      <c r="C439" s="546"/>
      <c r="D439" s="680"/>
      <c r="E439" s="694"/>
      <c r="F439" s="734"/>
      <c r="G439" s="683"/>
      <c r="H439" s="2" t="s">
        <v>1506</v>
      </c>
      <c r="I439" s="683"/>
      <c r="J439" s="12" t="s">
        <v>1507</v>
      </c>
      <c r="K439" s="337">
        <v>2200000</v>
      </c>
      <c r="L439" s="337"/>
      <c r="M439" s="297">
        <v>44593</v>
      </c>
      <c r="N439" s="297">
        <v>44925</v>
      </c>
      <c r="O439" s="280">
        <v>44652</v>
      </c>
      <c r="P439" s="281">
        <f t="shared" si="56"/>
        <v>0.17771084337349397</v>
      </c>
      <c r="Q439" s="281">
        <f t="shared" si="59"/>
        <v>0.17771084337349397</v>
      </c>
      <c r="R439" s="282">
        <v>1</v>
      </c>
      <c r="S439" s="283">
        <v>0.25</v>
      </c>
      <c r="T439" s="283">
        <v>0.5</v>
      </c>
      <c r="U439" s="283">
        <v>0.75</v>
      </c>
      <c r="V439" s="283">
        <v>1</v>
      </c>
      <c r="W439" s="308">
        <v>0.15</v>
      </c>
      <c r="X439" s="283" t="s">
        <v>1508</v>
      </c>
      <c r="Y439" s="352" t="s">
        <v>52</v>
      </c>
      <c r="Z439" s="284"/>
      <c r="AA439" s="285"/>
      <c r="AB439" s="285"/>
      <c r="AC439" s="284"/>
      <c r="AD439" s="285"/>
      <c r="AE439" s="285"/>
      <c r="AF439" s="284"/>
      <c r="AG439" s="285"/>
      <c r="AH439" s="285"/>
      <c r="AI439" s="286"/>
    </row>
    <row r="440" spans="1:35" ht="96" hidden="1" customHeight="1" outlineLevel="1" x14ac:dyDescent="0.2">
      <c r="A440" s="634"/>
      <c r="B440" s="546"/>
      <c r="C440" s="546"/>
      <c r="D440" s="680"/>
      <c r="E440" s="694"/>
      <c r="F440" s="735"/>
      <c r="G440" s="684"/>
      <c r="H440" s="2" t="s">
        <v>1509</v>
      </c>
      <c r="I440" s="684"/>
      <c r="J440" s="12" t="s">
        <v>1510</v>
      </c>
      <c r="K440" s="337">
        <v>4400000</v>
      </c>
      <c r="L440" s="337"/>
      <c r="M440" s="297">
        <v>44593</v>
      </c>
      <c r="N440" s="297">
        <v>44925</v>
      </c>
      <c r="O440" s="280">
        <v>44652</v>
      </c>
      <c r="P440" s="281">
        <f t="shared" si="56"/>
        <v>0.17771084337349397</v>
      </c>
      <c r="Q440" s="281">
        <f t="shared" si="59"/>
        <v>0.17771084337349397</v>
      </c>
      <c r="R440" s="282">
        <v>1</v>
      </c>
      <c r="S440" s="283">
        <v>0.25</v>
      </c>
      <c r="T440" s="283">
        <v>0.5</v>
      </c>
      <c r="U440" s="283">
        <v>0.75</v>
      </c>
      <c r="V440" s="283">
        <v>1</v>
      </c>
      <c r="W440" s="308">
        <v>0.15</v>
      </c>
      <c r="X440" s="283" t="s">
        <v>1511</v>
      </c>
      <c r="Y440" s="352" t="s">
        <v>52</v>
      </c>
      <c r="Z440" s="284"/>
      <c r="AA440" s="285"/>
      <c r="AB440" s="285"/>
      <c r="AC440" s="284"/>
      <c r="AD440" s="285"/>
      <c r="AE440" s="285"/>
      <c r="AF440" s="284"/>
      <c r="AG440" s="285"/>
      <c r="AH440" s="285"/>
      <c r="AI440" s="286"/>
    </row>
    <row r="441" spans="1:35" ht="96" hidden="1" customHeight="1" outlineLevel="1" x14ac:dyDescent="0.2">
      <c r="A441" s="634"/>
      <c r="B441" s="546"/>
      <c r="C441" s="546"/>
      <c r="D441" s="680"/>
      <c r="E441" s="694"/>
      <c r="F441" s="733" t="s">
        <v>1512</v>
      </c>
      <c r="G441" s="682" t="s">
        <v>205</v>
      </c>
      <c r="H441" s="14" t="s">
        <v>1513</v>
      </c>
      <c r="I441" s="736" t="s">
        <v>1514</v>
      </c>
      <c r="J441" s="12" t="s">
        <v>1515</v>
      </c>
      <c r="K441" s="298" t="s">
        <v>52</v>
      </c>
      <c r="L441" s="298"/>
      <c r="M441" s="297">
        <v>44593</v>
      </c>
      <c r="N441" s="297">
        <v>44925</v>
      </c>
      <c r="O441" s="280">
        <v>44652</v>
      </c>
      <c r="P441" s="281">
        <f t="shared" si="56"/>
        <v>0.17771084337349397</v>
      </c>
      <c r="Q441" s="281">
        <f t="shared" si="59"/>
        <v>0.17771084337349397</v>
      </c>
      <c r="R441" s="282">
        <v>0.5</v>
      </c>
      <c r="S441" s="283">
        <v>0.42</v>
      </c>
      <c r="T441" s="283">
        <v>0.44</v>
      </c>
      <c r="U441" s="283">
        <v>0.48</v>
      </c>
      <c r="V441" s="283">
        <v>0.5</v>
      </c>
      <c r="W441" s="308">
        <v>0.05</v>
      </c>
      <c r="X441" s="370" t="s">
        <v>1516</v>
      </c>
      <c r="Y441" s="352" t="s">
        <v>52</v>
      </c>
      <c r="Z441" s="284"/>
      <c r="AA441" s="285"/>
      <c r="AB441" s="285"/>
      <c r="AC441" s="284"/>
      <c r="AD441" s="285"/>
      <c r="AE441" s="285"/>
      <c r="AF441" s="284"/>
      <c r="AG441" s="285"/>
      <c r="AH441" s="285"/>
      <c r="AI441" s="286"/>
    </row>
    <row r="442" spans="1:35" ht="96" hidden="1" customHeight="1" outlineLevel="1" x14ac:dyDescent="0.2">
      <c r="A442" s="634"/>
      <c r="B442" s="546"/>
      <c r="C442" s="546"/>
      <c r="D442" s="680"/>
      <c r="E442" s="694"/>
      <c r="F442" s="734"/>
      <c r="G442" s="683"/>
      <c r="H442" s="14" t="s">
        <v>1517</v>
      </c>
      <c r="I442" s="737"/>
      <c r="J442" s="12" t="s">
        <v>1518</v>
      </c>
      <c r="K442" s="358">
        <v>2268000</v>
      </c>
      <c r="L442" s="358"/>
      <c r="M442" s="297">
        <v>44593</v>
      </c>
      <c r="N442" s="297">
        <v>44925</v>
      </c>
      <c r="O442" s="280">
        <v>44652</v>
      </c>
      <c r="P442" s="281">
        <f t="shared" si="56"/>
        <v>0.17771084337349397</v>
      </c>
      <c r="Q442" s="281">
        <f t="shared" si="59"/>
        <v>0.17771084337349397</v>
      </c>
      <c r="R442" s="282">
        <v>1</v>
      </c>
      <c r="S442" s="283">
        <v>0.25</v>
      </c>
      <c r="T442" s="283">
        <v>0.5</v>
      </c>
      <c r="U442" s="283">
        <v>0.75</v>
      </c>
      <c r="V442" s="283">
        <v>1</v>
      </c>
      <c r="W442" s="308">
        <v>1</v>
      </c>
      <c r="X442" s="283" t="s">
        <v>1519</v>
      </c>
      <c r="Y442" s="352" t="s">
        <v>306</v>
      </c>
      <c r="Z442" s="284"/>
      <c r="AA442" s="285"/>
      <c r="AB442" s="285"/>
      <c r="AC442" s="284"/>
      <c r="AD442" s="285"/>
      <c r="AE442" s="285"/>
      <c r="AF442" s="284"/>
      <c r="AG442" s="285"/>
      <c r="AH442" s="285"/>
      <c r="AI442" s="286"/>
    </row>
    <row r="443" spans="1:35" ht="96" hidden="1" customHeight="1" outlineLevel="1" x14ac:dyDescent="0.2">
      <c r="A443" s="634"/>
      <c r="B443" s="546"/>
      <c r="C443" s="546"/>
      <c r="D443" s="680"/>
      <c r="E443" s="694"/>
      <c r="F443" s="734"/>
      <c r="G443" s="683"/>
      <c r="H443" s="14" t="s">
        <v>1520</v>
      </c>
      <c r="I443" s="737"/>
      <c r="J443" s="12" t="s">
        <v>1518</v>
      </c>
      <c r="K443" s="358">
        <v>2268000</v>
      </c>
      <c r="L443" s="358"/>
      <c r="M443" s="297">
        <v>44593</v>
      </c>
      <c r="N443" s="297">
        <v>44925</v>
      </c>
      <c r="O443" s="280">
        <v>44652</v>
      </c>
      <c r="P443" s="281">
        <f t="shared" si="56"/>
        <v>0.17771084337349397</v>
      </c>
      <c r="Q443" s="281">
        <f t="shared" si="59"/>
        <v>0.17771084337349397</v>
      </c>
      <c r="R443" s="282">
        <v>1</v>
      </c>
      <c r="S443" s="283">
        <v>0.25</v>
      </c>
      <c r="T443" s="283">
        <v>0.5</v>
      </c>
      <c r="U443" s="283">
        <v>0.75</v>
      </c>
      <c r="V443" s="283">
        <v>1</v>
      </c>
      <c r="W443" s="308">
        <v>1</v>
      </c>
      <c r="X443" s="283" t="s">
        <v>1521</v>
      </c>
      <c r="Y443" s="352" t="s">
        <v>306</v>
      </c>
      <c r="Z443" s="284"/>
      <c r="AA443" s="285"/>
      <c r="AB443" s="285"/>
      <c r="AC443" s="284"/>
      <c r="AD443" s="285"/>
      <c r="AE443" s="285"/>
      <c r="AF443" s="284"/>
      <c r="AG443" s="285"/>
      <c r="AH443" s="285"/>
      <c r="AI443" s="286"/>
    </row>
    <row r="444" spans="1:35" ht="96" hidden="1" customHeight="1" outlineLevel="1" x14ac:dyDescent="0.2">
      <c r="A444" s="634"/>
      <c r="B444" s="546"/>
      <c r="C444" s="546"/>
      <c r="D444" s="680"/>
      <c r="E444" s="694"/>
      <c r="F444" s="734"/>
      <c r="G444" s="683"/>
      <c r="H444" s="14" t="s">
        <v>1522</v>
      </c>
      <c r="I444" s="737"/>
      <c r="J444" s="12" t="s">
        <v>1518</v>
      </c>
      <c r="K444" s="358">
        <v>4536000</v>
      </c>
      <c r="L444" s="358"/>
      <c r="M444" s="297">
        <v>44593</v>
      </c>
      <c r="N444" s="297">
        <v>44925</v>
      </c>
      <c r="O444" s="280">
        <v>44652</v>
      </c>
      <c r="P444" s="281">
        <f t="shared" si="56"/>
        <v>0.17771084337349397</v>
      </c>
      <c r="Q444" s="281">
        <f t="shared" si="59"/>
        <v>0.17771084337349397</v>
      </c>
      <c r="R444" s="282">
        <v>1</v>
      </c>
      <c r="S444" s="283">
        <v>0.25</v>
      </c>
      <c r="T444" s="283">
        <v>0.5</v>
      </c>
      <c r="U444" s="283">
        <v>0.75</v>
      </c>
      <c r="V444" s="283">
        <v>1</v>
      </c>
      <c r="W444" s="308">
        <v>1</v>
      </c>
      <c r="X444" s="283" t="s">
        <v>1523</v>
      </c>
      <c r="Y444" s="352" t="s">
        <v>306</v>
      </c>
      <c r="Z444" s="284"/>
      <c r="AA444" s="285"/>
      <c r="AB444" s="285"/>
      <c r="AC444" s="284"/>
      <c r="AD444" s="285"/>
      <c r="AE444" s="285"/>
      <c r="AF444" s="284"/>
      <c r="AG444" s="285"/>
      <c r="AH444" s="285"/>
      <c r="AI444" s="286"/>
    </row>
    <row r="445" spans="1:35" ht="96" hidden="1" customHeight="1" outlineLevel="1" x14ac:dyDescent="0.2">
      <c r="A445" s="634"/>
      <c r="B445" s="546"/>
      <c r="C445" s="546"/>
      <c r="D445" s="680"/>
      <c r="E445" s="694"/>
      <c r="F445" s="734"/>
      <c r="G445" s="683"/>
      <c r="H445" s="14" t="s">
        <v>1524</v>
      </c>
      <c r="I445" s="737"/>
      <c r="J445" s="12" t="s">
        <v>1518</v>
      </c>
      <c r="K445" s="358">
        <v>4536000</v>
      </c>
      <c r="L445" s="358"/>
      <c r="M445" s="297">
        <v>44593</v>
      </c>
      <c r="N445" s="297">
        <v>44925</v>
      </c>
      <c r="O445" s="280">
        <v>44652</v>
      </c>
      <c r="P445" s="281">
        <f t="shared" si="56"/>
        <v>0.17771084337349397</v>
      </c>
      <c r="Q445" s="281">
        <f t="shared" si="59"/>
        <v>0.17771084337349397</v>
      </c>
      <c r="R445" s="282">
        <v>1</v>
      </c>
      <c r="S445" s="283">
        <v>0.25</v>
      </c>
      <c r="T445" s="283">
        <v>0.5</v>
      </c>
      <c r="U445" s="283">
        <v>0.75</v>
      </c>
      <c r="V445" s="283">
        <v>1</v>
      </c>
      <c r="W445" s="308">
        <v>1</v>
      </c>
      <c r="X445" s="283" t="s">
        <v>1525</v>
      </c>
      <c r="Y445" s="352" t="s">
        <v>306</v>
      </c>
      <c r="Z445" s="284"/>
      <c r="AA445" s="285"/>
      <c r="AB445" s="285"/>
      <c r="AC445" s="284"/>
      <c r="AD445" s="285"/>
      <c r="AE445" s="285"/>
      <c r="AF445" s="284"/>
      <c r="AG445" s="285"/>
      <c r="AH445" s="285"/>
      <c r="AI445" s="286"/>
    </row>
    <row r="446" spans="1:35" ht="96" hidden="1" customHeight="1" outlineLevel="1" x14ac:dyDescent="0.2">
      <c r="A446" s="634"/>
      <c r="B446" s="546"/>
      <c r="C446" s="546"/>
      <c r="D446" s="680"/>
      <c r="E446" s="694"/>
      <c r="F446" s="734"/>
      <c r="G446" s="683"/>
      <c r="H446" s="14" t="s">
        <v>1526</v>
      </c>
      <c r="I446" s="737"/>
      <c r="J446" s="12"/>
      <c r="K446" s="358">
        <v>1512000</v>
      </c>
      <c r="L446" s="358"/>
      <c r="M446" s="297">
        <v>44593</v>
      </c>
      <c r="N446" s="297">
        <v>44925</v>
      </c>
      <c r="O446" s="280">
        <v>44652</v>
      </c>
      <c r="P446" s="281">
        <f t="shared" si="56"/>
        <v>0.17771084337349397</v>
      </c>
      <c r="Q446" s="281">
        <f t="shared" si="59"/>
        <v>0.17771084337349397</v>
      </c>
      <c r="R446" s="282">
        <v>1</v>
      </c>
      <c r="S446" s="283">
        <v>0.25</v>
      </c>
      <c r="T446" s="283">
        <v>0.5</v>
      </c>
      <c r="U446" s="283">
        <v>0.75</v>
      </c>
      <c r="V446" s="283">
        <v>1</v>
      </c>
      <c r="W446" s="308">
        <v>1</v>
      </c>
      <c r="X446" s="283" t="s">
        <v>1527</v>
      </c>
      <c r="Y446" s="352" t="s">
        <v>306</v>
      </c>
      <c r="Z446" s="284"/>
      <c r="AA446" s="285"/>
      <c r="AB446" s="285"/>
      <c r="AC446" s="284"/>
      <c r="AD446" s="285"/>
      <c r="AE446" s="285"/>
      <c r="AF446" s="284"/>
      <c r="AG446" s="285"/>
      <c r="AH446" s="285"/>
      <c r="AI446" s="286"/>
    </row>
    <row r="447" spans="1:35" ht="96" hidden="1" customHeight="1" outlineLevel="1" x14ac:dyDescent="0.2">
      <c r="A447" s="634"/>
      <c r="B447" s="546"/>
      <c r="C447" s="546"/>
      <c r="D447" s="680"/>
      <c r="E447" s="694"/>
      <c r="F447" s="734"/>
      <c r="G447" s="683"/>
      <c r="H447" s="14" t="s">
        <v>1528</v>
      </c>
      <c r="I447" s="737"/>
      <c r="J447" s="12" t="s">
        <v>1518</v>
      </c>
      <c r="K447" s="337">
        <v>2160000</v>
      </c>
      <c r="L447" s="337"/>
      <c r="M447" s="297">
        <v>44593</v>
      </c>
      <c r="N447" s="297">
        <v>44925</v>
      </c>
      <c r="O447" s="280">
        <v>44652</v>
      </c>
      <c r="P447" s="281">
        <f t="shared" si="56"/>
        <v>0.17771084337349397</v>
      </c>
      <c r="Q447" s="281">
        <f t="shared" si="59"/>
        <v>0.17771084337349397</v>
      </c>
      <c r="R447" s="282">
        <v>1</v>
      </c>
      <c r="S447" s="283">
        <v>0.25</v>
      </c>
      <c r="T447" s="283">
        <v>0.5</v>
      </c>
      <c r="U447" s="283">
        <v>0.75</v>
      </c>
      <c r="V447" s="283">
        <v>1</v>
      </c>
      <c r="W447" s="308">
        <v>0</v>
      </c>
      <c r="X447" s="283" t="s">
        <v>1178</v>
      </c>
      <c r="Y447" s="352" t="s">
        <v>52</v>
      </c>
      <c r="Z447" s="284"/>
      <c r="AA447" s="285"/>
      <c r="AB447" s="285"/>
      <c r="AC447" s="284"/>
      <c r="AD447" s="285"/>
      <c r="AE447" s="285"/>
      <c r="AF447" s="284"/>
      <c r="AG447" s="285"/>
      <c r="AH447" s="285"/>
      <c r="AI447" s="286"/>
    </row>
    <row r="448" spans="1:35" ht="96" hidden="1" customHeight="1" outlineLevel="1" x14ac:dyDescent="0.2">
      <c r="A448" s="634"/>
      <c r="B448" s="546"/>
      <c r="C448" s="546"/>
      <c r="D448" s="680"/>
      <c r="E448" s="694"/>
      <c r="F448" s="734"/>
      <c r="G448" s="683"/>
      <c r="H448" s="14" t="s">
        <v>1529</v>
      </c>
      <c r="I448" s="737"/>
      <c r="J448" s="12" t="s">
        <v>1518</v>
      </c>
      <c r="K448" s="337">
        <v>2160000</v>
      </c>
      <c r="L448" s="337"/>
      <c r="M448" s="297">
        <v>44593</v>
      </c>
      <c r="N448" s="297">
        <v>44925</v>
      </c>
      <c r="O448" s="280">
        <v>44652</v>
      </c>
      <c r="P448" s="281">
        <f t="shared" si="56"/>
        <v>0.17771084337349397</v>
      </c>
      <c r="Q448" s="281">
        <f t="shared" si="59"/>
        <v>0.17771084337349397</v>
      </c>
      <c r="R448" s="282">
        <v>1</v>
      </c>
      <c r="S448" s="283">
        <v>0.25</v>
      </c>
      <c r="T448" s="283">
        <v>0.5</v>
      </c>
      <c r="U448" s="283">
        <v>0.75</v>
      </c>
      <c r="V448" s="283">
        <v>1</v>
      </c>
      <c r="W448" s="308">
        <v>0</v>
      </c>
      <c r="X448" s="283" t="s">
        <v>1178</v>
      </c>
      <c r="Y448" s="352" t="s">
        <v>52</v>
      </c>
      <c r="Z448" s="284"/>
      <c r="AA448" s="285"/>
      <c r="AB448" s="285"/>
      <c r="AC448" s="284"/>
      <c r="AD448" s="285"/>
      <c r="AE448" s="285"/>
      <c r="AF448" s="284"/>
      <c r="AG448" s="285"/>
      <c r="AH448" s="285"/>
      <c r="AI448" s="286"/>
    </row>
    <row r="449" spans="1:35" ht="96" hidden="1" customHeight="1" outlineLevel="1" x14ac:dyDescent="0.2">
      <c r="A449" s="634"/>
      <c r="B449" s="546"/>
      <c r="C449" s="546"/>
      <c r="D449" s="680"/>
      <c r="E449" s="694"/>
      <c r="F449" s="734"/>
      <c r="G449" s="683"/>
      <c r="H449" s="14" t="s">
        <v>1530</v>
      </c>
      <c r="I449" s="737"/>
      <c r="J449" s="12" t="s">
        <v>1518</v>
      </c>
      <c r="K449" s="337">
        <v>4320000</v>
      </c>
      <c r="L449" s="337"/>
      <c r="M449" s="297">
        <v>44593</v>
      </c>
      <c r="N449" s="297">
        <v>44925</v>
      </c>
      <c r="O449" s="280">
        <v>44652</v>
      </c>
      <c r="P449" s="281">
        <f t="shared" si="56"/>
        <v>0.17771084337349397</v>
      </c>
      <c r="Q449" s="281">
        <f t="shared" si="59"/>
        <v>0.17771084337349397</v>
      </c>
      <c r="R449" s="282">
        <v>1</v>
      </c>
      <c r="S449" s="283">
        <v>0.25</v>
      </c>
      <c r="T449" s="283">
        <v>0.5</v>
      </c>
      <c r="U449" s="283">
        <v>0.75</v>
      </c>
      <c r="V449" s="283">
        <v>1</v>
      </c>
      <c r="W449" s="308">
        <v>0</v>
      </c>
      <c r="X449" s="283" t="s">
        <v>1178</v>
      </c>
      <c r="Y449" s="352" t="s">
        <v>52</v>
      </c>
      <c r="Z449" s="284"/>
      <c r="AA449" s="285"/>
      <c r="AB449" s="285"/>
      <c r="AC449" s="284"/>
      <c r="AD449" s="285"/>
      <c r="AE449" s="285"/>
      <c r="AF449" s="284"/>
      <c r="AG449" s="285"/>
      <c r="AH449" s="285"/>
      <c r="AI449" s="286"/>
    </row>
    <row r="450" spans="1:35" ht="96" hidden="1" customHeight="1" outlineLevel="1" x14ac:dyDescent="0.2">
      <c r="A450" s="634"/>
      <c r="B450" s="546"/>
      <c r="C450" s="546"/>
      <c r="D450" s="680"/>
      <c r="E450" s="694"/>
      <c r="F450" s="734"/>
      <c r="G450" s="683"/>
      <c r="H450" s="14" t="s">
        <v>1531</v>
      </c>
      <c r="I450" s="737"/>
      <c r="J450" s="12" t="s">
        <v>1518</v>
      </c>
      <c r="K450" s="337">
        <v>4320000</v>
      </c>
      <c r="L450" s="337"/>
      <c r="M450" s="297">
        <v>44593</v>
      </c>
      <c r="N450" s="297">
        <v>44925</v>
      </c>
      <c r="O450" s="280">
        <v>44652</v>
      </c>
      <c r="P450" s="281">
        <f t="shared" si="56"/>
        <v>0.17771084337349397</v>
      </c>
      <c r="Q450" s="281">
        <f t="shared" si="59"/>
        <v>0.17771084337349397</v>
      </c>
      <c r="R450" s="282">
        <v>1</v>
      </c>
      <c r="S450" s="283">
        <v>0.25</v>
      </c>
      <c r="T450" s="283">
        <v>0.5</v>
      </c>
      <c r="U450" s="283">
        <v>0.75</v>
      </c>
      <c r="V450" s="283">
        <v>1</v>
      </c>
      <c r="W450" s="308">
        <v>0</v>
      </c>
      <c r="X450" s="283" t="s">
        <v>1178</v>
      </c>
      <c r="Y450" s="352" t="s">
        <v>52</v>
      </c>
      <c r="Z450" s="284"/>
      <c r="AA450" s="285"/>
      <c r="AB450" s="285"/>
      <c r="AC450" s="284"/>
      <c r="AD450" s="285"/>
      <c r="AE450" s="285"/>
      <c r="AF450" s="284"/>
      <c r="AG450" s="285"/>
      <c r="AH450" s="285"/>
      <c r="AI450" s="286"/>
    </row>
    <row r="451" spans="1:35" ht="96" hidden="1" customHeight="1" outlineLevel="1" x14ac:dyDescent="0.2">
      <c r="A451" s="634"/>
      <c r="B451" s="546"/>
      <c r="C451" s="546"/>
      <c r="D451" s="680"/>
      <c r="E451" s="694"/>
      <c r="F451" s="734"/>
      <c r="G451" s="683"/>
      <c r="H451" s="14" t="s">
        <v>1532</v>
      </c>
      <c r="I451" s="737"/>
      <c r="J451" s="12" t="s">
        <v>1518</v>
      </c>
      <c r="K451" s="337">
        <v>13200000</v>
      </c>
      <c r="L451" s="337"/>
      <c r="M451" s="297">
        <v>44593</v>
      </c>
      <c r="N451" s="297">
        <v>44925</v>
      </c>
      <c r="O451" s="280">
        <v>44652</v>
      </c>
      <c r="P451" s="281">
        <f t="shared" si="56"/>
        <v>0.17771084337349397</v>
      </c>
      <c r="Q451" s="281">
        <f t="shared" si="59"/>
        <v>0.17771084337349397</v>
      </c>
      <c r="R451" s="282">
        <v>1</v>
      </c>
      <c r="S451" s="283">
        <v>0.25</v>
      </c>
      <c r="T451" s="283">
        <v>0.5</v>
      </c>
      <c r="U451" s="283">
        <v>0.75</v>
      </c>
      <c r="V451" s="283">
        <v>1</v>
      </c>
      <c r="W451" s="308">
        <v>0</v>
      </c>
      <c r="X451" s="283" t="s">
        <v>1533</v>
      </c>
      <c r="Y451" s="352" t="s">
        <v>52</v>
      </c>
      <c r="Z451" s="284"/>
      <c r="AA451" s="285"/>
      <c r="AB451" s="285"/>
      <c r="AC451" s="284"/>
      <c r="AD451" s="285"/>
      <c r="AE451" s="285"/>
      <c r="AF451" s="284"/>
      <c r="AG451" s="285"/>
      <c r="AH451" s="285"/>
      <c r="AI451" s="286"/>
    </row>
    <row r="452" spans="1:35" ht="96" hidden="1" customHeight="1" outlineLevel="1" x14ac:dyDescent="0.2">
      <c r="A452" s="634"/>
      <c r="B452" s="546"/>
      <c r="C452" s="546"/>
      <c r="D452" s="680"/>
      <c r="E452" s="694"/>
      <c r="F452" s="734"/>
      <c r="G452" s="683"/>
      <c r="H452" s="14" t="s">
        <v>1534</v>
      </c>
      <c r="I452" s="737"/>
      <c r="J452" s="12" t="s">
        <v>1518</v>
      </c>
      <c r="K452" s="337">
        <v>13200000</v>
      </c>
      <c r="L452" s="337"/>
      <c r="M452" s="297">
        <v>44593</v>
      </c>
      <c r="N452" s="297">
        <v>44925</v>
      </c>
      <c r="O452" s="280">
        <v>44652</v>
      </c>
      <c r="P452" s="281">
        <f t="shared" si="56"/>
        <v>0.17771084337349397</v>
      </c>
      <c r="Q452" s="281">
        <f t="shared" si="59"/>
        <v>0.17771084337349397</v>
      </c>
      <c r="R452" s="282">
        <v>1</v>
      </c>
      <c r="S452" s="283">
        <v>0.25</v>
      </c>
      <c r="T452" s="283">
        <v>0.5</v>
      </c>
      <c r="U452" s="283">
        <v>0.75</v>
      </c>
      <c r="V452" s="283">
        <v>1</v>
      </c>
      <c r="W452" s="308">
        <v>0</v>
      </c>
      <c r="X452" s="283" t="s">
        <v>1178</v>
      </c>
      <c r="Y452" s="352" t="s">
        <v>52</v>
      </c>
      <c r="Z452" s="284"/>
      <c r="AA452" s="285"/>
      <c r="AB452" s="285"/>
      <c r="AC452" s="284"/>
      <c r="AD452" s="285"/>
      <c r="AE452" s="285"/>
      <c r="AF452" s="284"/>
      <c r="AG452" s="285"/>
      <c r="AH452" s="285"/>
      <c r="AI452" s="286"/>
    </row>
    <row r="453" spans="1:35" ht="96" hidden="1" customHeight="1" outlineLevel="1" x14ac:dyDescent="0.2">
      <c r="A453" s="634"/>
      <c r="B453" s="546"/>
      <c r="C453" s="546"/>
      <c r="D453" s="680"/>
      <c r="E453" s="694"/>
      <c r="F453" s="734"/>
      <c r="G453" s="683"/>
      <c r="H453" s="14" t="s">
        <v>1535</v>
      </c>
      <c r="I453" s="737"/>
      <c r="J453" s="12" t="s">
        <v>1518</v>
      </c>
      <c r="K453" s="337">
        <v>13200000</v>
      </c>
      <c r="L453" s="337"/>
      <c r="M453" s="297">
        <v>44593</v>
      </c>
      <c r="N453" s="297">
        <v>44925</v>
      </c>
      <c r="O453" s="280">
        <v>44652</v>
      </c>
      <c r="P453" s="281">
        <f t="shared" si="56"/>
        <v>0.17771084337349397</v>
      </c>
      <c r="Q453" s="281">
        <f t="shared" si="59"/>
        <v>0.17771084337349397</v>
      </c>
      <c r="R453" s="282">
        <v>1</v>
      </c>
      <c r="S453" s="283">
        <v>0.25</v>
      </c>
      <c r="T453" s="283">
        <v>0.5</v>
      </c>
      <c r="U453" s="283">
        <v>0.75</v>
      </c>
      <c r="V453" s="283">
        <v>1</v>
      </c>
      <c r="W453" s="308">
        <v>0</v>
      </c>
      <c r="X453" s="283" t="s">
        <v>1178</v>
      </c>
      <c r="Y453" s="352" t="s">
        <v>52</v>
      </c>
      <c r="Z453" s="284"/>
      <c r="AA453" s="285"/>
      <c r="AB453" s="285"/>
      <c r="AC453" s="284"/>
      <c r="AD453" s="285"/>
      <c r="AE453" s="285"/>
      <c r="AF453" s="284"/>
      <c r="AG453" s="285"/>
      <c r="AH453" s="285"/>
      <c r="AI453" s="286"/>
    </row>
    <row r="454" spans="1:35" ht="96" hidden="1" customHeight="1" outlineLevel="1" x14ac:dyDescent="0.2">
      <c r="A454" s="634"/>
      <c r="B454" s="546"/>
      <c r="C454" s="546"/>
      <c r="D454" s="680"/>
      <c r="E454" s="694"/>
      <c r="F454" s="734"/>
      <c r="G454" s="683"/>
      <c r="H454" s="14" t="s">
        <v>1536</v>
      </c>
      <c r="I454" s="737"/>
      <c r="J454" s="12" t="s">
        <v>1518</v>
      </c>
      <c r="K454" s="337">
        <v>13200000</v>
      </c>
      <c r="L454" s="337"/>
      <c r="M454" s="297">
        <v>44593</v>
      </c>
      <c r="N454" s="297">
        <v>44925</v>
      </c>
      <c r="O454" s="280">
        <v>44652</v>
      </c>
      <c r="P454" s="281">
        <f t="shared" si="56"/>
        <v>0.17771084337349397</v>
      </c>
      <c r="Q454" s="281">
        <f t="shared" si="59"/>
        <v>0.17771084337349397</v>
      </c>
      <c r="R454" s="282">
        <v>1</v>
      </c>
      <c r="S454" s="283">
        <v>0.25</v>
      </c>
      <c r="T454" s="283">
        <v>0.5</v>
      </c>
      <c r="U454" s="283">
        <v>0.75</v>
      </c>
      <c r="V454" s="283">
        <v>1</v>
      </c>
      <c r="W454" s="308">
        <v>0</v>
      </c>
      <c r="X454" s="283" t="s">
        <v>1178</v>
      </c>
      <c r="Y454" s="352" t="s">
        <v>52</v>
      </c>
      <c r="Z454" s="284"/>
      <c r="AA454" s="285"/>
      <c r="AB454" s="285"/>
      <c r="AC454" s="284"/>
      <c r="AD454" s="285"/>
      <c r="AE454" s="285"/>
      <c r="AF454" s="284"/>
      <c r="AG454" s="285"/>
      <c r="AH454" s="285"/>
      <c r="AI454" s="286"/>
    </row>
    <row r="455" spans="1:35" ht="96" hidden="1" customHeight="1" outlineLevel="1" x14ac:dyDescent="0.2">
      <c r="A455" s="634"/>
      <c r="B455" s="546"/>
      <c r="C455" s="546"/>
      <c r="D455" s="680"/>
      <c r="E455" s="694"/>
      <c r="F455" s="734"/>
      <c r="G455" s="683"/>
      <c r="H455" s="14" t="s">
        <v>1537</v>
      </c>
      <c r="I455" s="737"/>
      <c r="J455" s="12" t="s">
        <v>1518</v>
      </c>
      <c r="K455" s="337">
        <v>13200000</v>
      </c>
      <c r="L455" s="337"/>
      <c r="M455" s="297">
        <v>44593</v>
      </c>
      <c r="N455" s="297">
        <v>44925</v>
      </c>
      <c r="O455" s="280">
        <v>44652</v>
      </c>
      <c r="P455" s="281">
        <f t="shared" si="56"/>
        <v>0.17771084337349397</v>
      </c>
      <c r="Q455" s="281">
        <f t="shared" si="59"/>
        <v>0.17771084337349397</v>
      </c>
      <c r="R455" s="282">
        <v>1</v>
      </c>
      <c r="S455" s="283">
        <v>0.25</v>
      </c>
      <c r="T455" s="283">
        <v>0.5</v>
      </c>
      <c r="U455" s="283">
        <v>0.75</v>
      </c>
      <c r="V455" s="283">
        <v>1</v>
      </c>
      <c r="W455" s="308">
        <v>0</v>
      </c>
      <c r="X455" s="283" t="s">
        <v>1538</v>
      </c>
      <c r="Y455" s="352" t="s">
        <v>52</v>
      </c>
      <c r="Z455" s="284"/>
      <c r="AA455" s="285"/>
      <c r="AB455" s="285"/>
      <c r="AC455" s="284"/>
      <c r="AD455" s="285"/>
      <c r="AE455" s="285"/>
      <c r="AF455" s="284"/>
      <c r="AG455" s="285"/>
      <c r="AH455" s="285"/>
      <c r="AI455" s="286"/>
    </row>
    <row r="456" spans="1:35" ht="96" hidden="1" customHeight="1" outlineLevel="1" x14ac:dyDescent="0.2">
      <c r="A456" s="634"/>
      <c r="B456" s="546"/>
      <c r="C456" s="546"/>
      <c r="D456" s="680"/>
      <c r="E456" s="694"/>
      <c r="F456" s="734"/>
      <c r="G456" s="683"/>
      <c r="H456" s="14" t="s">
        <v>1539</v>
      </c>
      <c r="I456" s="737"/>
      <c r="J456" s="12" t="s">
        <v>1518</v>
      </c>
      <c r="K456" s="337">
        <v>13200000</v>
      </c>
      <c r="L456" s="337"/>
      <c r="M456" s="297">
        <v>44593</v>
      </c>
      <c r="N456" s="297">
        <v>44925</v>
      </c>
      <c r="O456" s="280">
        <v>44652</v>
      </c>
      <c r="P456" s="281">
        <f t="shared" si="56"/>
        <v>0.17771084337349397</v>
      </c>
      <c r="Q456" s="281">
        <f t="shared" si="59"/>
        <v>0.17771084337349397</v>
      </c>
      <c r="R456" s="282">
        <v>1</v>
      </c>
      <c r="S456" s="283">
        <v>0.25</v>
      </c>
      <c r="T456" s="283">
        <v>0.5</v>
      </c>
      <c r="U456" s="283">
        <v>0.75</v>
      </c>
      <c r="V456" s="283">
        <v>1</v>
      </c>
      <c r="W456" s="308">
        <v>0</v>
      </c>
      <c r="X456" s="283" t="s">
        <v>1538</v>
      </c>
      <c r="Y456" s="352" t="s">
        <v>52</v>
      </c>
      <c r="Z456" s="284"/>
      <c r="AA456" s="285"/>
      <c r="AB456" s="285"/>
      <c r="AC456" s="284"/>
      <c r="AD456" s="285"/>
      <c r="AE456" s="285"/>
      <c r="AF456" s="284"/>
      <c r="AG456" s="285"/>
      <c r="AH456" s="285"/>
      <c r="AI456" s="286"/>
    </row>
    <row r="457" spans="1:35" ht="96" hidden="1" customHeight="1" outlineLevel="1" x14ac:dyDescent="0.2">
      <c r="A457" s="634"/>
      <c r="B457" s="546"/>
      <c r="C457" s="546"/>
      <c r="D457" s="680"/>
      <c r="E457" s="694"/>
      <c r="F457" s="734"/>
      <c r="G457" s="683"/>
      <c r="H457" s="14" t="s">
        <v>1540</v>
      </c>
      <c r="I457" s="737"/>
      <c r="J457" s="12" t="s">
        <v>1518</v>
      </c>
      <c r="K457" s="337">
        <v>13200000</v>
      </c>
      <c r="L457" s="337">
        <v>10800000</v>
      </c>
      <c r="M457" s="297">
        <v>44593</v>
      </c>
      <c r="N457" s="297">
        <v>44925</v>
      </c>
      <c r="O457" s="280">
        <v>44652</v>
      </c>
      <c r="P457" s="281">
        <f t="shared" si="56"/>
        <v>0.17771084337349397</v>
      </c>
      <c r="Q457" s="281">
        <f t="shared" si="59"/>
        <v>0.17771084337349397</v>
      </c>
      <c r="R457" s="282">
        <v>1</v>
      </c>
      <c r="S457" s="283">
        <v>0.25</v>
      </c>
      <c r="T457" s="283">
        <v>0.5</v>
      </c>
      <c r="U457" s="283">
        <v>0.75</v>
      </c>
      <c r="V457" s="283">
        <v>1</v>
      </c>
      <c r="W457" s="308">
        <v>0.5</v>
      </c>
      <c r="X457" s="283" t="s">
        <v>1541</v>
      </c>
      <c r="Y457" s="352" t="s">
        <v>1542</v>
      </c>
      <c r="Z457" s="284"/>
      <c r="AA457" s="285"/>
      <c r="AB457" s="285"/>
      <c r="AC457" s="284"/>
      <c r="AD457" s="285"/>
      <c r="AE457" s="285"/>
      <c r="AF457" s="284"/>
      <c r="AG457" s="285"/>
      <c r="AH457" s="285"/>
      <c r="AI457" s="286"/>
    </row>
    <row r="458" spans="1:35" ht="96" hidden="1" customHeight="1" outlineLevel="1" x14ac:dyDescent="0.2">
      <c r="A458" s="634"/>
      <c r="B458" s="546"/>
      <c r="C458" s="546"/>
      <c r="D458" s="680"/>
      <c r="E458" s="694"/>
      <c r="F458" s="734"/>
      <c r="G458" s="683"/>
      <c r="H458" s="14" t="s">
        <v>1543</v>
      </c>
      <c r="I458" s="737"/>
      <c r="J458" s="12" t="s">
        <v>1518</v>
      </c>
      <c r="K458" s="337">
        <v>13200000</v>
      </c>
      <c r="L458" s="365"/>
      <c r="M458" s="297">
        <v>44593</v>
      </c>
      <c r="N458" s="297">
        <v>44925</v>
      </c>
      <c r="O458" s="280">
        <v>44652</v>
      </c>
      <c r="P458" s="281">
        <f t="shared" si="56"/>
        <v>0.17771084337349397</v>
      </c>
      <c r="Q458" s="281">
        <f t="shared" si="59"/>
        <v>0.17771084337349397</v>
      </c>
      <c r="R458" s="282">
        <v>1</v>
      </c>
      <c r="S458" s="283">
        <v>0.25</v>
      </c>
      <c r="T458" s="283">
        <v>0.5</v>
      </c>
      <c r="U458" s="283">
        <v>0.75</v>
      </c>
      <c r="V458" s="283">
        <v>1</v>
      </c>
      <c r="W458" s="308">
        <v>0</v>
      </c>
      <c r="X458" s="283" t="s">
        <v>1178</v>
      </c>
      <c r="Y458" s="352" t="s">
        <v>52</v>
      </c>
      <c r="Z458" s="284"/>
      <c r="AA458" s="285"/>
      <c r="AB458" s="285"/>
      <c r="AC458" s="284"/>
      <c r="AD458" s="285"/>
      <c r="AE458" s="285"/>
      <c r="AF458" s="284"/>
      <c r="AG458" s="285"/>
      <c r="AH458" s="285"/>
      <c r="AI458" s="286"/>
    </row>
    <row r="459" spans="1:35" ht="96" hidden="1" customHeight="1" outlineLevel="1" x14ac:dyDescent="0.2">
      <c r="A459" s="634"/>
      <c r="B459" s="546"/>
      <c r="C459" s="546"/>
      <c r="D459" s="680"/>
      <c r="E459" s="694"/>
      <c r="F459" s="734"/>
      <c r="G459" s="683"/>
      <c r="H459" s="14" t="s">
        <v>1544</v>
      </c>
      <c r="I459" s="737"/>
      <c r="J459" s="12" t="s">
        <v>1518</v>
      </c>
      <c r="K459" s="337">
        <v>13200000</v>
      </c>
      <c r="L459" s="365"/>
      <c r="M459" s="297">
        <v>44593</v>
      </c>
      <c r="N459" s="297">
        <v>44925</v>
      </c>
      <c r="O459" s="280">
        <v>44652</v>
      </c>
      <c r="P459" s="281">
        <f t="shared" si="56"/>
        <v>0.17771084337349397</v>
      </c>
      <c r="Q459" s="281">
        <f t="shared" si="59"/>
        <v>0.17771084337349397</v>
      </c>
      <c r="R459" s="282">
        <v>1</v>
      </c>
      <c r="S459" s="283">
        <v>0.25</v>
      </c>
      <c r="T459" s="283">
        <v>0.5</v>
      </c>
      <c r="U459" s="283">
        <v>0.75</v>
      </c>
      <c r="V459" s="283">
        <v>1</v>
      </c>
      <c r="W459" s="308">
        <v>0.7</v>
      </c>
      <c r="X459" s="283" t="s">
        <v>1545</v>
      </c>
      <c r="Y459" s="352" t="s">
        <v>1546</v>
      </c>
      <c r="Z459" s="284"/>
      <c r="AA459" s="285"/>
      <c r="AB459" s="285"/>
      <c r="AC459" s="284"/>
      <c r="AD459" s="285"/>
      <c r="AE459" s="285"/>
      <c r="AF459" s="284"/>
      <c r="AG459" s="285"/>
      <c r="AH459" s="285"/>
      <c r="AI459" s="286"/>
    </row>
    <row r="460" spans="1:35" ht="96" hidden="1" customHeight="1" outlineLevel="1" x14ac:dyDescent="0.2">
      <c r="A460" s="634"/>
      <c r="B460" s="546"/>
      <c r="C460" s="546"/>
      <c r="D460" s="680"/>
      <c r="E460" s="694"/>
      <c r="F460" s="734"/>
      <c r="G460" s="683"/>
      <c r="H460" s="14" t="s">
        <v>1547</v>
      </c>
      <c r="I460" s="737"/>
      <c r="J460" s="12" t="s">
        <v>1518</v>
      </c>
      <c r="K460" s="337">
        <v>13200000</v>
      </c>
      <c r="L460" s="365"/>
      <c r="M460" s="297">
        <v>44593</v>
      </c>
      <c r="N460" s="297">
        <v>44925</v>
      </c>
      <c r="O460" s="280">
        <v>44652</v>
      </c>
      <c r="P460" s="281">
        <f t="shared" si="56"/>
        <v>0.17771084337349397</v>
      </c>
      <c r="Q460" s="281">
        <f t="shared" si="59"/>
        <v>0.17771084337349397</v>
      </c>
      <c r="R460" s="282">
        <v>1</v>
      </c>
      <c r="S460" s="283">
        <v>0.25</v>
      </c>
      <c r="T460" s="283">
        <v>0.5</v>
      </c>
      <c r="U460" s="283">
        <v>0.75</v>
      </c>
      <c r="V460" s="283">
        <v>1</v>
      </c>
      <c r="W460" s="308">
        <v>0</v>
      </c>
      <c r="X460" s="283" t="s">
        <v>1178</v>
      </c>
      <c r="Y460" s="352" t="s">
        <v>52</v>
      </c>
      <c r="Z460" s="284"/>
      <c r="AA460" s="285"/>
      <c r="AB460" s="285"/>
      <c r="AC460" s="284"/>
      <c r="AD460" s="285"/>
      <c r="AE460" s="285"/>
      <c r="AF460" s="284"/>
      <c r="AG460" s="285"/>
      <c r="AH460" s="285"/>
      <c r="AI460" s="286"/>
    </row>
    <row r="461" spans="1:35" ht="96" hidden="1" customHeight="1" outlineLevel="1" x14ac:dyDescent="0.2">
      <c r="A461" s="634"/>
      <c r="B461" s="546"/>
      <c r="C461" s="546"/>
      <c r="D461" s="680"/>
      <c r="E461" s="694"/>
      <c r="F461" s="734"/>
      <c r="G461" s="683"/>
      <c r="H461" s="14" t="s">
        <v>1548</v>
      </c>
      <c r="I461" s="737"/>
      <c r="J461" s="12" t="s">
        <v>1518</v>
      </c>
      <c r="K461" s="337">
        <v>7200000</v>
      </c>
      <c r="L461" s="365"/>
      <c r="M461" s="297">
        <v>44593</v>
      </c>
      <c r="N461" s="297">
        <v>44925</v>
      </c>
      <c r="O461" s="280">
        <v>44652</v>
      </c>
      <c r="P461" s="281">
        <f t="shared" si="56"/>
        <v>0.17771084337349397</v>
      </c>
      <c r="Q461" s="281">
        <f t="shared" si="59"/>
        <v>0.17771084337349397</v>
      </c>
      <c r="R461" s="282">
        <v>1</v>
      </c>
      <c r="S461" s="283">
        <v>0.25</v>
      </c>
      <c r="T461" s="283">
        <v>0.5</v>
      </c>
      <c r="U461" s="283">
        <v>0.75</v>
      </c>
      <c r="V461" s="283">
        <v>1</v>
      </c>
      <c r="W461" s="308">
        <v>0</v>
      </c>
      <c r="X461" s="283" t="s">
        <v>1538</v>
      </c>
      <c r="Y461" s="352" t="s">
        <v>52</v>
      </c>
      <c r="Z461" s="284"/>
      <c r="AA461" s="285"/>
      <c r="AB461" s="285"/>
      <c r="AC461" s="284"/>
      <c r="AD461" s="285"/>
      <c r="AE461" s="285"/>
      <c r="AF461" s="284"/>
      <c r="AG461" s="285"/>
      <c r="AH461" s="285"/>
      <c r="AI461" s="286"/>
    </row>
    <row r="462" spans="1:35" ht="96" hidden="1" customHeight="1" outlineLevel="1" x14ac:dyDescent="0.2">
      <c r="A462" s="634"/>
      <c r="B462" s="546"/>
      <c r="C462" s="546"/>
      <c r="D462" s="680"/>
      <c r="E462" s="694"/>
      <c r="F462" s="734"/>
      <c r="G462" s="683"/>
      <c r="H462" s="14" t="s">
        <v>1549</v>
      </c>
      <c r="I462" s="737"/>
      <c r="J462" s="12" t="s">
        <v>1518</v>
      </c>
      <c r="K462" s="337">
        <v>6000000</v>
      </c>
      <c r="L462" s="365"/>
      <c r="M462" s="297">
        <v>44593</v>
      </c>
      <c r="N462" s="297">
        <v>44925</v>
      </c>
      <c r="O462" s="280">
        <v>44652</v>
      </c>
      <c r="P462" s="281">
        <f t="shared" si="56"/>
        <v>0.17771084337349397</v>
      </c>
      <c r="Q462" s="281">
        <f t="shared" si="59"/>
        <v>0.17771084337349397</v>
      </c>
      <c r="R462" s="282">
        <v>1</v>
      </c>
      <c r="S462" s="283">
        <v>0.25</v>
      </c>
      <c r="T462" s="283">
        <v>0.5</v>
      </c>
      <c r="U462" s="283">
        <v>0.75</v>
      </c>
      <c r="V462" s="283">
        <v>1</v>
      </c>
      <c r="W462" s="308">
        <v>0</v>
      </c>
      <c r="X462" s="283" t="s">
        <v>1538</v>
      </c>
      <c r="Y462" s="352" t="s">
        <v>52</v>
      </c>
      <c r="Z462" s="284"/>
      <c r="AA462" s="285"/>
      <c r="AB462" s="285"/>
      <c r="AC462" s="284"/>
      <c r="AD462" s="285"/>
      <c r="AE462" s="285"/>
      <c r="AF462" s="284"/>
      <c r="AG462" s="285"/>
      <c r="AH462" s="285"/>
      <c r="AI462" s="286"/>
    </row>
    <row r="463" spans="1:35" ht="96" hidden="1" customHeight="1" outlineLevel="1" x14ac:dyDescent="0.2">
      <c r="A463" s="634"/>
      <c r="B463" s="546"/>
      <c r="C463" s="546"/>
      <c r="D463" s="680"/>
      <c r="E463" s="694"/>
      <c r="F463" s="734"/>
      <c r="G463" s="683"/>
      <c r="H463" s="14" t="s">
        <v>1550</v>
      </c>
      <c r="I463" s="737"/>
      <c r="J463" s="12" t="s">
        <v>1518</v>
      </c>
      <c r="K463" s="337">
        <v>1000000</v>
      </c>
      <c r="L463" s="365"/>
      <c r="M463" s="297">
        <v>44593</v>
      </c>
      <c r="N463" s="297">
        <v>44925</v>
      </c>
      <c r="O463" s="280">
        <v>44652</v>
      </c>
      <c r="P463" s="281">
        <f t="shared" si="56"/>
        <v>0.17771084337349397</v>
      </c>
      <c r="Q463" s="281">
        <f t="shared" si="59"/>
        <v>0.17771084337349397</v>
      </c>
      <c r="R463" s="282">
        <v>1</v>
      </c>
      <c r="S463" s="283">
        <v>0.25</v>
      </c>
      <c r="T463" s="283">
        <v>0.5</v>
      </c>
      <c r="U463" s="283">
        <v>0.75</v>
      </c>
      <c r="V463" s="283">
        <v>1</v>
      </c>
      <c r="W463" s="308">
        <v>0</v>
      </c>
      <c r="X463" s="283" t="s">
        <v>1538</v>
      </c>
      <c r="Y463" s="352" t="s">
        <v>52</v>
      </c>
      <c r="Z463" s="284"/>
      <c r="AA463" s="285"/>
      <c r="AB463" s="285"/>
      <c r="AC463" s="284"/>
      <c r="AD463" s="285"/>
      <c r="AE463" s="285"/>
      <c r="AF463" s="284"/>
      <c r="AG463" s="285"/>
      <c r="AH463" s="285"/>
      <c r="AI463" s="286"/>
    </row>
    <row r="464" spans="1:35" ht="96" hidden="1" customHeight="1" outlineLevel="1" x14ac:dyDescent="0.2">
      <c r="A464" s="634"/>
      <c r="B464" s="546"/>
      <c r="C464" s="546"/>
      <c r="D464" s="680"/>
      <c r="E464" s="694"/>
      <c r="F464" s="734"/>
      <c r="G464" s="683"/>
      <c r="H464" s="14" t="s">
        <v>1551</v>
      </c>
      <c r="I464" s="737"/>
      <c r="J464" s="12" t="s">
        <v>1518</v>
      </c>
      <c r="K464" s="337">
        <v>1500000</v>
      </c>
      <c r="L464" s="365"/>
      <c r="M464" s="297">
        <v>44593</v>
      </c>
      <c r="N464" s="297">
        <v>44925</v>
      </c>
      <c r="O464" s="280">
        <v>44652</v>
      </c>
      <c r="P464" s="281">
        <f t="shared" si="56"/>
        <v>0.17771084337349397</v>
      </c>
      <c r="Q464" s="281">
        <f t="shared" si="59"/>
        <v>0.17771084337349397</v>
      </c>
      <c r="R464" s="282">
        <v>1</v>
      </c>
      <c r="S464" s="283">
        <v>0.25</v>
      </c>
      <c r="T464" s="283">
        <v>0.5</v>
      </c>
      <c r="U464" s="283">
        <v>0.75</v>
      </c>
      <c r="V464" s="283">
        <v>1</v>
      </c>
      <c r="W464" s="308">
        <v>0</v>
      </c>
      <c r="X464" s="283" t="s">
        <v>1538</v>
      </c>
      <c r="Y464" s="352" t="s">
        <v>52</v>
      </c>
      <c r="Z464" s="284"/>
      <c r="AA464" s="285"/>
      <c r="AB464" s="285"/>
      <c r="AC464" s="284"/>
      <c r="AD464" s="285"/>
      <c r="AE464" s="285"/>
      <c r="AF464" s="284"/>
      <c r="AG464" s="285"/>
      <c r="AH464" s="285"/>
      <c r="AI464" s="286"/>
    </row>
    <row r="465" spans="1:35" ht="96" hidden="1" customHeight="1" outlineLevel="1" x14ac:dyDescent="0.2">
      <c r="A465" s="634"/>
      <c r="B465" s="546"/>
      <c r="C465" s="546"/>
      <c r="D465" s="680"/>
      <c r="E465" s="694"/>
      <c r="F465" s="734"/>
      <c r="G465" s="683"/>
      <c r="H465" s="14" t="s">
        <v>1552</v>
      </c>
      <c r="I465" s="737"/>
      <c r="J465" s="12" t="s">
        <v>1518</v>
      </c>
      <c r="K465" s="337">
        <v>2000000</v>
      </c>
      <c r="L465" s="365"/>
      <c r="M465" s="297">
        <v>44593</v>
      </c>
      <c r="N465" s="297">
        <v>44925</v>
      </c>
      <c r="O465" s="280">
        <v>44652</v>
      </c>
      <c r="P465" s="281">
        <f t="shared" si="56"/>
        <v>0.17771084337349397</v>
      </c>
      <c r="Q465" s="281">
        <f t="shared" si="59"/>
        <v>0.17771084337349397</v>
      </c>
      <c r="R465" s="282">
        <v>1</v>
      </c>
      <c r="S465" s="283">
        <v>0.25</v>
      </c>
      <c r="T465" s="283">
        <v>0.5</v>
      </c>
      <c r="U465" s="283">
        <v>0.75</v>
      </c>
      <c r="V465" s="283">
        <v>1</v>
      </c>
      <c r="W465" s="308">
        <v>0</v>
      </c>
      <c r="X465" s="283" t="s">
        <v>1538</v>
      </c>
      <c r="Y465" s="352" t="s">
        <v>52</v>
      </c>
      <c r="Z465" s="284"/>
      <c r="AA465" s="285"/>
      <c r="AB465" s="285"/>
      <c r="AC465" s="284"/>
      <c r="AD465" s="285"/>
      <c r="AE465" s="285"/>
      <c r="AF465" s="284"/>
      <c r="AG465" s="285"/>
      <c r="AH465" s="285"/>
      <c r="AI465" s="286"/>
    </row>
    <row r="466" spans="1:35" ht="96" hidden="1" customHeight="1" outlineLevel="1" x14ac:dyDescent="0.2">
      <c r="A466" s="634"/>
      <c r="B466" s="546"/>
      <c r="C466" s="546"/>
      <c r="D466" s="680"/>
      <c r="E466" s="694"/>
      <c r="F466" s="734"/>
      <c r="G466" s="683"/>
      <c r="H466" s="14" t="s">
        <v>1553</v>
      </c>
      <c r="I466" s="737"/>
      <c r="J466" s="12" t="s">
        <v>1518</v>
      </c>
      <c r="K466" s="337">
        <v>2500000</v>
      </c>
      <c r="L466" s="365"/>
      <c r="M466" s="297">
        <v>44593</v>
      </c>
      <c r="N466" s="297">
        <v>44925</v>
      </c>
      <c r="O466" s="280">
        <v>44652</v>
      </c>
      <c r="P466" s="281">
        <f t="shared" si="56"/>
        <v>0.17771084337349397</v>
      </c>
      <c r="Q466" s="281">
        <f t="shared" si="59"/>
        <v>0.17771084337349397</v>
      </c>
      <c r="R466" s="282">
        <v>1</v>
      </c>
      <c r="S466" s="283">
        <v>0.25</v>
      </c>
      <c r="T466" s="283">
        <v>0.5</v>
      </c>
      <c r="U466" s="283">
        <v>0.75</v>
      </c>
      <c r="V466" s="283">
        <v>1</v>
      </c>
      <c r="W466" s="308">
        <v>0</v>
      </c>
      <c r="X466" s="283" t="s">
        <v>1538</v>
      </c>
      <c r="Y466" s="352" t="s">
        <v>52</v>
      </c>
      <c r="Z466" s="284"/>
      <c r="AA466" s="285"/>
      <c r="AB466" s="285"/>
      <c r="AC466" s="284"/>
      <c r="AD466" s="285"/>
      <c r="AE466" s="285"/>
      <c r="AF466" s="284"/>
      <c r="AG466" s="285"/>
      <c r="AH466" s="285"/>
      <c r="AI466" s="286"/>
    </row>
    <row r="467" spans="1:35" ht="96" hidden="1" customHeight="1" outlineLevel="1" x14ac:dyDescent="0.2">
      <c r="A467" s="634"/>
      <c r="B467" s="546"/>
      <c r="C467" s="546"/>
      <c r="D467" s="680"/>
      <c r="E467" s="694"/>
      <c r="F467" s="734"/>
      <c r="G467" s="683"/>
      <c r="H467" s="14" t="s">
        <v>1554</v>
      </c>
      <c r="I467" s="737"/>
      <c r="J467" s="12" t="s">
        <v>1518</v>
      </c>
      <c r="K467" s="337">
        <v>3000000</v>
      </c>
      <c r="L467" s="367">
        <v>3100000</v>
      </c>
      <c r="M467" s="297">
        <v>44593</v>
      </c>
      <c r="N467" s="297">
        <v>44925</v>
      </c>
      <c r="O467" s="280">
        <v>44652</v>
      </c>
      <c r="P467" s="281">
        <f t="shared" si="56"/>
        <v>0.17771084337349397</v>
      </c>
      <c r="Q467" s="281">
        <f t="shared" si="59"/>
        <v>0.17771084337349397</v>
      </c>
      <c r="R467" s="282">
        <v>1</v>
      </c>
      <c r="S467" s="283">
        <v>0.25</v>
      </c>
      <c r="T467" s="283">
        <v>0.5</v>
      </c>
      <c r="U467" s="283">
        <v>0.75</v>
      </c>
      <c r="V467" s="283">
        <v>1</v>
      </c>
      <c r="W467" s="308">
        <v>0.7</v>
      </c>
      <c r="X467" s="283" t="s">
        <v>1555</v>
      </c>
      <c r="Y467" s="352" t="s">
        <v>1556</v>
      </c>
      <c r="Z467" s="284"/>
      <c r="AA467" s="285"/>
      <c r="AB467" s="285"/>
      <c r="AC467" s="284"/>
      <c r="AD467" s="285"/>
      <c r="AE467" s="285"/>
      <c r="AF467" s="284"/>
      <c r="AG467" s="285"/>
      <c r="AH467" s="285"/>
      <c r="AI467" s="286"/>
    </row>
    <row r="468" spans="1:35" ht="96" hidden="1" customHeight="1" outlineLevel="1" x14ac:dyDescent="0.2">
      <c r="A468" s="634"/>
      <c r="B468" s="546"/>
      <c r="C468" s="546"/>
      <c r="D468" s="680"/>
      <c r="E468" s="694"/>
      <c r="F468" s="734"/>
      <c r="G468" s="683"/>
      <c r="H468" s="14" t="s">
        <v>1557</v>
      </c>
      <c r="I468" s="737"/>
      <c r="J468" s="12" t="s">
        <v>1518</v>
      </c>
      <c r="K468" s="337">
        <v>1200000</v>
      </c>
      <c r="L468" s="365"/>
      <c r="M468" s="297">
        <v>44593</v>
      </c>
      <c r="N468" s="297">
        <v>44925</v>
      </c>
      <c r="O468" s="280">
        <v>44652</v>
      </c>
      <c r="P468" s="281">
        <f t="shared" si="56"/>
        <v>0.17771084337349397</v>
      </c>
      <c r="Q468" s="281">
        <f t="shared" si="59"/>
        <v>0.17771084337349397</v>
      </c>
      <c r="R468" s="282">
        <v>1</v>
      </c>
      <c r="S468" s="283">
        <v>0.25</v>
      </c>
      <c r="T468" s="283">
        <v>0.5</v>
      </c>
      <c r="U468" s="283">
        <v>0.75</v>
      </c>
      <c r="V468" s="283">
        <v>1</v>
      </c>
      <c r="W468" s="308">
        <v>0</v>
      </c>
      <c r="X468" s="283" t="s">
        <v>1538</v>
      </c>
      <c r="Y468" s="352" t="s">
        <v>52</v>
      </c>
      <c r="Z468" s="284"/>
      <c r="AA468" s="285"/>
      <c r="AB468" s="285"/>
      <c r="AC468" s="284"/>
      <c r="AD468" s="285"/>
      <c r="AE468" s="285"/>
      <c r="AF468" s="284"/>
      <c r="AG468" s="285"/>
      <c r="AH468" s="285"/>
      <c r="AI468" s="286"/>
    </row>
    <row r="469" spans="1:35" ht="96" hidden="1" customHeight="1" outlineLevel="1" x14ac:dyDescent="0.2">
      <c r="A469" s="634"/>
      <c r="B469" s="546"/>
      <c r="C469" s="546"/>
      <c r="D469" s="680"/>
      <c r="E469" s="694"/>
      <c r="F469" s="734"/>
      <c r="G469" s="683"/>
      <c r="H469" s="14" t="s">
        <v>1558</v>
      </c>
      <c r="I469" s="737"/>
      <c r="J469" s="12" t="s">
        <v>1518</v>
      </c>
      <c r="K469" s="337">
        <v>1800000</v>
      </c>
      <c r="L469" s="365"/>
      <c r="M469" s="297">
        <v>44593</v>
      </c>
      <c r="N469" s="297">
        <v>44925</v>
      </c>
      <c r="O469" s="280">
        <v>44652</v>
      </c>
      <c r="P469" s="281">
        <f t="shared" si="56"/>
        <v>0.17771084337349397</v>
      </c>
      <c r="Q469" s="281">
        <f t="shared" si="59"/>
        <v>0.17771084337349397</v>
      </c>
      <c r="R469" s="282">
        <v>1</v>
      </c>
      <c r="S469" s="283">
        <v>0.25</v>
      </c>
      <c r="T469" s="283">
        <v>0.5</v>
      </c>
      <c r="U469" s="283">
        <v>0.75</v>
      </c>
      <c r="V469" s="283">
        <v>1</v>
      </c>
      <c r="W469" s="308">
        <v>0</v>
      </c>
      <c r="X469" s="283" t="s">
        <v>1538</v>
      </c>
      <c r="Y469" s="352" t="s">
        <v>52</v>
      </c>
      <c r="Z469" s="284"/>
      <c r="AA469" s="285"/>
      <c r="AB469" s="285"/>
      <c r="AC469" s="284"/>
      <c r="AD469" s="285"/>
      <c r="AE469" s="285"/>
      <c r="AF469" s="284"/>
      <c r="AG469" s="285"/>
      <c r="AH469" s="285"/>
      <c r="AI469" s="286"/>
    </row>
    <row r="470" spans="1:35" ht="96" hidden="1" customHeight="1" outlineLevel="1" x14ac:dyDescent="0.2">
      <c r="A470" s="634"/>
      <c r="B470" s="546"/>
      <c r="C470" s="546"/>
      <c r="D470" s="680"/>
      <c r="E470" s="694"/>
      <c r="F470" s="734"/>
      <c r="G470" s="683"/>
      <c r="H470" s="14" t="s">
        <v>1559</v>
      </c>
      <c r="I470" s="737"/>
      <c r="J470" s="12" t="s">
        <v>1518</v>
      </c>
      <c r="K470" s="337">
        <v>2400000</v>
      </c>
      <c r="L470" s="365"/>
      <c r="M470" s="297">
        <v>44593</v>
      </c>
      <c r="N470" s="297">
        <v>44925</v>
      </c>
      <c r="O470" s="280">
        <v>44652</v>
      </c>
      <c r="P470" s="281">
        <f t="shared" si="56"/>
        <v>0.17771084337349397</v>
      </c>
      <c r="Q470" s="281">
        <f t="shared" si="59"/>
        <v>0.17771084337349397</v>
      </c>
      <c r="R470" s="282">
        <v>1</v>
      </c>
      <c r="S470" s="283">
        <v>0.25</v>
      </c>
      <c r="T470" s="283">
        <v>0.5</v>
      </c>
      <c r="U470" s="283">
        <v>0.75</v>
      </c>
      <c r="V470" s="283">
        <v>1</v>
      </c>
      <c r="W470" s="308">
        <v>0</v>
      </c>
      <c r="X470" s="283" t="s">
        <v>1538</v>
      </c>
      <c r="Y470" s="352" t="s">
        <v>52</v>
      </c>
      <c r="Z470" s="284"/>
      <c r="AA470" s="285"/>
      <c r="AB470" s="285"/>
      <c r="AC470" s="284"/>
      <c r="AD470" s="285"/>
      <c r="AE470" s="285"/>
      <c r="AF470" s="284"/>
      <c r="AG470" s="285"/>
      <c r="AH470" s="285"/>
      <c r="AI470" s="286"/>
    </row>
    <row r="471" spans="1:35" ht="96" hidden="1" customHeight="1" outlineLevel="1" x14ac:dyDescent="0.2">
      <c r="A471" s="634"/>
      <c r="B471" s="546"/>
      <c r="C471" s="546"/>
      <c r="D471" s="680"/>
      <c r="E471" s="694"/>
      <c r="F471" s="734"/>
      <c r="G471" s="683"/>
      <c r="H471" s="14" t="s">
        <v>1560</v>
      </c>
      <c r="I471" s="737"/>
      <c r="J471" s="12" t="s">
        <v>1518</v>
      </c>
      <c r="K471" s="337">
        <v>2500000</v>
      </c>
      <c r="L471" s="365"/>
      <c r="M471" s="297">
        <v>44593</v>
      </c>
      <c r="N471" s="297">
        <v>44925</v>
      </c>
      <c r="O471" s="280">
        <v>44652</v>
      </c>
      <c r="P471" s="281">
        <f t="shared" si="56"/>
        <v>0.17771084337349397</v>
      </c>
      <c r="Q471" s="281">
        <f t="shared" si="59"/>
        <v>0.17771084337349397</v>
      </c>
      <c r="R471" s="282">
        <v>1</v>
      </c>
      <c r="S471" s="283">
        <v>0.25</v>
      </c>
      <c r="T471" s="283">
        <v>0.5</v>
      </c>
      <c r="U471" s="283">
        <v>0.75</v>
      </c>
      <c r="V471" s="283">
        <v>1</v>
      </c>
      <c r="W471" s="308">
        <v>0</v>
      </c>
      <c r="X471" s="283" t="s">
        <v>1538</v>
      </c>
      <c r="Y471" s="352" t="s">
        <v>52</v>
      </c>
      <c r="Z471" s="284"/>
      <c r="AA471" s="285"/>
      <c r="AB471" s="285"/>
      <c r="AC471" s="284"/>
      <c r="AD471" s="285"/>
      <c r="AE471" s="285"/>
      <c r="AF471" s="284"/>
      <c r="AG471" s="285"/>
      <c r="AH471" s="285"/>
      <c r="AI471" s="286"/>
    </row>
    <row r="472" spans="1:35" ht="96" hidden="1" customHeight="1" outlineLevel="1" x14ac:dyDescent="0.2">
      <c r="A472" s="634"/>
      <c r="B472" s="546"/>
      <c r="C472" s="546"/>
      <c r="D472" s="680"/>
      <c r="E472" s="694"/>
      <c r="F472" s="734"/>
      <c r="G472" s="683"/>
      <c r="H472" s="14" t="s">
        <v>1561</v>
      </c>
      <c r="I472" s="737"/>
      <c r="J472" s="12" t="s">
        <v>1518</v>
      </c>
      <c r="K472" s="337">
        <v>3600000</v>
      </c>
      <c r="L472" s="365"/>
      <c r="M472" s="297">
        <v>44593</v>
      </c>
      <c r="N472" s="297">
        <v>44925</v>
      </c>
      <c r="O472" s="280">
        <v>44652</v>
      </c>
      <c r="P472" s="281">
        <f t="shared" si="56"/>
        <v>0.17771084337349397</v>
      </c>
      <c r="Q472" s="281">
        <f t="shared" si="59"/>
        <v>0.17771084337349397</v>
      </c>
      <c r="R472" s="282">
        <v>1</v>
      </c>
      <c r="S472" s="283">
        <v>0.25</v>
      </c>
      <c r="T472" s="283">
        <v>0.5</v>
      </c>
      <c r="U472" s="283">
        <v>0.75</v>
      </c>
      <c r="V472" s="283">
        <v>1</v>
      </c>
      <c r="W472" s="308">
        <v>0</v>
      </c>
      <c r="X472" s="283" t="s">
        <v>1538</v>
      </c>
      <c r="Y472" s="352" t="s">
        <v>52</v>
      </c>
      <c r="Z472" s="284"/>
      <c r="AA472" s="285"/>
      <c r="AB472" s="285"/>
      <c r="AC472" s="284"/>
      <c r="AD472" s="285"/>
      <c r="AE472" s="285"/>
      <c r="AF472" s="284"/>
      <c r="AG472" s="285"/>
      <c r="AH472" s="285"/>
      <c r="AI472" s="286"/>
    </row>
    <row r="473" spans="1:35" ht="96" hidden="1" customHeight="1" outlineLevel="1" x14ac:dyDescent="0.2">
      <c r="A473" s="634"/>
      <c r="B473" s="546"/>
      <c r="C473" s="546"/>
      <c r="D473" s="680"/>
      <c r="E473" s="694"/>
      <c r="F473" s="734"/>
      <c r="G473" s="683"/>
      <c r="H473" s="14" t="s">
        <v>1562</v>
      </c>
      <c r="I473" s="737"/>
      <c r="J473" s="12" t="s">
        <v>1518</v>
      </c>
      <c r="K473" s="337">
        <v>76550000</v>
      </c>
      <c r="L473" s="365"/>
      <c r="M473" s="297">
        <v>44593</v>
      </c>
      <c r="N473" s="297">
        <v>44925</v>
      </c>
      <c r="O473" s="280">
        <v>44652</v>
      </c>
      <c r="P473" s="281">
        <f t="shared" si="56"/>
        <v>0.17771084337349397</v>
      </c>
      <c r="Q473" s="281">
        <f t="shared" si="59"/>
        <v>0.17771084337349397</v>
      </c>
      <c r="R473" s="282">
        <v>1</v>
      </c>
      <c r="S473" s="283">
        <v>0.25</v>
      </c>
      <c r="T473" s="283">
        <v>0.5</v>
      </c>
      <c r="U473" s="283">
        <v>0.75</v>
      </c>
      <c r="V473" s="283">
        <v>1</v>
      </c>
      <c r="W473" s="308">
        <v>0</v>
      </c>
      <c r="X473" s="283" t="s">
        <v>1538</v>
      </c>
      <c r="Y473" s="352" t="s">
        <v>52</v>
      </c>
      <c r="Z473" s="284"/>
      <c r="AA473" s="285"/>
      <c r="AB473" s="285"/>
      <c r="AC473" s="284"/>
      <c r="AD473" s="285"/>
      <c r="AE473" s="285"/>
      <c r="AF473" s="284"/>
      <c r="AG473" s="285"/>
      <c r="AH473" s="285"/>
      <c r="AI473" s="286"/>
    </row>
    <row r="474" spans="1:35" ht="96" hidden="1" customHeight="1" outlineLevel="1" x14ac:dyDescent="0.2">
      <c r="A474" s="634"/>
      <c r="B474" s="546"/>
      <c r="C474" s="546"/>
      <c r="D474" s="680"/>
      <c r="E474" s="694"/>
      <c r="F474" s="735"/>
      <c r="G474" s="684"/>
      <c r="H474" s="14" t="s">
        <v>1563</v>
      </c>
      <c r="I474" s="737"/>
      <c r="J474" s="12" t="s">
        <v>1518</v>
      </c>
      <c r="K474" s="337">
        <v>100000000</v>
      </c>
      <c r="L474" s="365"/>
      <c r="M474" s="297">
        <v>44593</v>
      </c>
      <c r="N474" s="297">
        <v>44925</v>
      </c>
      <c r="O474" s="280">
        <v>44652</v>
      </c>
      <c r="P474" s="281">
        <f t="shared" si="56"/>
        <v>0.17771084337349397</v>
      </c>
      <c r="Q474" s="281">
        <f t="shared" si="59"/>
        <v>0.17771084337349397</v>
      </c>
      <c r="R474" s="282">
        <v>1</v>
      </c>
      <c r="S474" s="283">
        <v>0.25</v>
      </c>
      <c r="T474" s="283">
        <v>0.5</v>
      </c>
      <c r="U474" s="283">
        <v>0.75</v>
      </c>
      <c r="V474" s="283">
        <v>1</v>
      </c>
      <c r="W474" s="308">
        <v>0.25</v>
      </c>
      <c r="X474" s="283" t="s">
        <v>1564</v>
      </c>
      <c r="Y474" s="352" t="s">
        <v>1565</v>
      </c>
      <c r="Z474" s="284"/>
      <c r="AA474" s="285"/>
      <c r="AB474" s="285"/>
      <c r="AC474" s="284"/>
      <c r="AD474" s="285"/>
      <c r="AE474" s="285"/>
      <c r="AF474" s="284"/>
      <c r="AG474" s="285"/>
      <c r="AH474" s="285"/>
      <c r="AI474" s="286"/>
    </row>
    <row r="475" spans="1:35" ht="96" hidden="1" customHeight="1" outlineLevel="1" x14ac:dyDescent="0.2">
      <c r="A475" s="634"/>
      <c r="B475" s="546"/>
      <c r="C475" s="546"/>
      <c r="D475" s="680"/>
      <c r="E475" s="694"/>
      <c r="F475" s="13" t="s">
        <v>1566</v>
      </c>
      <c r="G475" s="2" t="s">
        <v>205</v>
      </c>
      <c r="H475" s="14" t="s">
        <v>1567</v>
      </c>
      <c r="I475" s="738"/>
      <c r="J475" s="12" t="s">
        <v>1568</v>
      </c>
      <c r="K475" s="337">
        <v>41800000</v>
      </c>
      <c r="L475" s="365"/>
      <c r="M475" s="297">
        <v>44593</v>
      </c>
      <c r="N475" s="297">
        <v>44925</v>
      </c>
      <c r="O475" s="280">
        <v>44652</v>
      </c>
      <c r="P475" s="281">
        <f t="shared" si="56"/>
        <v>0.17771084337349397</v>
      </c>
      <c r="Q475" s="281">
        <f t="shared" si="59"/>
        <v>0.17771084337349397</v>
      </c>
      <c r="R475" s="282">
        <v>0.05</v>
      </c>
      <c r="S475" s="283">
        <v>0.03</v>
      </c>
      <c r="T475" s="283">
        <v>0.03</v>
      </c>
      <c r="U475" s="283">
        <v>0.04</v>
      </c>
      <c r="V475" s="283">
        <v>0.05</v>
      </c>
      <c r="W475" s="308">
        <v>0</v>
      </c>
      <c r="X475" s="283" t="s">
        <v>1491</v>
      </c>
      <c r="Y475" s="352" t="s">
        <v>52</v>
      </c>
      <c r="Z475" s="284"/>
      <c r="AA475" s="285"/>
      <c r="AB475" s="285"/>
      <c r="AC475" s="284"/>
      <c r="AD475" s="285"/>
      <c r="AE475" s="285"/>
      <c r="AF475" s="284"/>
      <c r="AG475" s="285"/>
      <c r="AH475" s="285"/>
      <c r="AI475" s="286"/>
    </row>
    <row r="476" spans="1:35" ht="96" hidden="1" customHeight="1" outlineLevel="1" x14ac:dyDescent="0.2">
      <c r="A476" s="634"/>
      <c r="B476" s="546"/>
      <c r="C476" s="546"/>
      <c r="D476" s="680"/>
      <c r="E476" s="694"/>
      <c r="F476" s="733" t="s">
        <v>1569</v>
      </c>
      <c r="G476" s="682" t="s">
        <v>205</v>
      </c>
      <c r="H476" s="14" t="s">
        <v>1570</v>
      </c>
      <c r="I476" s="736" t="s">
        <v>1571</v>
      </c>
      <c r="J476" s="12" t="s">
        <v>958</v>
      </c>
      <c r="K476" s="12" t="s">
        <v>1204</v>
      </c>
      <c r="L476" s="365"/>
      <c r="M476" s="297">
        <v>44593</v>
      </c>
      <c r="N476" s="297">
        <v>44925</v>
      </c>
      <c r="O476" s="280">
        <v>44652</v>
      </c>
      <c r="P476" s="281">
        <f t="shared" si="56"/>
        <v>0.17771084337349397</v>
      </c>
      <c r="Q476" s="281">
        <f t="shared" si="59"/>
        <v>0.17771084337349397</v>
      </c>
      <c r="R476" s="282">
        <v>1</v>
      </c>
      <c r="S476" s="283">
        <v>0.25</v>
      </c>
      <c r="T476" s="283">
        <v>0.5</v>
      </c>
      <c r="U476" s="283">
        <v>0.75</v>
      </c>
      <c r="V476" s="283">
        <v>1</v>
      </c>
      <c r="W476" s="308">
        <v>0.25</v>
      </c>
      <c r="X476" s="370" t="s">
        <v>1572</v>
      </c>
      <c r="Y476" s="354" t="s">
        <v>1573</v>
      </c>
      <c r="Z476" s="284"/>
      <c r="AA476" s="285"/>
      <c r="AB476" s="285"/>
      <c r="AC476" s="284"/>
      <c r="AD476" s="285"/>
      <c r="AE476" s="285"/>
      <c r="AF476" s="284"/>
      <c r="AG476" s="285"/>
      <c r="AH476" s="285"/>
      <c r="AI476" s="286"/>
    </row>
    <row r="477" spans="1:35" ht="117.75" hidden="1" customHeight="1" outlineLevel="1" x14ac:dyDescent="0.2">
      <c r="A477" s="634"/>
      <c r="B477" s="546"/>
      <c r="C477" s="546"/>
      <c r="D477" s="680"/>
      <c r="E477" s="694"/>
      <c r="F477" s="734"/>
      <c r="G477" s="683"/>
      <c r="H477" s="14" t="s">
        <v>1574</v>
      </c>
      <c r="I477" s="737"/>
      <c r="J477" s="12" t="s">
        <v>1575</v>
      </c>
      <c r="K477" s="337">
        <v>51700000</v>
      </c>
      <c r="L477" s="365"/>
      <c r="M477" s="297">
        <v>44593</v>
      </c>
      <c r="N477" s="297">
        <v>44925</v>
      </c>
      <c r="O477" s="280">
        <v>44652</v>
      </c>
      <c r="P477" s="281">
        <f t="shared" si="56"/>
        <v>0.17771084337349397</v>
      </c>
      <c r="Q477" s="281">
        <f t="shared" si="59"/>
        <v>0.17771084337349397</v>
      </c>
      <c r="R477" s="282">
        <v>1</v>
      </c>
      <c r="S477" s="283">
        <v>0.25</v>
      </c>
      <c r="T477" s="283">
        <v>0.5</v>
      </c>
      <c r="U477" s="283">
        <v>0.75</v>
      </c>
      <c r="V477" s="283">
        <v>1</v>
      </c>
      <c r="W477" s="308">
        <v>0.05</v>
      </c>
      <c r="X477" s="382" t="s">
        <v>1516</v>
      </c>
      <c r="Y477" s="352" t="s">
        <v>52</v>
      </c>
      <c r="Z477" s="284"/>
      <c r="AA477" s="285"/>
      <c r="AB477" s="285"/>
      <c r="AC477" s="284"/>
      <c r="AD477" s="285"/>
      <c r="AE477" s="285"/>
      <c r="AF477" s="284"/>
      <c r="AG477" s="285"/>
      <c r="AH477" s="285"/>
      <c r="AI477" s="286"/>
    </row>
    <row r="478" spans="1:35" ht="96" hidden="1" customHeight="1" outlineLevel="1" x14ac:dyDescent="0.2">
      <c r="A478" s="634"/>
      <c r="B478" s="547"/>
      <c r="C478" s="547"/>
      <c r="D478" s="681"/>
      <c r="E478" s="695"/>
      <c r="F478" s="735"/>
      <c r="G478" s="684"/>
      <c r="H478" s="14" t="s">
        <v>1576</v>
      </c>
      <c r="I478" s="738"/>
      <c r="J478" s="12" t="s">
        <v>1577</v>
      </c>
      <c r="K478" s="337">
        <v>27500000</v>
      </c>
      <c r="L478" s="365"/>
      <c r="M478" s="297">
        <v>44593</v>
      </c>
      <c r="N478" s="297">
        <v>44925</v>
      </c>
      <c r="O478" s="280">
        <v>44652</v>
      </c>
      <c r="P478" s="281">
        <f t="shared" si="56"/>
        <v>0.17771084337349397</v>
      </c>
      <c r="Q478" s="281">
        <f t="shared" si="59"/>
        <v>0.17771084337349397</v>
      </c>
      <c r="R478" s="282">
        <v>1</v>
      </c>
      <c r="S478" s="283">
        <v>0.25</v>
      </c>
      <c r="T478" s="283">
        <v>0.5</v>
      </c>
      <c r="U478" s="283">
        <v>0.75</v>
      </c>
      <c r="V478" s="283">
        <v>1</v>
      </c>
      <c r="W478" s="308">
        <v>0.25</v>
      </c>
      <c r="X478" s="283" t="s">
        <v>1578</v>
      </c>
      <c r="Y478" s="352" t="s">
        <v>1579</v>
      </c>
      <c r="Z478" s="284"/>
      <c r="AA478" s="285"/>
      <c r="AB478" s="285"/>
      <c r="AC478" s="284"/>
      <c r="AD478" s="285"/>
      <c r="AE478" s="285"/>
      <c r="AF478" s="284"/>
      <c r="AG478" s="285"/>
      <c r="AH478" s="285"/>
      <c r="AI478" s="286"/>
    </row>
    <row r="479" spans="1:35" ht="93" hidden="1" customHeight="1" outlineLevel="1" x14ac:dyDescent="0.2">
      <c r="A479" s="634"/>
      <c r="B479" s="545" t="s">
        <v>868</v>
      </c>
      <c r="C479" s="545" t="s">
        <v>644</v>
      </c>
      <c r="D479" s="588" t="s">
        <v>1580</v>
      </c>
      <c r="E479" s="549" t="s">
        <v>1581</v>
      </c>
      <c r="F479" s="549" t="s">
        <v>1582</v>
      </c>
      <c r="G479" s="730" t="s">
        <v>227</v>
      </c>
      <c r="H479" s="485" t="s">
        <v>1583</v>
      </c>
      <c r="I479" s="664" t="s">
        <v>1026</v>
      </c>
      <c r="J479" s="12" t="s">
        <v>189</v>
      </c>
      <c r="K479" s="337">
        <v>1800000</v>
      </c>
      <c r="L479" s="367"/>
      <c r="M479" s="297">
        <v>44593</v>
      </c>
      <c r="N479" s="297">
        <v>44925</v>
      </c>
      <c r="O479" s="280">
        <v>44652</v>
      </c>
      <c r="P479" s="281">
        <f t="shared" si="56"/>
        <v>0.17771084337349397</v>
      </c>
      <c r="Q479" s="281">
        <f t="shared" si="59"/>
        <v>0.17771084337349397</v>
      </c>
      <c r="R479" s="282">
        <v>1</v>
      </c>
      <c r="S479" s="283">
        <v>0.25</v>
      </c>
      <c r="T479" s="283">
        <v>0.5</v>
      </c>
      <c r="U479" s="283">
        <v>0.75</v>
      </c>
      <c r="V479" s="283">
        <v>1</v>
      </c>
      <c r="W479" s="308">
        <v>0.25</v>
      </c>
      <c r="X479" s="283" t="s">
        <v>1178</v>
      </c>
      <c r="Y479" s="352" t="s">
        <v>52</v>
      </c>
      <c r="Z479" s="284"/>
      <c r="AA479" s="285"/>
      <c r="AB479" s="285"/>
      <c r="AC479" s="284"/>
      <c r="AD479" s="285"/>
      <c r="AE479" s="285"/>
      <c r="AF479" s="284"/>
      <c r="AG479" s="285"/>
      <c r="AH479" s="285"/>
      <c r="AI479" s="286"/>
    </row>
    <row r="480" spans="1:35" ht="75" hidden="1" customHeight="1" outlineLevel="1" x14ac:dyDescent="0.2">
      <c r="A480" s="634"/>
      <c r="B480" s="546"/>
      <c r="C480" s="546"/>
      <c r="D480" s="589"/>
      <c r="E480" s="585"/>
      <c r="F480" s="585"/>
      <c r="G480" s="731"/>
      <c r="H480" s="303" t="s">
        <v>1584</v>
      </c>
      <c r="I480" s="557"/>
      <c r="J480" s="12" t="s">
        <v>189</v>
      </c>
      <c r="K480" s="337">
        <v>3500000</v>
      </c>
      <c r="L480" s="367">
        <v>3500000</v>
      </c>
      <c r="M480" s="297">
        <v>44593</v>
      </c>
      <c r="N480" s="297">
        <v>44925</v>
      </c>
      <c r="O480" s="280">
        <v>44652</v>
      </c>
      <c r="P480" s="281">
        <f t="shared" si="56"/>
        <v>0.17771084337349397</v>
      </c>
      <c r="Q480" s="281">
        <f t="shared" si="59"/>
        <v>0.17771084337349397</v>
      </c>
      <c r="R480" s="282">
        <v>1</v>
      </c>
      <c r="S480" s="283">
        <v>0.25</v>
      </c>
      <c r="T480" s="283">
        <v>0.5</v>
      </c>
      <c r="U480" s="283">
        <v>0.75</v>
      </c>
      <c r="V480" s="283">
        <v>1</v>
      </c>
      <c r="W480" s="308">
        <v>0.25</v>
      </c>
      <c r="X480" s="283" t="s">
        <v>1585</v>
      </c>
      <c r="Y480" s="352" t="s">
        <v>1586</v>
      </c>
      <c r="Z480" s="284"/>
      <c r="AA480" s="285"/>
      <c r="AB480" s="285"/>
      <c r="AC480" s="284"/>
      <c r="AD480" s="285"/>
      <c r="AE480" s="285"/>
      <c r="AF480" s="284"/>
      <c r="AG480" s="285"/>
      <c r="AH480" s="285"/>
      <c r="AI480" s="286"/>
    </row>
    <row r="481" spans="1:35" ht="75" hidden="1" customHeight="1" outlineLevel="1" x14ac:dyDescent="0.2">
      <c r="A481" s="634"/>
      <c r="B481" s="546"/>
      <c r="C481" s="546"/>
      <c r="D481" s="589"/>
      <c r="E481" s="585"/>
      <c r="F481" s="585"/>
      <c r="G481" s="731"/>
      <c r="H481" s="303" t="s">
        <v>1587</v>
      </c>
      <c r="I481" s="557"/>
      <c r="J481" s="12" t="s">
        <v>189</v>
      </c>
      <c r="K481" s="337">
        <v>4200000</v>
      </c>
      <c r="L481" s="367">
        <v>4200000</v>
      </c>
      <c r="M481" s="297">
        <v>44593</v>
      </c>
      <c r="N481" s="297">
        <v>44925</v>
      </c>
      <c r="O481" s="280">
        <v>44652</v>
      </c>
      <c r="P481" s="281">
        <f t="shared" ref="P481:P508" si="60">+(+_xlfn.DAYS(M481,O481))/(+_xlfn.DAYS(M481,N481))</f>
        <v>0.17771084337349397</v>
      </c>
      <c r="Q481" s="281">
        <f t="shared" si="59"/>
        <v>0.17771084337349397</v>
      </c>
      <c r="R481" s="282">
        <v>1</v>
      </c>
      <c r="S481" s="283">
        <v>0.25</v>
      </c>
      <c r="T481" s="283">
        <v>0.5</v>
      </c>
      <c r="U481" s="283">
        <v>0.75</v>
      </c>
      <c r="V481" s="283">
        <v>1</v>
      </c>
      <c r="W481" s="308">
        <v>0.25</v>
      </c>
      <c r="X481" s="283" t="s">
        <v>1588</v>
      </c>
      <c r="Y481" s="352" t="s">
        <v>1586</v>
      </c>
      <c r="Z481" s="284"/>
      <c r="AA481" s="285"/>
      <c r="AB481" s="285"/>
      <c r="AC481" s="284"/>
      <c r="AD481" s="285"/>
      <c r="AE481" s="285"/>
      <c r="AF481" s="284"/>
      <c r="AG481" s="285"/>
      <c r="AH481" s="285"/>
      <c r="AI481" s="286"/>
    </row>
    <row r="482" spans="1:35" ht="75" hidden="1" customHeight="1" outlineLevel="1" x14ac:dyDescent="0.2">
      <c r="A482" s="634"/>
      <c r="B482" s="546"/>
      <c r="C482" s="546"/>
      <c r="D482" s="589"/>
      <c r="E482" s="585"/>
      <c r="F482" s="585"/>
      <c r="G482" s="731"/>
      <c r="H482" s="303" t="s">
        <v>1589</v>
      </c>
      <c r="I482" s="557"/>
      <c r="J482" s="12" t="s">
        <v>189</v>
      </c>
      <c r="K482" s="337">
        <v>3500000</v>
      </c>
      <c r="L482" s="367">
        <v>3500000</v>
      </c>
      <c r="M482" s="297">
        <v>44593</v>
      </c>
      <c r="N482" s="297">
        <v>44925</v>
      </c>
      <c r="O482" s="280">
        <v>44652</v>
      </c>
      <c r="P482" s="281">
        <f t="shared" si="60"/>
        <v>0.17771084337349397</v>
      </c>
      <c r="Q482" s="281">
        <f t="shared" si="59"/>
        <v>0.17771084337349397</v>
      </c>
      <c r="R482" s="282">
        <v>1</v>
      </c>
      <c r="S482" s="283">
        <v>0.25</v>
      </c>
      <c r="T482" s="283">
        <v>0.5</v>
      </c>
      <c r="U482" s="283">
        <v>0.75</v>
      </c>
      <c r="V482" s="283">
        <v>1</v>
      </c>
      <c r="W482" s="308">
        <v>0.25</v>
      </c>
      <c r="X482" s="283" t="s">
        <v>1590</v>
      </c>
      <c r="Y482" s="352" t="s">
        <v>1586</v>
      </c>
      <c r="Z482" s="284"/>
      <c r="AA482" s="285"/>
      <c r="AB482" s="285"/>
      <c r="AC482" s="284"/>
      <c r="AD482" s="285"/>
      <c r="AE482" s="285"/>
      <c r="AF482" s="284"/>
      <c r="AG482" s="285"/>
      <c r="AH482" s="285"/>
      <c r="AI482" s="286"/>
    </row>
    <row r="483" spans="1:35" ht="75" hidden="1" customHeight="1" outlineLevel="1" x14ac:dyDescent="0.2">
      <c r="A483" s="634"/>
      <c r="B483" s="546"/>
      <c r="C483" s="546"/>
      <c r="D483" s="589"/>
      <c r="E483" s="585"/>
      <c r="F483" s="585"/>
      <c r="G483" s="731"/>
      <c r="H483" s="303" t="s">
        <v>1591</v>
      </c>
      <c r="I483" s="557"/>
      <c r="J483" s="12" t="s">
        <v>189</v>
      </c>
      <c r="K483" s="337">
        <v>3500000</v>
      </c>
      <c r="L483" s="367">
        <v>3500000</v>
      </c>
      <c r="M483" s="297">
        <v>44593</v>
      </c>
      <c r="N483" s="297">
        <v>44925</v>
      </c>
      <c r="O483" s="280">
        <v>44652</v>
      </c>
      <c r="P483" s="281">
        <f t="shared" si="60"/>
        <v>0.17771084337349397</v>
      </c>
      <c r="Q483" s="281">
        <f t="shared" si="59"/>
        <v>0.17771084337349397</v>
      </c>
      <c r="R483" s="282">
        <v>1</v>
      </c>
      <c r="S483" s="283">
        <v>0.25</v>
      </c>
      <c r="T483" s="283">
        <v>0.5</v>
      </c>
      <c r="U483" s="283">
        <v>0.75</v>
      </c>
      <c r="V483" s="283">
        <v>1</v>
      </c>
      <c r="W483" s="308">
        <v>0.25</v>
      </c>
      <c r="X483" s="283" t="s">
        <v>1592</v>
      </c>
      <c r="Y483" s="352" t="s">
        <v>1586</v>
      </c>
      <c r="Z483" s="284"/>
      <c r="AA483" s="285"/>
      <c r="AB483" s="285"/>
      <c r="AC483" s="284"/>
      <c r="AD483" s="285"/>
      <c r="AE483" s="285"/>
      <c r="AF483" s="284"/>
      <c r="AG483" s="285"/>
      <c r="AH483" s="285"/>
      <c r="AI483" s="286"/>
    </row>
    <row r="484" spans="1:35" ht="75" hidden="1" customHeight="1" outlineLevel="1" x14ac:dyDescent="0.2">
      <c r="A484" s="634"/>
      <c r="B484" s="546"/>
      <c r="C484" s="546"/>
      <c r="D484" s="589"/>
      <c r="E484" s="585"/>
      <c r="F484" s="585"/>
      <c r="G484" s="731"/>
      <c r="H484" s="303" t="s">
        <v>1593</v>
      </c>
      <c r="I484" s="557"/>
      <c r="J484" s="12" t="s">
        <v>189</v>
      </c>
      <c r="K484" s="337">
        <v>3500000</v>
      </c>
      <c r="L484" s="367">
        <v>3500000</v>
      </c>
      <c r="M484" s="297">
        <v>44593</v>
      </c>
      <c r="N484" s="297">
        <v>44925</v>
      </c>
      <c r="O484" s="280">
        <v>44652</v>
      </c>
      <c r="P484" s="281">
        <f t="shared" si="60"/>
        <v>0.17771084337349397</v>
      </c>
      <c r="Q484" s="281">
        <f t="shared" si="59"/>
        <v>0.17771084337349397</v>
      </c>
      <c r="R484" s="282">
        <v>1</v>
      </c>
      <c r="S484" s="283">
        <v>0.25</v>
      </c>
      <c r="T484" s="283">
        <v>0.5</v>
      </c>
      <c r="U484" s="283">
        <v>0.75</v>
      </c>
      <c r="V484" s="283">
        <v>1</v>
      </c>
      <c r="W484" s="308">
        <v>0.25</v>
      </c>
      <c r="X484" s="283" t="s">
        <v>1594</v>
      </c>
      <c r="Y484" s="352" t="s">
        <v>1586</v>
      </c>
      <c r="Z484" s="284"/>
      <c r="AA484" s="285"/>
      <c r="AB484" s="285"/>
      <c r="AC484" s="284"/>
      <c r="AD484" s="285"/>
      <c r="AE484" s="285"/>
      <c r="AF484" s="284"/>
      <c r="AG484" s="285"/>
      <c r="AH484" s="285"/>
      <c r="AI484" s="286"/>
    </row>
    <row r="485" spans="1:35" ht="75" hidden="1" customHeight="1" outlineLevel="1" x14ac:dyDescent="0.2">
      <c r="A485" s="634"/>
      <c r="B485" s="546"/>
      <c r="C485" s="546"/>
      <c r="D485" s="589"/>
      <c r="E485" s="585"/>
      <c r="F485" s="585"/>
      <c r="G485" s="731"/>
      <c r="H485" s="303" t="s">
        <v>1595</v>
      </c>
      <c r="I485" s="557"/>
      <c r="J485" s="12" t="s">
        <v>189</v>
      </c>
      <c r="K485" s="337">
        <v>3500000</v>
      </c>
      <c r="L485" s="367">
        <v>3500000</v>
      </c>
      <c r="M485" s="297">
        <v>44593</v>
      </c>
      <c r="N485" s="297">
        <v>44925</v>
      </c>
      <c r="O485" s="280">
        <v>44652</v>
      </c>
      <c r="P485" s="281">
        <f t="shared" si="60"/>
        <v>0.17771084337349397</v>
      </c>
      <c r="Q485" s="281">
        <f t="shared" si="59"/>
        <v>0.17771084337349397</v>
      </c>
      <c r="R485" s="282">
        <v>1</v>
      </c>
      <c r="S485" s="283">
        <v>0.25</v>
      </c>
      <c r="T485" s="283">
        <v>0.5</v>
      </c>
      <c r="U485" s="283">
        <v>0.75</v>
      </c>
      <c r="V485" s="283">
        <v>1</v>
      </c>
      <c r="W485" s="357">
        <v>0.3</v>
      </c>
      <c r="X485" s="283" t="s">
        <v>1596</v>
      </c>
      <c r="Y485" s="352" t="s">
        <v>1586</v>
      </c>
      <c r="Z485" s="284"/>
      <c r="AA485" s="285"/>
      <c r="AB485" s="285"/>
      <c r="AC485" s="284"/>
      <c r="AD485" s="285"/>
      <c r="AE485" s="285"/>
      <c r="AF485" s="284"/>
      <c r="AG485" s="285"/>
      <c r="AH485" s="285"/>
      <c r="AI485" s="286"/>
    </row>
    <row r="486" spans="1:35" ht="75" hidden="1" customHeight="1" outlineLevel="1" x14ac:dyDescent="0.2">
      <c r="A486" s="634"/>
      <c r="B486" s="546"/>
      <c r="C486" s="546"/>
      <c r="D486" s="589"/>
      <c r="E486" s="585"/>
      <c r="F486" s="585"/>
      <c r="G486" s="731"/>
      <c r="H486" s="303" t="s">
        <v>1597</v>
      </c>
      <c r="I486" s="557"/>
      <c r="J486" s="12" t="s">
        <v>189</v>
      </c>
      <c r="K486" s="337">
        <v>3500000</v>
      </c>
      <c r="L486" s="365"/>
      <c r="M486" s="297">
        <v>44593</v>
      </c>
      <c r="N486" s="297">
        <v>44925</v>
      </c>
      <c r="O486" s="280">
        <v>44652</v>
      </c>
      <c r="P486" s="281">
        <f t="shared" si="60"/>
        <v>0.17771084337349397</v>
      </c>
      <c r="Q486" s="281">
        <f t="shared" si="59"/>
        <v>0.17771084337349397</v>
      </c>
      <c r="R486" s="282">
        <v>1</v>
      </c>
      <c r="S486" s="283">
        <v>0.25</v>
      </c>
      <c r="T486" s="283">
        <v>0.5</v>
      </c>
      <c r="U486" s="283">
        <v>0.75</v>
      </c>
      <c r="V486" s="283">
        <v>1</v>
      </c>
      <c r="W486" s="308">
        <v>0</v>
      </c>
      <c r="X486" s="283" t="s">
        <v>1178</v>
      </c>
      <c r="Y486" s="352" t="s">
        <v>52</v>
      </c>
      <c r="Z486" s="284"/>
      <c r="AA486" s="285"/>
      <c r="AB486" s="285"/>
      <c r="AC486" s="284"/>
      <c r="AD486" s="285"/>
      <c r="AE486" s="285"/>
      <c r="AF486" s="284"/>
      <c r="AG486" s="285"/>
      <c r="AH486" s="285"/>
      <c r="AI486" s="286"/>
    </row>
    <row r="487" spans="1:35" ht="75" hidden="1" customHeight="1" outlineLevel="1" x14ac:dyDescent="0.2">
      <c r="A487" s="634"/>
      <c r="B487" s="546"/>
      <c r="C487" s="546"/>
      <c r="D487" s="589"/>
      <c r="E487" s="585"/>
      <c r="F487" s="585"/>
      <c r="G487" s="731"/>
      <c r="H487" s="303" t="s">
        <v>1598</v>
      </c>
      <c r="I487" s="557"/>
      <c r="J487" s="12" t="s">
        <v>189</v>
      </c>
      <c r="K487" s="337">
        <v>4200000</v>
      </c>
      <c r="L487" s="365"/>
      <c r="M487" s="297">
        <v>44593</v>
      </c>
      <c r="N487" s="297">
        <v>44925</v>
      </c>
      <c r="O487" s="280">
        <v>44652</v>
      </c>
      <c r="P487" s="281">
        <f t="shared" si="60"/>
        <v>0.17771084337349397</v>
      </c>
      <c r="Q487" s="281">
        <f t="shared" si="59"/>
        <v>0.17771084337349397</v>
      </c>
      <c r="R487" s="282">
        <v>1</v>
      </c>
      <c r="S487" s="283">
        <v>0.25</v>
      </c>
      <c r="T487" s="283">
        <v>0.5</v>
      </c>
      <c r="U487" s="283">
        <v>0.75</v>
      </c>
      <c r="V487" s="283">
        <v>1</v>
      </c>
      <c r="W487" s="308">
        <v>0</v>
      </c>
      <c r="X487" s="283" t="s">
        <v>1178</v>
      </c>
      <c r="Y487" s="352" t="s">
        <v>52</v>
      </c>
      <c r="Z487" s="284"/>
      <c r="AA487" s="285"/>
      <c r="AB487" s="285"/>
      <c r="AC487" s="284"/>
      <c r="AD487" s="285"/>
      <c r="AE487" s="285"/>
      <c r="AF487" s="284"/>
      <c r="AG487" s="285"/>
      <c r="AH487" s="285"/>
      <c r="AI487" s="286"/>
    </row>
    <row r="488" spans="1:35" ht="75" hidden="1" customHeight="1" outlineLevel="1" x14ac:dyDescent="0.2">
      <c r="A488" s="634"/>
      <c r="B488" s="546"/>
      <c r="C488" s="546"/>
      <c r="D488" s="589"/>
      <c r="E488" s="585"/>
      <c r="F488" s="585"/>
      <c r="G488" s="731"/>
      <c r="H488" s="303" t="s">
        <v>1599</v>
      </c>
      <c r="I488" s="557"/>
      <c r="J488" s="12" t="s">
        <v>189</v>
      </c>
      <c r="K488" s="337">
        <v>3500000</v>
      </c>
      <c r="L488" s="365"/>
      <c r="M488" s="297">
        <v>44593</v>
      </c>
      <c r="N488" s="297">
        <v>44925</v>
      </c>
      <c r="O488" s="280">
        <v>44652</v>
      </c>
      <c r="P488" s="281">
        <f t="shared" si="60"/>
        <v>0.17771084337349397</v>
      </c>
      <c r="Q488" s="281">
        <f t="shared" si="59"/>
        <v>0.17771084337349397</v>
      </c>
      <c r="R488" s="282">
        <v>1</v>
      </c>
      <c r="S488" s="283">
        <v>0.25</v>
      </c>
      <c r="T488" s="283">
        <v>0.5</v>
      </c>
      <c r="U488" s="283">
        <v>0.75</v>
      </c>
      <c r="V488" s="283">
        <v>1</v>
      </c>
      <c r="W488" s="308">
        <v>0</v>
      </c>
      <c r="X488" s="283" t="s">
        <v>1178</v>
      </c>
      <c r="Y488" s="352" t="s">
        <v>52</v>
      </c>
      <c r="Z488" s="284"/>
      <c r="AA488" s="285"/>
      <c r="AB488" s="285"/>
      <c r="AC488" s="284"/>
      <c r="AD488" s="285"/>
      <c r="AE488" s="285"/>
      <c r="AF488" s="284"/>
      <c r="AG488" s="285"/>
      <c r="AH488" s="285"/>
      <c r="AI488" s="286"/>
    </row>
    <row r="489" spans="1:35" ht="75" hidden="1" customHeight="1" outlineLevel="1" x14ac:dyDescent="0.2">
      <c r="A489" s="634"/>
      <c r="B489" s="546"/>
      <c r="C489" s="546"/>
      <c r="D489" s="589"/>
      <c r="E489" s="585"/>
      <c r="F489" s="585"/>
      <c r="G489" s="731"/>
      <c r="H489" s="303" t="s">
        <v>1600</v>
      </c>
      <c r="I489" s="557"/>
      <c r="J489" s="12" t="s">
        <v>189</v>
      </c>
      <c r="K489" s="337">
        <v>3500000</v>
      </c>
      <c r="L489" s="365"/>
      <c r="M489" s="297">
        <v>44593</v>
      </c>
      <c r="N489" s="297">
        <v>44925</v>
      </c>
      <c r="O489" s="280">
        <v>44652</v>
      </c>
      <c r="P489" s="281">
        <f t="shared" si="60"/>
        <v>0.17771084337349397</v>
      </c>
      <c r="Q489" s="281">
        <f t="shared" si="59"/>
        <v>0.17771084337349397</v>
      </c>
      <c r="R489" s="282">
        <v>1</v>
      </c>
      <c r="S489" s="283">
        <v>0.25</v>
      </c>
      <c r="T489" s="283">
        <v>0.5</v>
      </c>
      <c r="U489" s="283">
        <v>0.75</v>
      </c>
      <c r="V489" s="283">
        <v>1</v>
      </c>
      <c r="W489" s="308">
        <v>0</v>
      </c>
      <c r="X489" s="283" t="s">
        <v>1178</v>
      </c>
      <c r="Y489" s="352" t="s">
        <v>52</v>
      </c>
      <c r="Z489" s="284"/>
      <c r="AA489" s="285"/>
      <c r="AB489" s="285"/>
      <c r="AC489" s="284"/>
      <c r="AD489" s="285"/>
      <c r="AE489" s="285"/>
      <c r="AF489" s="284"/>
      <c r="AG489" s="285"/>
      <c r="AH489" s="285"/>
      <c r="AI489" s="286"/>
    </row>
    <row r="490" spans="1:35" ht="75" hidden="1" customHeight="1" outlineLevel="1" x14ac:dyDescent="0.2">
      <c r="A490" s="634"/>
      <c r="B490" s="546"/>
      <c r="C490" s="546"/>
      <c r="D490" s="589"/>
      <c r="E490" s="585"/>
      <c r="F490" s="585"/>
      <c r="G490" s="731"/>
      <c r="H490" s="303" t="s">
        <v>1601</v>
      </c>
      <c r="I490" s="557"/>
      <c r="J490" s="12" t="s">
        <v>189</v>
      </c>
      <c r="K490" s="337">
        <v>3500000</v>
      </c>
      <c r="L490" s="365"/>
      <c r="M490" s="297">
        <v>44593</v>
      </c>
      <c r="N490" s="297">
        <v>44925</v>
      </c>
      <c r="O490" s="280">
        <v>44652</v>
      </c>
      <c r="P490" s="281">
        <f t="shared" si="60"/>
        <v>0.17771084337349397</v>
      </c>
      <c r="Q490" s="281">
        <f t="shared" si="59"/>
        <v>0.17771084337349397</v>
      </c>
      <c r="R490" s="282">
        <v>1</v>
      </c>
      <c r="S490" s="283">
        <v>0.25</v>
      </c>
      <c r="T490" s="283">
        <v>0.5</v>
      </c>
      <c r="U490" s="283">
        <v>0.75</v>
      </c>
      <c r="V490" s="283">
        <v>1</v>
      </c>
      <c r="W490" s="308">
        <v>0</v>
      </c>
      <c r="X490" s="283" t="s">
        <v>1178</v>
      </c>
      <c r="Y490" s="352" t="s">
        <v>52</v>
      </c>
      <c r="Z490" s="284"/>
      <c r="AA490" s="285"/>
      <c r="AB490" s="285"/>
      <c r="AC490" s="284"/>
      <c r="AD490" s="285"/>
      <c r="AE490" s="285"/>
      <c r="AF490" s="284"/>
      <c r="AG490" s="285"/>
      <c r="AH490" s="285"/>
      <c r="AI490" s="286"/>
    </row>
    <row r="491" spans="1:35" ht="75" hidden="1" customHeight="1" outlineLevel="1" x14ac:dyDescent="0.2">
      <c r="A491" s="634"/>
      <c r="B491" s="546"/>
      <c r="C491" s="546"/>
      <c r="D491" s="589"/>
      <c r="E491" s="585"/>
      <c r="F491" s="585"/>
      <c r="G491" s="731"/>
      <c r="H491" s="303" t="s">
        <v>1602</v>
      </c>
      <c r="I491" s="557"/>
      <c r="J491" s="12" t="s">
        <v>189</v>
      </c>
      <c r="K491" s="337">
        <v>3500000</v>
      </c>
      <c r="L491" s="365"/>
      <c r="M491" s="297">
        <v>44593</v>
      </c>
      <c r="N491" s="297">
        <v>44925</v>
      </c>
      <c r="O491" s="280">
        <v>44652</v>
      </c>
      <c r="P491" s="281">
        <f t="shared" si="60"/>
        <v>0.17771084337349397</v>
      </c>
      <c r="Q491" s="281">
        <f t="shared" si="59"/>
        <v>0.17771084337349397</v>
      </c>
      <c r="R491" s="282">
        <v>1</v>
      </c>
      <c r="S491" s="283">
        <v>0.25</v>
      </c>
      <c r="T491" s="283">
        <v>0.5</v>
      </c>
      <c r="U491" s="283">
        <v>0.75</v>
      </c>
      <c r="V491" s="283">
        <v>1</v>
      </c>
      <c r="W491" s="308">
        <v>0</v>
      </c>
      <c r="X491" s="283" t="s">
        <v>1178</v>
      </c>
      <c r="Y491" s="352" t="s">
        <v>52</v>
      </c>
      <c r="Z491" s="284"/>
      <c r="AA491" s="285"/>
      <c r="AB491" s="285"/>
      <c r="AC491" s="284"/>
      <c r="AD491" s="285"/>
      <c r="AE491" s="285"/>
      <c r="AF491" s="284"/>
      <c r="AG491" s="285"/>
      <c r="AH491" s="285"/>
      <c r="AI491" s="286"/>
    </row>
    <row r="492" spans="1:35" ht="93.75" hidden="1" customHeight="1" outlineLevel="1" x14ac:dyDescent="0.2">
      <c r="A492" s="634"/>
      <c r="B492" s="546"/>
      <c r="C492" s="546"/>
      <c r="D492" s="589"/>
      <c r="E492" s="585"/>
      <c r="F492" s="585"/>
      <c r="G492" s="731"/>
      <c r="H492" s="303" t="s">
        <v>1603</v>
      </c>
      <c r="I492" s="557"/>
      <c r="J492" s="12" t="s">
        <v>189</v>
      </c>
      <c r="K492" s="337">
        <v>3500000</v>
      </c>
      <c r="L492" s="365"/>
      <c r="M492" s="297">
        <v>44593</v>
      </c>
      <c r="N492" s="297">
        <v>44925</v>
      </c>
      <c r="O492" s="280">
        <v>44652</v>
      </c>
      <c r="P492" s="281">
        <f t="shared" si="60"/>
        <v>0.17771084337349397</v>
      </c>
      <c r="Q492" s="281">
        <f t="shared" si="59"/>
        <v>0.17771084337349397</v>
      </c>
      <c r="R492" s="282">
        <v>1</v>
      </c>
      <c r="S492" s="283">
        <v>0.25</v>
      </c>
      <c r="T492" s="283">
        <v>0.5</v>
      </c>
      <c r="U492" s="283">
        <v>0.75</v>
      </c>
      <c r="V492" s="283">
        <v>1</v>
      </c>
      <c r="W492" s="308">
        <v>0</v>
      </c>
      <c r="X492" s="283" t="s">
        <v>1604</v>
      </c>
      <c r="Y492" s="352" t="s">
        <v>52</v>
      </c>
      <c r="Z492" s="284"/>
      <c r="AA492" s="285"/>
      <c r="AB492" s="285"/>
      <c r="AC492" s="284"/>
      <c r="AD492" s="285"/>
      <c r="AE492" s="285"/>
      <c r="AF492" s="284"/>
      <c r="AG492" s="285"/>
      <c r="AH492" s="285"/>
      <c r="AI492" s="286"/>
    </row>
    <row r="493" spans="1:35" ht="75" hidden="1" customHeight="1" outlineLevel="1" x14ac:dyDescent="0.2">
      <c r="A493" s="634"/>
      <c r="B493" s="546"/>
      <c r="C493" s="546"/>
      <c r="D493" s="589"/>
      <c r="E493" s="585"/>
      <c r="F493" s="585"/>
      <c r="G493" s="731"/>
      <c r="H493" s="303" t="s">
        <v>1605</v>
      </c>
      <c r="I493" s="557"/>
      <c r="J493" s="12" t="s">
        <v>189</v>
      </c>
      <c r="K493" s="337">
        <v>4200000</v>
      </c>
      <c r="L493" s="365"/>
      <c r="M493" s="297">
        <v>44593</v>
      </c>
      <c r="N493" s="297">
        <v>44925</v>
      </c>
      <c r="O493" s="280">
        <v>44652</v>
      </c>
      <c r="P493" s="281">
        <f t="shared" si="60"/>
        <v>0.17771084337349397</v>
      </c>
      <c r="Q493" s="281">
        <f t="shared" si="59"/>
        <v>0.17771084337349397</v>
      </c>
      <c r="R493" s="282">
        <v>1</v>
      </c>
      <c r="S493" s="283">
        <v>0.25</v>
      </c>
      <c r="T493" s="283">
        <v>0.5</v>
      </c>
      <c r="U493" s="283">
        <v>0.75</v>
      </c>
      <c r="V493" s="283">
        <v>1</v>
      </c>
      <c r="W493" s="308">
        <v>0</v>
      </c>
      <c r="X493" s="283" t="s">
        <v>1604</v>
      </c>
      <c r="Y493" s="352" t="s">
        <v>52</v>
      </c>
      <c r="Z493" s="284"/>
      <c r="AA493" s="285"/>
      <c r="AB493" s="285"/>
      <c r="AC493" s="284"/>
      <c r="AD493" s="285"/>
      <c r="AE493" s="285"/>
      <c r="AF493" s="284"/>
      <c r="AG493" s="285"/>
      <c r="AH493" s="285"/>
      <c r="AI493" s="286"/>
    </row>
    <row r="494" spans="1:35" ht="75" hidden="1" customHeight="1" outlineLevel="1" x14ac:dyDescent="0.2">
      <c r="A494" s="634"/>
      <c r="B494" s="546"/>
      <c r="C494" s="546"/>
      <c r="D494" s="589"/>
      <c r="E494" s="585"/>
      <c r="F494" s="585"/>
      <c r="G494" s="731"/>
      <c r="H494" s="303" t="s">
        <v>1606</v>
      </c>
      <c r="I494" s="557"/>
      <c r="J494" s="12" t="s">
        <v>189</v>
      </c>
      <c r="K494" s="337">
        <v>3500000</v>
      </c>
      <c r="L494" s="365"/>
      <c r="M494" s="297">
        <v>44593</v>
      </c>
      <c r="N494" s="297">
        <v>44925</v>
      </c>
      <c r="O494" s="280">
        <v>44652</v>
      </c>
      <c r="P494" s="281">
        <f t="shared" si="60"/>
        <v>0.17771084337349397</v>
      </c>
      <c r="Q494" s="281">
        <f t="shared" si="59"/>
        <v>0.17771084337349397</v>
      </c>
      <c r="R494" s="282">
        <v>1</v>
      </c>
      <c r="S494" s="283">
        <v>0.25</v>
      </c>
      <c r="T494" s="283">
        <v>0.5</v>
      </c>
      <c r="U494" s="283">
        <v>0.75</v>
      </c>
      <c r="V494" s="283">
        <v>1</v>
      </c>
      <c r="W494" s="308">
        <v>0</v>
      </c>
      <c r="X494" s="283" t="s">
        <v>1178</v>
      </c>
      <c r="Y494" s="352" t="s">
        <v>52</v>
      </c>
      <c r="Z494" s="284"/>
      <c r="AA494" s="285"/>
      <c r="AB494" s="285"/>
      <c r="AC494" s="284"/>
      <c r="AD494" s="285"/>
      <c r="AE494" s="285"/>
      <c r="AF494" s="284"/>
      <c r="AG494" s="285"/>
      <c r="AH494" s="285"/>
      <c r="AI494" s="286"/>
    </row>
    <row r="495" spans="1:35" ht="75" hidden="1" customHeight="1" outlineLevel="1" x14ac:dyDescent="0.2">
      <c r="A495" s="634"/>
      <c r="B495" s="546"/>
      <c r="C495" s="546"/>
      <c r="D495" s="589"/>
      <c r="E495" s="585"/>
      <c r="F495" s="585"/>
      <c r="G495" s="731"/>
      <c r="H495" s="303" t="s">
        <v>1607</v>
      </c>
      <c r="I495" s="557"/>
      <c r="J495" s="12" t="s">
        <v>189</v>
      </c>
      <c r="K495" s="337">
        <v>4200000</v>
      </c>
      <c r="L495" s="365"/>
      <c r="M495" s="297">
        <v>44593</v>
      </c>
      <c r="N495" s="297">
        <v>44925</v>
      </c>
      <c r="O495" s="280">
        <v>44652</v>
      </c>
      <c r="P495" s="281">
        <f t="shared" si="60"/>
        <v>0.17771084337349397</v>
      </c>
      <c r="Q495" s="281">
        <f t="shared" si="59"/>
        <v>0.17771084337349397</v>
      </c>
      <c r="R495" s="282">
        <v>1</v>
      </c>
      <c r="S495" s="283">
        <v>0.25</v>
      </c>
      <c r="T495" s="283">
        <v>0.5</v>
      </c>
      <c r="U495" s="283">
        <v>0.75</v>
      </c>
      <c r="V495" s="283">
        <v>1</v>
      </c>
      <c r="W495" s="308">
        <v>0</v>
      </c>
      <c r="X495" s="283" t="s">
        <v>1178</v>
      </c>
      <c r="Y495" s="352" t="s">
        <v>52</v>
      </c>
      <c r="Z495" s="284"/>
      <c r="AA495" s="285"/>
      <c r="AB495" s="285"/>
      <c r="AC495" s="284"/>
      <c r="AD495" s="285"/>
      <c r="AE495" s="285"/>
      <c r="AF495" s="284"/>
      <c r="AG495" s="285"/>
      <c r="AH495" s="285"/>
      <c r="AI495" s="286"/>
    </row>
    <row r="496" spans="1:35" ht="72" hidden="1" customHeight="1" outlineLevel="1" x14ac:dyDescent="0.2">
      <c r="A496" s="634"/>
      <c r="B496" s="546"/>
      <c r="C496" s="546"/>
      <c r="D496" s="589"/>
      <c r="E496" s="585"/>
      <c r="F496" s="585"/>
      <c r="G496" s="731"/>
      <c r="H496" s="303" t="s">
        <v>1608</v>
      </c>
      <c r="I496" s="557"/>
      <c r="J496" s="12" t="s">
        <v>189</v>
      </c>
      <c r="K496" s="337">
        <v>1750000</v>
      </c>
      <c r="L496" s="365"/>
      <c r="M496" s="297">
        <v>44593</v>
      </c>
      <c r="N496" s="297">
        <v>44925</v>
      </c>
      <c r="O496" s="280">
        <v>44652</v>
      </c>
      <c r="P496" s="281">
        <f t="shared" si="60"/>
        <v>0.17771084337349397</v>
      </c>
      <c r="Q496" s="281">
        <f t="shared" si="59"/>
        <v>0.17771084337349397</v>
      </c>
      <c r="R496" s="282">
        <v>1</v>
      </c>
      <c r="S496" s="283">
        <v>0.25</v>
      </c>
      <c r="T496" s="283">
        <v>0.5</v>
      </c>
      <c r="U496" s="283">
        <v>0.75</v>
      </c>
      <c r="V496" s="283">
        <v>1</v>
      </c>
      <c r="W496" s="308">
        <v>0</v>
      </c>
      <c r="X496" s="283" t="s">
        <v>1604</v>
      </c>
      <c r="Y496" s="352" t="s">
        <v>52</v>
      </c>
      <c r="Z496" s="284"/>
      <c r="AA496" s="285"/>
      <c r="AB496" s="285"/>
      <c r="AC496" s="284"/>
      <c r="AD496" s="285"/>
      <c r="AE496" s="285"/>
      <c r="AF496" s="284"/>
      <c r="AG496" s="285"/>
      <c r="AH496" s="285"/>
      <c r="AI496" s="286"/>
    </row>
    <row r="497" spans="1:35" ht="56.25" hidden="1" customHeight="1" outlineLevel="1" x14ac:dyDescent="0.2">
      <c r="A497" s="634"/>
      <c r="B497" s="546"/>
      <c r="C497" s="546"/>
      <c r="D497" s="589"/>
      <c r="E497" s="585"/>
      <c r="F497" s="585"/>
      <c r="G497" s="731"/>
      <c r="H497" s="303" t="s">
        <v>1608</v>
      </c>
      <c r="I497" s="557"/>
      <c r="J497" s="12" t="s">
        <v>189</v>
      </c>
      <c r="K497" s="337">
        <v>1750000</v>
      </c>
      <c r="L497" s="365"/>
      <c r="M497" s="297">
        <v>44593</v>
      </c>
      <c r="N497" s="297">
        <v>44925</v>
      </c>
      <c r="O497" s="280">
        <v>44652</v>
      </c>
      <c r="P497" s="281">
        <f t="shared" si="60"/>
        <v>0.17771084337349397</v>
      </c>
      <c r="Q497" s="281">
        <f t="shared" si="59"/>
        <v>0.17771084337349397</v>
      </c>
      <c r="R497" s="282">
        <v>1</v>
      </c>
      <c r="S497" s="283">
        <v>0.25</v>
      </c>
      <c r="T497" s="283">
        <v>0.5</v>
      </c>
      <c r="U497" s="283">
        <v>0.75</v>
      </c>
      <c r="V497" s="283">
        <v>1</v>
      </c>
      <c r="W497" s="308">
        <v>0</v>
      </c>
      <c r="X497" s="283" t="s">
        <v>1604</v>
      </c>
      <c r="Y497" s="352" t="s">
        <v>52</v>
      </c>
      <c r="Z497" s="284"/>
      <c r="AA497" s="285"/>
      <c r="AB497" s="285"/>
      <c r="AC497" s="284"/>
      <c r="AD497" s="285"/>
      <c r="AE497" s="285"/>
      <c r="AF497" s="284"/>
      <c r="AG497" s="285"/>
      <c r="AH497" s="285"/>
      <c r="AI497" s="286"/>
    </row>
    <row r="498" spans="1:35" ht="56.25" hidden="1" customHeight="1" outlineLevel="1" x14ac:dyDescent="0.2">
      <c r="A498" s="634"/>
      <c r="B498" s="546"/>
      <c r="C498" s="546"/>
      <c r="D498" s="589"/>
      <c r="E498" s="585"/>
      <c r="F498" s="585"/>
      <c r="G498" s="731"/>
      <c r="H498" s="303" t="s">
        <v>1609</v>
      </c>
      <c r="I498" s="557"/>
      <c r="J498" s="12" t="s">
        <v>189</v>
      </c>
      <c r="K498" s="337">
        <v>1750000</v>
      </c>
      <c r="L498" s="365"/>
      <c r="M498" s="297">
        <v>44593</v>
      </c>
      <c r="N498" s="297">
        <v>44925</v>
      </c>
      <c r="O498" s="280">
        <v>44652</v>
      </c>
      <c r="P498" s="281">
        <f t="shared" si="60"/>
        <v>0.17771084337349397</v>
      </c>
      <c r="Q498" s="281">
        <f t="shared" si="59"/>
        <v>0.17771084337349397</v>
      </c>
      <c r="R498" s="282">
        <v>1</v>
      </c>
      <c r="S498" s="283">
        <v>0.25</v>
      </c>
      <c r="T498" s="283">
        <v>0.5</v>
      </c>
      <c r="U498" s="283">
        <v>0.75</v>
      </c>
      <c r="V498" s="283">
        <v>1</v>
      </c>
      <c r="W498" s="308">
        <v>0</v>
      </c>
      <c r="X498" s="283" t="s">
        <v>1604</v>
      </c>
      <c r="Y498" s="352" t="s">
        <v>52</v>
      </c>
      <c r="Z498" s="284"/>
      <c r="AA498" s="285"/>
      <c r="AB498" s="285"/>
      <c r="AC498" s="284"/>
      <c r="AD498" s="285"/>
      <c r="AE498" s="285"/>
      <c r="AF498" s="284"/>
      <c r="AG498" s="285"/>
      <c r="AH498" s="285"/>
      <c r="AI498" s="286"/>
    </row>
    <row r="499" spans="1:35" ht="75" hidden="1" customHeight="1" outlineLevel="1" x14ac:dyDescent="0.2">
      <c r="A499" s="634"/>
      <c r="B499" s="546"/>
      <c r="C499" s="546"/>
      <c r="D499" s="589"/>
      <c r="E499" s="585"/>
      <c r="F499" s="585"/>
      <c r="G499" s="731"/>
      <c r="H499" s="303" t="s">
        <v>1610</v>
      </c>
      <c r="I499" s="557"/>
      <c r="J499" s="12" t="s">
        <v>189</v>
      </c>
      <c r="K499" s="337">
        <v>1750000</v>
      </c>
      <c r="L499" s="365"/>
      <c r="M499" s="297">
        <v>44593</v>
      </c>
      <c r="N499" s="297">
        <v>44925</v>
      </c>
      <c r="O499" s="280">
        <v>44652</v>
      </c>
      <c r="P499" s="281">
        <f t="shared" si="60"/>
        <v>0.17771084337349397</v>
      </c>
      <c r="Q499" s="281">
        <f t="shared" ref="Q499:Q500" si="61">+IF(P499&gt;=100,100,IF(P499&lt;=0,0,P499))</f>
        <v>0.17771084337349397</v>
      </c>
      <c r="R499" s="282">
        <v>1</v>
      </c>
      <c r="S499" s="283">
        <v>0.25</v>
      </c>
      <c r="T499" s="283">
        <v>0.5</v>
      </c>
      <c r="U499" s="283">
        <v>0.75</v>
      </c>
      <c r="V499" s="283">
        <v>1</v>
      </c>
      <c r="W499" s="308">
        <v>0</v>
      </c>
      <c r="X499" s="283" t="s">
        <v>1604</v>
      </c>
      <c r="Y499" s="352" t="s">
        <v>52</v>
      </c>
      <c r="Z499" s="284"/>
      <c r="AA499" s="285"/>
      <c r="AB499" s="285"/>
      <c r="AC499" s="284"/>
      <c r="AD499" s="285"/>
      <c r="AE499" s="285"/>
      <c r="AF499" s="284"/>
      <c r="AG499" s="285"/>
      <c r="AH499" s="285"/>
      <c r="AI499" s="286"/>
    </row>
    <row r="500" spans="1:35" ht="46.5" hidden="1" customHeight="1" outlineLevel="1" x14ac:dyDescent="0.2">
      <c r="A500" s="634"/>
      <c r="B500" s="547"/>
      <c r="C500" s="547"/>
      <c r="D500" s="668"/>
      <c r="E500" s="550"/>
      <c r="F500" s="550"/>
      <c r="G500" s="732"/>
      <c r="H500" s="485" t="s">
        <v>1611</v>
      </c>
      <c r="I500" s="558"/>
      <c r="J500" s="12" t="s">
        <v>1612</v>
      </c>
      <c r="K500" s="337">
        <v>10000000</v>
      </c>
      <c r="L500" s="365"/>
      <c r="M500" s="297">
        <v>44593</v>
      </c>
      <c r="N500" s="297">
        <v>44925</v>
      </c>
      <c r="O500" s="280">
        <v>44652</v>
      </c>
      <c r="P500" s="281">
        <f t="shared" si="60"/>
        <v>0.17771084337349397</v>
      </c>
      <c r="Q500" s="281">
        <f t="shared" si="61"/>
        <v>0.17771084337349397</v>
      </c>
      <c r="R500" s="282">
        <v>1</v>
      </c>
      <c r="S500" s="283">
        <v>0.25</v>
      </c>
      <c r="T500" s="283">
        <v>0.5</v>
      </c>
      <c r="U500" s="283">
        <v>0.75</v>
      </c>
      <c r="V500" s="283">
        <v>1</v>
      </c>
      <c r="W500" s="308">
        <v>0</v>
      </c>
      <c r="X500" s="283" t="s">
        <v>1604</v>
      </c>
      <c r="Y500" s="352" t="s">
        <v>52</v>
      </c>
      <c r="Z500" s="284"/>
      <c r="AA500" s="285"/>
      <c r="AB500" s="285"/>
      <c r="AC500" s="284"/>
      <c r="AD500" s="285"/>
      <c r="AE500" s="285"/>
      <c r="AF500" s="284"/>
      <c r="AG500" s="285"/>
      <c r="AH500" s="285"/>
      <c r="AI500" s="286"/>
    </row>
    <row r="501" spans="1:35" ht="93.75" hidden="1" customHeight="1" outlineLevel="1" x14ac:dyDescent="0.2">
      <c r="A501" s="634"/>
      <c r="B501" s="545" t="s">
        <v>1340</v>
      </c>
      <c r="C501" s="545" t="s">
        <v>40</v>
      </c>
      <c r="D501" s="603" t="s">
        <v>1613</v>
      </c>
      <c r="E501" s="465" t="s">
        <v>1493</v>
      </c>
      <c r="F501" s="465" t="s">
        <v>1614</v>
      </c>
      <c r="G501" s="304" t="s">
        <v>205</v>
      </c>
      <c r="H501" s="304" t="s">
        <v>1615</v>
      </c>
      <c r="I501" s="304" t="s">
        <v>1216</v>
      </c>
      <c r="J501" s="12" t="s">
        <v>1616</v>
      </c>
      <c r="K501" s="12" t="s">
        <v>52</v>
      </c>
      <c r="L501" s="365"/>
      <c r="M501" s="297">
        <v>44593</v>
      </c>
      <c r="N501" s="297">
        <v>44925</v>
      </c>
      <c r="O501" s="280">
        <v>44652</v>
      </c>
      <c r="P501" s="281">
        <f t="shared" si="60"/>
        <v>0.17771084337349397</v>
      </c>
      <c r="Q501" s="281">
        <f t="shared" si="59"/>
        <v>0.17771084337349397</v>
      </c>
      <c r="R501" s="282">
        <v>0.5</v>
      </c>
      <c r="S501" s="283">
        <v>0.01</v>
      </c>
      <c r="T501" s="283">
        <v>0.01</v>
      </c>
      <c r="U501" s="283">
        <v>0.02</v>
      </c>
      <c r="V501" s="283">
        <v>0.02</v>
      </c>
      <c r="W501" s="308">
        <v>0.08</v>
      </c>
      <c r="X501" s="283" t="s">
        <v>1617</v>
      </c>
      <c r="Y501" s="354" t="s">
        <v>1573</v>
      </c>
      <c r="Z501" s="284"/>
      <c r="AA501" s="285"/>
      <c r="AB501" s="285"/>
      <c r="AC501" s="284"/>
      <c r="AD501" s="285"/>
      <c r="AE501" s="285"/>
      <c r="AF501" s="284"/>
      <c r="AG501" s="285"/>
      <c r="AH501" s="285"/>
      <c r="AI501" s="286"/>
    </row>
    <row r="502" spans="1:35" ht="96.75" hidden="1" customHeight="1" outlineLevel="1" x14ac:dyDescent="0.2">
      <c r="A502" s="634"/>
      <c r="B502" s="546"/>
      <c r="C502" s="546"/>
      <c r="D502" s="603"/>
      <c r="E502" s="591" t="s">
        <v>1094</v>
      </c>
      <c r="F502" s="591" t="s">
        <v>1159</v>
      </c>
      <c r="G502" s="525" t="s">
        <v>227</v>
      </c>
      <c r="H502" s="304" t="s">
        <v>1618</v>
      </c>
      <c r="I502" s="525" t="s">
        <v>1097</v>
      </c>
      <c r="J502" s="12" t="s">
        <v>979</v>
      </c>
      <c r="K502" s="12" t="s">
        <v>52</v>
      </c>
      <c r="L502" s="365"/>
      <c r="M502" s="297">
        <v>44593</v>
      </c>
      <c r="N502" s="297">
        <v>44925</v>
      </c>
      <c r="O502" s="280">
        <v>44652</v>
      </c>
      <c r="P502" s="281">
        <f t="shared" si="60"/>
        <v>0.17771084337349397</v>
      </c>
      <c r="Q502" s="281">
        <f t="shared" si="59"/>
        <v>0.17771084337349397</v>
      </c>
      <c r="R502" s="282" t="s">
        <v>52</v>
      </c>
      <c r="S502" s="283" t="s">
        <v>52</v>
      </c>
      <c r="T502" s="283" t="s">
        <v>52</v>
      </c>
      <c r="U502" s="283" t="s">
        <v>52</v>
      </c>
      <c r="V502" s="283" t="s">
        <v>52</v>
      </c>
      <c r="W502" s="308">
        <v>0.25</v>
      </c>
      <c r="X502" s="283" t="s">
        <v>1619</v>
      </c>
      <c r="Y502" s="352" t="s">
        <v>242</v>
      </c>
      <c r="Z502" s="284"/>
      <c r="AA502" s="285"/>
      <c r="AB502" s="285"/>
      <c r="AC502" s="284"/>
      <c r="AD502" s="285"/>
      <c r="AE502" s="285"/>
      <c r="AF502" s="284"/>
      <c r="AG502" s="285"/>
      <c r="AH502" s="285"/>
      <c r="AI502" s="286"/>
    </row>
    <row r="503" spans="1:35" ht="59.25" hidden="1" customHeight="1" outlineLevel="1" x14ac:dyDescent="0.2">
      <c r="A503" s="634"/>
      <c r="B503" s="546"/>
      <c r="C503" s="546"/>
      <c r="D503" s="603"/>
      <c r="E503" s="592"/>
      <c r="F503" s="592"/>
      <c r="G503" s="526"/>
      <c r="H503" s="304" t="s">
        <v>1620</v>
      </c>
      <c r="I503" s="526"/>
      <c r="J503" s="12" t="s">
        <v>189</v>
      </c>
      <c r="K503" s="337">
        <v>19000000</v>
      </c>
      <c r="L503" s="365"/>
      <c r="M503" s="297">
        <v>44593</v>
      </c>
      <c r="N503" s="297">
        <v>44925</v>
      </c>
      <c r="O503" s="280">
        <v>44652</v>
      </c>
      <c r="P503" s="281">
        <f t="shared" si="60"/>
        <v>0.17771084337349397</v>
      </c>
      <c r="Q503" s="281">
        <f t="shared" ref="Q503:Q508" si="62">+IF(P503&gt;=100,100,IF(P503&lt;=0,0,P503))</f>
        <v>0.17771084337349397</v>
      </c>
      <c r="R503" s="282">
        <v>1</v>
      </c>
      <c r="S503" s="283">
        <v>0.25</v>
      </c>
      <c r="T503" s="283">
        <v>0.5</v>
      </c>
      <c r="U503" s="283">
        <v>0.75</v>
      </c>
      <c r="V503" s="283">
        <v>1</v>
      </c>
      <c r="W503" s="308">
        <v>0</v>
      </c>
      <c r="X503" s="283" t="s">
        <v>1178</v>
      </c>
      <c r="Y503" s="352" t="s">
        <v>52</v>
      </c>
      <c r="Z503" s="284"/>
      <c r="AA503" s="285"/>
      <c r="AB503" s="285"/>
      <c r="AC503" s="284"/>
      <c r="AD503" s="285"/>
      <c r="AE503" s="285"/>
      <c r="AF503" s="284"/>
      <c r="AG503" s="285"/>
      <c r="AH503" s="285"/>
      <c r="AI503" s="286"/>
    </row>
    <row r="504" spans="1:35" ht="63" hidden="1" customHeight="1" outlineLevel="1" x14ac:dyDescent="0.2">
      <c r="A504" s="634"/>
      <c r="B504" s="546"/>
      <c r="C504" s="546"/>
      <c r="D504" s="603"/>
      <c r="E504" s="592"/>
      <c r="F504" s="592"/>
      <c r="G504" s="526"/>
      <c r="H504" s="304" t="s">
        <v>1621</v>
      </c>
      <c r="I504" s="526"/>
      <c r="J504" s="12" t="s">
        <v>1622</v>
      </c>
      <c r="K504" s="337">
        <v>6000000</v>
      </c>
      <c r="L504" s="365"/>
      <c r="M504" s="297">
        <v>44593</v>
      </c>
      <c r="N504" s="297">
        <v>44925</v>
      </c>
      <c r="O504" s="280">
        <v>44652</v>
      </c>
      <c r="P504" s="281">
        <f t="shared" si="60"/>
        <v>0.17771084337349397</v>
      </c>
      <c r="Q504" s="281">
        <f t="shared" si="62"/>
        <v>0.17771084337349397</v>
      </c>
      <c r="R504" s="282">
        <v>1</v>
      </c>
      <c r="S504" s="283">
        <v>0.25</v>
      </c>
      <c r="T504" s="283">
        <v>0.5</v>
      </c>
      <c r="U504" s="283">
        <v>0.75</v>
      </c>
      <c r="V504" s="283">
        <v>1</v>
      </c>
      <c r="W504" s="308">
        <v>0</v>
      </c>
      <c r="X504" s="283" t="s">
        <v>1623</v>
      </c>
      <c r="Y504" s="352" t="s">
        <v>52</v>
      </c>
      <c r="Z504" s="284"/>
      <c r="AA504" s="285"/>
      <c r="AB504" s="285"/>
      <c r="AC504" s="284"/>
      <c r="AD504" s="285"/>
      <c r="AE504" s="285"/>
      <c r="AF504" s="284"/>
      <c r="AG504" s="285"/>
      <c r="AH504" s="285"/>
      <c r="AI504" s="286"/>
    </row>
    <row r="505" spans="1:35" ht="72" hidden="1" customHeight="1" outlineLevel="1" x14ac:dyDescent="0.2">
      <c r="A505" s="634"/>
      <c r="B505" s="546"/>
      <c r="C505" s="546"/>
      <c r="D505" s="603"/>
      <c r="E505" s="592"/>
      <c r="F505" s="592"/>
      <c r="G505" s="526"/>
      <c r="H505" s="304" t="s">
        <v>1624</v>
      </c>
      <c r="I505" s="526"/>
      <c r="J505" s="12" t="s">
        <v>189</v>
      </c>
      <c r="K505" s="337">
        <v>4000000</v>
      </c>
      <c r="L505" s="365"/>
      <c r="M505" s="297">
        <v>44593</v>
      </c>
      <c r="N505" s="297">
        <v>44925</v>
      </c>
      <c r="O505" s="280">
        <v>44652</v>
      </c>
      <c r="P505" s="281">
        <f t="shared" si="60"/>
        <v>0.17771084337349397</v>
      </c>
      <c r="Q505" s="281">
        <f t="shared" si="62"/>
        <v>0.17771084337349397</v>
      </c>
      <c r="R505" s="282">
        <v>1</v>
      </c>
      <c r="S505" s="283">
        <v>0.25</v>
      </c>
      <c r="T505" s="283">
        <v>0.5</v>
      </c>
      <c r="U505" s="283">
        <v>0.75</v>
      </c>
      <c r="V505" s="283">
        <v>1</v>
      </c>
      <c r="W505" s="308">
        <v>0</v>
      </c>
      <c r="X505" s="283" t="s">
        <v>1604</v>
      </c>
      <c r="Y505" s="352" t="s">
        <v>52</v>
      </c>
      <c r="Z505" s="284"/>
      <c r="AA505" s="285"/>
      <c r="AB505" s="285"/>
      <c r="AC505" s="284"/>
      <c r="AD505" s="285"/>
      <c r="AE505" s="285"/>
      <c r="AF505" s="284"/>
      <c r="AG505" s="285"/>
      <c r="AH505" s="285"/>
      <c r="AI505" s="286"/>
    </row>
    <row r="506" spans="1:35" ht="46.5" hidden="1" customHeight="1" outlineLevel="1" x14ac:dyDescent="0.2">
      <c r="A506" s="634"/>
      <c r="B506" s="546"/>
      <c r="C506" s="546"/>
      <c r="D506" s="603"/>
      <c r="E506" s="592"/>
      <c r="F506" s="592"/>
      <c r="G506" s="526"/>
      <c r="H506" s="304" t="s">
        <v>1625</v>
      </c>
      <c r="I506" s="526"/>
      <c r="J506" s="12" t="s">
        <v>189</v>
      </c>
      <c r="K506" s="337">
        <v>6000000</v>
      </c>
      <c r="L506" s="365"/>
      <c r="M506" s="297">
        <v>44593</v>
      </c>
      <c r="N506" s="297">
        <v>44925</v>
      </c>
      <c r="O506" s="280">
        <v>44652</v>
      </c>
      <c r="P506" s="281">
        <f t="shared" si="60"/>
        <v>0.17771084337349397</v>
      </c>
      <c r="Q506" s="281">
        <f t="shared" si="62"/>
        <v>0.17771084337349397</v>
      </c>
      <c r="R506" s="282">
        <v>1</v>
      </c>
      <c r="S506" s="283">
        <v>0.25</v>
      </c>
      <c r="T506" s="283">
        <v>0.5</v>
      </c>
      <c r="U506" s="283">
        <v>0.75</v>
      </c>
      <c r="V506" s="283">
        <v>1</v>
      </c>
      <c r="W506" s="308">
        <v>0.3</v>
      </c>
      <c r="X506" s="283" t="s">
        <v>1626</v>
      </c>
      <c r="Y506" s="352" t="s">
        <v>52</v>
      </c>
      <c r="Z506" s="284"/>
      <c r="AA506" s="285"/>
      <c r="AB506" s="285"/>
      <c r="AC506" s="284"/>
      <c r="AD506" s="285"/>
      <c r="AE506" s="285"/>
      <c r="AF506" s="284"/>
      <c r="AG506" s="285"/>
      <c r="AH506" s="285"/>
      <c r="AI506" s="286"/>
    </row>
    <row r="507" spans="1:35" ht="161.25" hidden="1" customHeight="1" outlineLevel="1" x14ac:dyDescent="0.2">
      <c r="A507" s="634"/>
      <c r="B507" s="546"/>
      <c r="C507" s="546"/>
      <c r="D507" s="603"/>
      <c r="E507" s="592"/>
      <c r="F507" s="592"/>
      <c r="G507" s="526"/>
      <c r="H507" s="304" t="s">
        <v>1627</v>
      </c>
      <c r="I507" s="526"/>
      <c r="J507" s="12" t="s">
        <v>189</v>
      </c>
      <c r="K507" s="337">
        <v>20000000</v>
      </c>
      <c r="L507" s="365"/>
      <c r="M507" s="297">
        <v>44593</v>
      </c>
      <c r="N507" s="297">
        <v>44925</v>
      </c>
      <c r="O507" s="280">
        <v>44652</v>
      </c>
      <c r="P507" s="281">
        <f t="shared" si="60"/>
        <v>0.17771084337349397</v>
      </c>
      <c r="Q507" s="281">
        <f t="shared" si="62"/>
        <v>0.17771084337349397</v>
      </c>
      <c r="R507" s="282">
        <v>1</v>
      </c>
      <c r="S507" s="283">
        <v>0.25</v>
      </c>
      <c r="T507" s="283">
        <v>0.5</v>
      </c>
      <c r="U507" s="283">
        <v>0.75</v>
      </c>
      <c r="V507" s="283">
        <v>1</v>
      </c>
      <c r="W507" s="308">
        <v>0</v>
      </c>
      <c r="X507" s="283" t="s">
        <v>1538</v>
      </c>
      <c r="Y507" s="352" t="s">
        <v>52</v>
      </c>
      <c r="Z507" s="284"/>
      <c r="AA507" s="285"/>
      <c r="AB507" s="285"/>
      <c r="AC507" s="284"/>
      <c r="AD507" s="285"/>
      <c r="AE507" s="285"/>
      <c r="AF507" s="284"/>
      <c r="AG507" s="285"/>
      <c r="AH507" s="285"/>
      <c r="AI507" s="286"/>
    </row>
    <row r="508" spans="1:35" ht="56.25" hidden="1" customHeight="1" outlineLevel="1" x14ac:dyDescent="0.2">
      <c r="A508" s="634"/>
      <c r="B508" s="546"/>
      <c r="C508" s="546"/>
      <c r="D508" s="538"/>
      <c r="E508" s="593"/>
      <c r="F508" s="593"/>
      <c r="G508" s="527"/>
      <c r="H508" s="304" t="s">
        <v>1628</v>
      </c>
      <c r="I508" s="527"/>
      <c r="J508" s="12" t="s">
        <v>1629</v>
      </c>
      <c r="K508" s="337">
        <v>25000000</v>
      </c>
      <c r="L508" s="365"/>
      <c r="M508" s="297">
        <v>44593</v>
      </c>
      <c r="N508" s="297">
        <v>44925</v>
      </c>
      <c r="O508" s="280">
        <v>44652</v>
      </c>
      <c r="P508" s="281">
        <f t="shared" si="60"/>
        <v>0.17771084337349397</v>
      </c>
      <c r="Q508" s="281">
        <f t="shared" si="62"/>
        <v>0.17771084337349397</v>
      </c>
      <c r="R508" s="282">
        <v>1</v>
      </c>
      <c r="S508" s="283">
        <v>0.25</v>
      </c>
      <c r="T508" s="283">
        <v>0.5</v>
      </c>
      <c r="U508" s="283">
        <v>0.75</v>
      </c>
      <c r="V508" s="283">
        <v>1</v>
      </c>
      <c r="W508" s="308">
        <v>0</v>
      </c>
      <c r="X508" s="283" t="s">
        <v>1178</v>
      </c>
      <c r="Y508" s="352" t="s">
        <v>52</v>
      </c>
      <c r="Z508" s="284"/>
      <c r="AA508" s="285"/>
      <c r="AB508" s="285"/>
      <c r="AC508" s="284"/>
      <c r="AD508" s="285"/>
      <c r="AE508" s="285"/>
      <c r="AF508" s="284"/>
      <c r="AG508" s="285"/>
      <c r="AH508" s="285"/>
      <c r="AI508" s="286"/>
    </row>
    <row r="509" spans="1:35" ht="57" customHeight="1" collapsed="1" thickBot="1" x14ac:dyDescent="0.25">
      <c r="A509" s="640" t="s">
        <v>1630</v>
      </c>
      <c r="B509" s="641"/>
      <c r="C509" s="641"/>
      <c r="D509" s="641"/>
      <c r="E509" s="641"/>
      <c r="F509" s="641"/>
      <c r="G509" s="641"/>
      <c r="H509" s="641"/>
      <c r="I509" s="641"/>
      <c r="J509" s="641"/>
      <c r="K509" s="641"/>
      <c r="L509" s="641"/>
      <c r="M509" s="641"/>
      <c r="N509" s="642"/>
      <c r="O509" s="338">
        <v>44652</v>
      </c>
      <c r="P509" s="281"/>
      <c r="Q509" s="407">
        <f>+AVERAGE((Q407:Q508))</f>
        <v>0.17771084337349352</v>
      </c>
      <c r="R509" s="293">
        <v>100</v>
      </c>
      <c r="S509" s="595"/>
      <c r="T509" s="596"/>
      <c r="U509" s="596"/>
      <c r="V509" s="597"/>
      <c r="W509" s="406">
        <f>AVERAGE(W407:W508)</f>
        <v>0.14833333333333334</v>
      </c>
      <c r="X509" s="351"/>
      <c r="Y509" s="353"/>
      <c r="Z509" s="299"/>
      <c r="AA509" s="298"/>
      <c r="AB509" s="298"/>
      <c r="AC509" s="299"/>
      <c r="AD509" s="298"/>
      <c r="AE509" s="298"/>
      <c r="AF509" s="299"/>
      <c r="AG509" s="298"/>
      <c r="AH509" s="298"/>
      <c r="AI509" s="286"/>
    </row>
    <row r="510" spans="1:35" ht="18" customHeight="1" x14ac:dyDescent="0.2">
      <c r="A510" s="286"/>
      <c r="B510" s="286"/>
      <c r="C510" s="286"/>
      <c r="D510" s="286"/>
      <c r="E510" s="300"/>
      <c r="F510" s="300"/>
      <c r="G510" s="286"/>
      <c r="H510" s="286"/>
      <c r="I510" s="286"/>
      <c r="J510" s="301" t="s">
        <v>1631</v>
      </c>
      <c r="K510" s="301"/>
      <c r="L510" s="301"/>
      <c r="M510" s="286"/>
      <c r="N510" s="286"/>
      <c r="O510" s="339"/>
      <c r="P510" s="286"/>
      <c r="Q510" s="286"/>
      <c r="R510" s="286"/>
      <c r="S510" s="286"/>
      <c r="T510" s="286"/>
      <c r="U510" s="286"/>
      <c r="V510" s="286"/>
      <c r="W510" s="287"/>
      <c r="X510" s="286"/>
      <c r="Y510" s="286"/>
      <c r="Z510" s="302"/>
      <c r="AA510" s="286"/>
      <c r="AB510" s="286"/>
      <c r="AC510" s="302"/>
      <c r="AD510" s="286"/>
      <c r="AE510" s="286"/>
      <c r="AF510" s="302"/>
      <c r="AG510" s="286"/>
      <c r="AH510" s="286"/>
      <c r="AI510" s="286"/>
    </row>
    <row r="511" spans="1:35" ht="45" thickBot="1" x14ac:dyDescent="0.25">
      <c r="F511" s="264"/>
    </row>
    <row r="512" spans="1:35" ht="13.9" customHeight="1" thickTop="1" x14ac:dyDescent="0.2">
      <c r="A512" s="623" t="s">
        <v>1632</v>
      </c>
      <c r="B512" s="624"/>
      <c r="C512" s="624"/>
      <c r="D512" s="624"/>
      <c r="E512" s="624"/>
      <c r="F512" s="624"/>
      <c r="G512" s="624"/>
      <c r="H512" s="624"/>
      <c r="I512" s="625"/>
      <c r="J512" s="636" t="s">
        <v>1633</v>
      </c>
      <c r="K512" s="643"/>
      <c r="L512" s="643"/>
      <c r="M512" s="643"/>
      <c r="N512" s="643"/>
      <c r="O512" s="643"/>
      <c r="P512" s="643"/>
      <c r="Q512" s="643"/>
      <c r="R512" s="644"/>
      <c r="S512" s="636" t="s">
        <v>1634</v>
      </c>
      <c r="T512" s="637"/>
      <c r="U512" s="623" t="s">
        <v>1635</v>
      </c>
      <c r="V512" s="624"/>
      <c r="W512" s="624"/>
      <c r="X512" s="652"/>
      <c r="Y512" s="620">
        <v>1</v>
      </c>
    </row>
    <row r="513" spans="1:25" ht="13.15" customHeight="1" thickBot="1" x14ac:dyDescent="0.25">
      <c r="A513" s="626"/>
      <c r="B513" s="627"/>
      <c r="C513" s="627"/>
      <c r="D513" s="627"/>
      <c r="E513" s="627"/>
      <c r="F513" s="627"/>
      <c r="G513" s="627"/>
      <c r="H513" s="627"/>
      <c r="I513" s="628"/>
      <c r="J513" s="638"/>
      <c r="K513" s="645"/>
      <c r="L513" s="645"/>
      <c r="M513" s="645"/>
      <c r="N513" s="645"/>
      <c r="O513" s="645"/>
      <c r="P513" s="645"/>
      <c r="Q513" s="645"/>
      <c r="R513" s="646"/>
      <c r="S513" s="638"/>
      <c r="T513" s="639"/>
      <c r="U513" s="626"/>
      <c r="V513" s="627"/>
      <c r="W513" s="627"/>
      <c r="X513" s="653"/>
      <c r="Y513" s="621"/>
    </row>
    <row r="514" spans="1:25" ht="1.9" customHeight="1" x14ac:dyDescent="0.2">
      <c r="F514" s="264"/>
    </row>
    <row r="515" spans="1:25" x14ac:dyDescent="0.2">
      <c r="F515" s="264"/>
    </row>
    <row r="516" spans="1:25" x14ac:dyDescent="0.2">
      <c r="F516" s="264"/>
    </row>
    <row r="517" spans="1:25" x14ac:dyDescent="0.2">
      <c r="F517" s="264"/>
    </row>
    <row r="518" spans="1:25" x14ac:dyDescent="0.2">
      <c r="F518" s="264"/>
    </row>
    <row r="519" spans="1:25" x14ac:dyDescent="0.2">
      <c r="F519" s="264"/>
    </row>
    <row r="520" spans="1:25" x14ac:dyDescent="0.2">
      <c r="F520" s="264"/>
    </row>
    <row r="521" spans="1:25" x14ac:dyDescent="0.2">
      <c r="F521" s="264"/>
    </row>
    <row r="522" spans="1:25" x14ac:dyDescent="0.2">
      <c r="F522" s="264"/>
    </row>
    <row r="523" spans="1:25" x14ac:dyDescent="0.2">
      <c r="F523" s="264"/>
    </row>
    <row r="524" spans="1:25" x14ac:dyDescent="0.2">
      <c r="F524" s="264"/>
    </row>
    <row r="525" spans="1:25" x14ac:dyDescent="0.2">
      <c r="F525" s="264"/>
    </row>
    <row r="526" spans="1:25" x14ac:dyDescent="0.2">
      <c r="F526" s="264"/>
    </row>
    <row r="527" spans="1:25" x14ac:dyDescent="0.2">
      <c r="F527" s="264"/>
    </row>
    <row r="528" spans="1:25" x14ac:dyDescent="0.2">
      <c r="F528" s="264"/>
    </row>
    <row r="529" spans="6:6" x14ac:dyDescent="0.2">
      <c r="F529" s="264"/>
    </row>
    <row r="530" spans="6:6" x14ac:dyDescent="0.2">
      <c r="F530" s="264"/>
    </row>
    <row r="531" spans="6:6" x14ac:dyDescent="0.2">
      <c r="F531" s="264"/>
    </row>
    <row r="532" spans="6:6" x14ac:dyDescent="0.2">
      <c r="F532" s="264"/>
    </row>
    <row r="533" spans="6:6" x14ac:dyDescent="0.2">
      <c r="F533" s="264"/>
    </row>
    <row r="534" spans="6:6" x14ac:dyDescent="0.2">
      <c r="F534" s="264"/>
    </row>
    <row r="535" spans="6:6" x14ac:dyDescent="0.2">
      <c r="F535" s="264"/>
    </row>
    <row r="536" spans="6:6" x14ac:dyDescent="0.2">
      <c r="F536" s="264"/>
    </row>
    <row r="537" spans="6:6" x14ac:dyDescent="0.2">
      <c r="F537" s="264"/>
    </row>
    <row r="538" spans="6:6" x14ac:dyDescent="0.2">
      <c r="F538" s="264"/>
    </row>
    <row r="539" spans="6:6" x14ac:dyDescent="0.2">
      <c r="F539" s="264"/>
    </row>
    <row r="540" spans="6:6" x14ac:dyDescent="0.2">
      <c r="F540" s="264"/>
    </row>
    <row r="541" spans="6:6" x14ac:dyDescent="0.2">
      <c r="F541" s="264"/>
    </row>
    <row r="542" spans="6:6" x14ac:dyDescent="0.2">
      <c r="F542" s="264"/>
    </row>
    <row r="543" spans="6:6" x14ac:dyDescent="0.2">
      <c r="F543" s="264"/>
    </row>
    <row r="544" spans="6:6" x14ac:dyDescent="0.2">
      <c r="F544" s="264"/>
    </row>
    <row r="545" spans="6:6" x14ac:dyDescent="0.2">
      <c r="F545" s="264"/>
    </row>
    <row r="546" spans="6:6" x14ac:dyDescent="0.2">
      <c r="F546" s="264"/>
    </row>
    <row r="547" spans="6:6" x14ac:dyDescent="0.2">
      <c r="F547" s="264"/>
    </row>
    <row r="548" spans="6:6" x14ac:dyDescent="0.2">
      <c r="F548" s="264"/>
    </row>
    <row r="549" spans="6:6" x14ac:dyDescent="0.2">
      <c r="F549" s="264"/>
    </row>
    <row r="550" spans="6:6" x14ac:dyDescent="0.2">
      <c r="F550" s="264"/>
    </row>
    <row r="551" spans="6:6" x14ac:dyDescent="0.2">
      <c r="F551" s="264"/>
    </row>
    <row r="552" spans="6:6" x14ac:dyDescent="0.2">
      <c r="F552" s="264"/>
    </row>
    <row r="553" spans="6:6" x14ac:dyDescent="0.2">
      <c r="F553" s="264"/>
    </row>
    <row r="554" spans="6:6" x14ac:dyDescent="0.2">
      <c r="F554" s="264"/>
    </row>
    <row r="555" spans="6:6" x14ac:dyDescent="0.2">
      <c r="F555" s="264"/>
    </row>
    <row r="556" spans="6:6" x14ac:dyDescent="0.2">
      <c r="F556" s="264"/>
    </row>
    <row r="557" spans="6:6" x14ac:dyDescent="0.2">
      <c r="F557" s="264"/>
    </row>
    <row r="558" spans="6:6" x14ac:dyDescent="0.2">
      <c r="F558" s="264"/>
    </row>
    <row r="559" spans="6:6" x14ac:dyDescent="0.2">
      <c r="F559" s="264"/>
    </row>
    <row r="560" spans="6:6" x14ac:dyDescent="0.2">
      <c r="F560" s="264"/>
    </row>
    <row r="561" spans="6:6" x14ac:dyDescent="0.2">
      <c r="F561" s="264"/>
    </row>
    <row r="562" spans="6:6" x14ac:dyDescent="0.2">
      <c r="F562" s="264"/>
    </row>
    <row r="563" spans="6:6" x14ac:dyDescent="0.2">
      <c r="F563" s="264"/>
    </row>
    <row r="564" spans="6:6" x14ac:dyDescent="0.2">
      <c r="F564" s="264"/>
    </row>
    <row r="565" spans="6:6" x14ac:dyDescent="0.2">
      <c r="F565" s="264"/>
    </row>
    <row r="566" spans="6:6" x14ac:dyDescent="0.2">
      <c r="F566" s="264"/>
    </row>
    <row r="567" spans="6:6" x14ac:dyDescent="0.2">
      <c r="F567" s="264"/>
    </row>
    <row r="568" spans="6:6" x14ac:dyDescent="0.2">
      <c r="F568" s="264"/>
    </row>
    <row r="569" spans="6:6" x14ac:dyDescent="0.2">
      <c r="F569" s="264"/>
    </row>
    <row r="570" spans="6:6" x14ac:dyDescent="0.2">
      <c r="F570" s="264"/>
    </row>
    <row r="571" spans="6:6" x14ac:dyDescent="0.2">
      <c r="F571" s="264"/>
    </row>
    <row r="572" spans="6:6" x14ac:dyDescent="0.2">
      <c r="F572" s="264"/>
    </row>
    <row r="573" spans="6:6" x14ac:dyDescent="0.2">
      <c r="F573" s="264"/>
    </row>
    <row r="574" spans="6:6" x14ac:dyDescent="0.2">
      <c r="F574" s="264"/>
    </row>
    <row r="575" spans="6:6" x14ac:dyDescent="0.2">
      <c r="F575" s="264"/>
    </row>
    <row r="576" spans="6:6" x14ac:dyDescent="0.2">
      <c r="F576" s="264"/>
    </row>
    <row r="577" spans="6:6" x14ac:dyDescent="0.2">
      <c r="F577" s="264"/>
    </row>
    <row r="578" spans="6:6" x14ac:dyDescent="0.2">
      <c r="F578" s="264"/>
    </row>
    <row r="579" spans="6:6" x14ac:dyDescent="0.2">
      <c r="F579" s="264"/>
    </row>
    <row r="580" spans="6:6" x14ac:dyDescent="0.2">
      <c r="F580" s="264"/>
    </row>
    <row r="581" spans="6:6" x14ac:dyDescent="0.2">
      <c r="F581" s="264"/>
    </row>
    <row r="582" spans="6:6" x14ac:dyDescent="0.2">
      <c r="F582" s="264"/>
    </row>
    <row r="583" spans="6:6" x14ac:dyDescent="0.2">
      <c r="F583" s="264"/>
    </row>
    <row r="584" spans="6:6" x14ac:dyDescent="0.2">
      <c r="F584" s="264"/>
    </row>
    <row r="585" spans="6:6" x14ac:dyDescent="0.2">
      <c r="F585" s="264"/>
    </row>
    <row r="586" spans="6:6" x14ac:dyDescent="0.2">
      <c r="F586" s="264"/>
    </row>
    <row r="587" spans="6:6" x14ac:dyDescent="0.2">
      <c r="F587" s="264"/>
    </row>
    <row r="588" spans="6:6" x14ac:dyDescent="0.2">
      <c r="F588" s="264"/>
    </row>
    <row r="589" spans="6:6" x14ac:dyDescent="0.2">
      <c r="F589" s="264"/>
    </row>
    <row r="590" spans="6:6" x14ac:dyDescent="0.2">
      <c r="F590" s="264"/>
    </row>
    <row r="591" spans="6:6" x14ac:dyDescent="0.2">
      <c r="F591" s="264"/>
    </row>
    <row r="592" spans="6:6" x14ac:dyDescent="0.2">
      <c r="F592" s="264"/>
    </row>
    <row r="593" spans="6:6" x14ac:dyDescent="0.2">
      <c r="F593" s="264"/>
    </row>
    <row r="594" spans="6:6" x14ac:dyDescent="0.2">
      <c r="F594" s="264"/>
    </row>
    <row r="595" spans="6:6" x14ac:dyDescent="0.2">
      <c r="F595" s="264"/>
    </row>
    <row r="596" spans="6:6" x14ac:dyDescent="0.2">
      <c r="F596" s="264"/>
    </row>
    <row r="597" spans="6:6" x14ac:dyDescent="0.2">
      <c r="F597" s="264"/>
    </row>
    <row r="598" spans="6:6" x14ac:dyDescent="0.2">
      <c r="F598" s="264"/>
    </row>
    <row r="599" spans="6:6" x14ac:dyDescent="0.2">
      <c r="F599" s="264"/>
    </row>
    <row r="600" spans="6:6" x14ac:dyDescent="0.2">
      <c r="F600" s="264"/>
    </row>
    <row r="601" spans="6:6" x14ac:dyDescent="0.2">
      <c r="F601" s="264"/>
    </row>
    <row r="602" spans="6:6" x14ac:dyDescent="0.2">
      <c r="F602" s="264"/>
    </row>
    <row r="603" spans="6:6" x14ac:dyDescent="0.2">
      <c r="F603" s="264"/>
    </row>
    <row r="604" spans="6:6" x14ac:dyDescent="0.2">
      <c r="F604" s="264"/>
    </row>
    <row r="605" spans="6:6" x14ac:dyDescent="0.2">
      <c r="F605" s="264"/>
    </row>
    <row r="606" spans="6:6" x14ac:dyDescent="0.2">
      <c r="F606" s="264"/>
    </row>
    <row r="607" spans="6:6" x14ac:dyDescent="0.2">
      <c r="F607" s="264"/>
    </row>
    <row r="608" spans="6:6" x14ac:dyDescent="0.2">
      <c r="F608" s="264"/>
    </row>
    <row r="609" spans="6:6" x14ac:dyDescent="0.2">
      <c r="F609" s="264"/>
    </row>
    <row r="610" spans="6:6" x14ac:dyDescent="0.2">
      <c r="F610" s="264"/>
    </row>
    <row r="611" spans="6:6" x14ac:dyDescent="0.2">
      <c r="F611" s="264"/>
    </row>
    <row r="612" spans="6:6" x14ac:dyDescent="0.2">
      <c r="F612" s="264"/>
    </row>
    <row r="613" spans="6:6" x14ac:dyDescent="0.2">
      <c r="F613" s="264"/>
    </row>
    <row r="614" spans="6:6" x14ac:dyDescent="0.2">
      <c r="F614" s="264"/>
    </row>
    <row r="615" spans="6:6" x14ac:dyDescent="0.2">
      <c r="F615" s="264"/>
    </row>
    <row r="616" spans="6:6" x14ac:dyDescent="0.2">
      <c r="F616" s="264"/>
    </row>
    <row r="617" spans="6:6" x14ac:dyDescent="0.2">
      <c r="F617" s="264"/>
    </row>
    <row r="618" spans="6:6" x14ac:dyDescent="0.2">
      <c r="F618" s="264"/>
    </row>
    <row r="619" spans="6:6" x14ac:dyDescent="0.2">
      <c r="F619" s="264"/>
    </row>
    <row r="620" spans="6:6" x14ac:dyDescent="0.2">
      <c r="F620" s="264"/>
    </row>
    <row r="621" spans="6:6" x14ac:dyDescent="0.2">
      <c r="F621" s="264"/>
    </row>
    <row r="622" spans="6:6" x14ac:dyDescent="0.2">
      <c r="F622" s="264"/>
    </row>
    <row r="623" spans="6:6" x14ac:dyDescent="0.2">
      <c r="F623" s="264"/>
    </row>
    <row r="624" spans="6:6" x14ac:dyDescent="0.2">
      <c r="F624" s="264"/>
    </row>
    <row r="625" spans="6:6" x14ac:dyDescent="0.2">
      <c r="F625" s="264"/>
    </row>
    <row r="626" spans="6:6" x14ac:dyDescent="0.2">
      <c r="F626" s="264"/>
    </row>
    <row r="627" spans="6:6" x14ac:dyDescent="0.2">
      <c r="F627" s="264"/>
    </row>
    <row r="628" spans="6:6" x14ac:dyDescent="0.2">
      <c r="F628" s="264"/>
    </row>
    <row r="629" spans="6:6" x14ac:dyDescent="0.2">
      <c r="F629" s="264"/>
    </row>
    <row r="630" spans="6:6" x14ac:dyDescent="0.2">
      <c r="F630" s="264"/>
    </row>
    <row r="631" spans="6:6" x14ac:dyDescent="0.2">
      <c r="F631" s="264"/>
    </row>
    <row r="632" spans="6:6" x14ac:dyDescent="0.2">
      <c r="F632" s="264"/>
    </row>
    <row r="633" spans="6:6" x14ac:dyDescent="0.2">
      <c r="F633" s="264"/>
    </row>
    <row r="634" spans="6:6" x14ac:dyDescent="0.2">
      <c r="F634" s="264"/>
    </row>
    <row r="635" spans="6:6" x14ac:dyDescent="0.2">
      <c r="F635" s="264"/>
    </row>
    <row r="636" spans="6:6" x14ac:dyDescent="0.2">
      <c r="F636" s="264"/>
    </row>
    <row r="637" spans="6:6" x14ac:dyDescent="0.2">
      <c r="F637" s="264"/>
    </row>
    <row r="638" spans="6:6" x14ac:dyDescent="0.2">
      <c r="F638" s="264"/>
    </row>
    <row r="639" spans="6:6" x14ac:dyDescent="0.2">
      <c r="F639" s="264"/>
    </row>
    <row r="640" spans="6:6" x14ac:dyDescent="0.2">
      <c r="F640" s="264"/>
    </row>
    <row r="641" spans="6:6" x14ac:dyDescent="0.2">
      <c r="F641" s="264"/>
    </row>
    <row r="642" spans="6:6" x14ac:dyDescent="0.2">
      <c r="F642" s="264"/>
    </row>
    <row r="643" spans="6:6" x14ac:dyDescent="0.2">
      <c r="F643" s="264"/>
    </row>
    <row r="644" spans="6:6" x14ac:dyDescent="0.2">
      <c r="F644" s="264"/>
    </row>
    <row r="645" spans="6:6" x14ac:dyDescent="0.2">
      <c r="F645" s="264"/>
    </row>
    <row r="646" spans="6:6" x14ac:dyDescent="0.2">
      <c r="F646" s="264"/>
    </row>
    <row r="647" spans="6:6" x14ac:dyDescent="0.2">
      <c r="F647" s="264"/>
    </row>
    <row r="648" spans="6:6" x14ac:dyDescent="0.2">
      <c r="F648" s="264"/>
    </row>
    <row r="649" spans="6:6" x14ac:dyDescent="0.2">
      <c r="F649" s="264"/>
    </row>
    <row r="650" spans="6:6" x14ac:dyDescent="0.2">
      <c r="F650" s="264"/>
    </row>
    <row r="651" spans="6:6" x14ac:dyDescent="0.2">
      <c r="F651" s="264"/>
    </row>
    <row r="652" spans="6:6" x14ac:dyDescent="0.2">
      <c r="F652" s="264"/>
    </row>
    <row r="653" spans="6:6" x14ac:dyDescent="0.2">
      <c r="F653" s="264"/>
    </row>
    <row r="654" spans="6:6" x14ac:dyDescent="0.2">
      <c r="F654" s="264"/>
    </row>
    <row r="655" spans="6:6" x14ac:dyDescent="0.2">
      <c r="F655" s="264"/>
    </row>
    <row r="656" spans="6:6" x14ac:dyDescent="0.2">
      <c r="F656" s="264"/>
    </row>
    <row r="657" spans="6:6" x14ac:dyDescent="0.2">
      <c r="F657" s="264"/>
    </row>
    <row r="658" spans="6:6" x14ac:dyDescent="0.2">
      <c r="F658" s="264"/>
    </row>
    <row r="659" spans="6:6" x14ac:dyDescent="0.2">
      <c r="F659" s="264"/>
    </row>
    <row r="660" spans="6:6" x14ac:dyDescent="0.2">
      <c r="F660" s="264"/>
    </row>
    <row r="661" spans="6:6" x14ac:dyDescent="0.2">
      <c r="F661" s="264"/>
    </row>
    <row r="662" spans="6:6" x14ac:dyDescent="0.2">
      <c r="F662" s="264"/>
    </row>
    <row r="663" spans="6:6" x14ac:dyDescent="0.2">
      <c r="F663" s="264"/>
    </row>
    <row r="664" spans="6:6" x14ac:dyDescent="0.2">
      <c r="F664" s="264"/>
    </row>
    <row r="665" spans="6:6" x14ac:dyDescent="0.2">
      <c r="F665" s="264"/>
    </row>
    <row r="666" spans="6:6" x14ac:dyDescent="0.2">
      <c r="F666" s="264"/>
    </row>
    <row r="667" spans="6:6" x14ac:dyDescent="0.2">
      <c r="F667" s="264"/>
    </row>
    <row r="668" spans="6:6" x14ac:dyDescent="0.2">
      <c r="F668" s="264"/>
    </row>
    <row r="669" spans="6:6" x14ac:dyDescent="0.2">
      <c r="F669" s="264"/>
    </row>
    <row r="670" spans="6:6" x14ac:dyDescent="0.2">
      <c r="F670" s="264"/>
    </row>
    <row r="671" spans="6:6" x14ac:dyDescent="0.2">
      <c r="F671" s="264"/>
    </row>
    <row r="672" spans="6:6" x14ac:dyDescent="0.2">
      <c r="F672" s="264"/>
    </row>
    <row r="673" spans="6:6" x14ac:dyDescent="0.2">
      <c r="F673" s="264"/>
    </row>
    <row r="674" spans="6:6" x14ac:dyDescent="0.2">
      <c r="F674" s="264"/>
    </row>
    <row r="675" spans="6:6" x14ac:dyDescent="0.2">
      <c r="F675" s="264"/>
    </row>
    <row r="676" spans="6:6" x14ac:dyDescent="0.2">
      <c r="F676" s="264"/>
    </row>
    <row r="677" spans="6:6" x14ac:dyDescent="0.2">
      <c r="F677" s="264"/>
    </row>
    <row r="678" spans="6:6" x14ac:dyDescent="0.2">
      <c r="F678" s="264"/>
    </row>
    <row r="679" spans="6:6" x14ac:dyDescent="0.2">
      <c r="F679" s="264"/>
    </row>
    <row r="680" spans="6:6" x14ac:dyDescent="0.2">
      <c r="F680" s="264"/>
    </row>
    <row r="681" spans="6:6" x14ac:dyDescent="0.2">
      <c r="F681" s="264"/>
    </row>
    <row r="682" spans="6:6" x14ac:dyDescent="0.2">
      <c r="F682" s="264"/>
    </row>
    <row r="683" spans="6:6" x14ac:dyDescent="0.2">
      <c r="F683" s="264"/>
    </row>
    <row r="684" spans="6:6" x14ac:dyDescent="0.2">
      <c r="F684" s="264"/>
    </row>
    <row r="685" spans="6:6" x14ac:dyDescent="0.2">
      <c r="F685" s="264"/>
    </row>
    <row r="686" spans="6:6" x14ac:dyDescent="0.2">
      <c r="F686" s="264"/>
    </row>
    <row r="687" spans="6:6" x14ac:dyDescent="0.2">
      <c r="F687" s="264"/>
    </row>
    <row r="688" spans="6:6" x14ac:dyDescent="0.2">
      <c r="F688" s="264"/>
    </row>
    <row r="689" spans="6:6" x14ac:dyDescent="0.2">
      <c r="F689" s="264"/>
    </row>
    <row r="690" spans="6:6" x14ac:dyDescent="0.2">
      <c r="F690" s="264"/>
    </row>
    <row r="691" spans="6:6" x14ac:dyDescent="0.2">
      <c r="F691" s="264"/>
    </row>
    <row r="692" spans="6:6" x14ac:dyDescent="0.2">
      <c r="F692" s="264"/>
    </row>
    <row r="693" spans="6:6" x14ac:dyDescent="0.2">
      <c r="F693" s="264"/>
    </row>
    <row r="694" spans="6:6" x14ac:dyDescent="0.2">
      <c r="F694" s="264"/>
    </row>
    <row r="695" spans="6:6" x14ac:dyDescent="0.2">
      <c r="F695" s="264"/>
    </row>
    <row r="696" spans="6:6" x14ac:dyDescent="0.2">
      <c r="F696" s="264"/>
    </row>
    <row r="697" spans="6:6" x14ac:dyDescent="0.2">
      <c r="F697" s="264"/>
    </row>
    <row r="698" spans="6:6" x14ac:dyDescent="0.2">
      <c r="F698" s="264"/>
    </row>
    <row r="699" spans="6:6" x14ac:dyDescent="0.2">
      <c r="F699" s="264"/>
    </row>
    <row r="700" spans="6:6" x14ac:dyDescent="0.2">
      <c r="F700" s="264"/>
    </row>
    <row r="701" spans="6:6" x14ac:dyDescent="0.2">
      <c r="F701" s="264"/>
    </row>
    <row r="702" spans="6:6" x14ac:dyDescent="0.2">
      <c r="F702" s="264"/>
    </row>
    <row r="703" spans="6:6" x14ac:dyDescent="0.2">
      <c r="F703" s="264"/>
    </row>
    <row r="704" spans="6:6" x14ac:dyDescent="0.2">
      <c r="F704" s="264"/>
    </row>
    <row r="705" spans="6:6" x14ac:dyDescent="0.2">
      <c r="F705" s="264"/>
    </row>
    <row r="706" spans="6:6" x14ac:dyDescent="0.2">
      <c r="F706" s="264"/>
    </row>
    <row r="707" spans="6:6" x14ac:dyDescent="0.2">
      <c r="F707" s="264"/>
    </row>
    <row r="708" spans="6:6" x14ac:dyDescent="0.2">
      <c r="F708" s="264"/>
    </row>
    <row r="709" spans="6:6" x14ac:dyDescent="0.2">
      <c r="F709" s="264"/>
    </row>
    <row r="710" spans="6:6" x14ac:dyDescent="0.2">
      <c r="F710" s="264"/>
    </row>
    <row r="711" spans="6:6" x14ac:dyDescent="0.2">
      <c r="F711" s="264"/>
    </row>
    <row r="712" spans="6:6" x14ac:dyDescent="0.2">
      <c r="F712" s="264"/>
    </row>
    <row r="713" spans="6:6" x14ac:dyDescent="0.2">
      <c r="F713" s="264"/>
    </row>
    <row r="714" spans="6:6" x14ac:dyDescent="0.2">
      <c r="F714" s="264"/>
    </row>
    <row r="715" spans="6:6" x14ac:dyDescent="0.2">
      <c r="F715" s="264"/>
    </row>
    <row r="716" spans="6:6" x14ac:dyDescent="0.2">
      <c r="F716" s="264"/>
    </row>
    <row r="717" spans="6:6" x14ac:dyDescent="0.2">
      <c r="F717" s="264"/>
    </row>
    <row r="718" spans="6:6" x14ac:dyDescent="0.2">
      <c r="F718" s="264"/>
    </row>
    <row r="719" spans="6:6" x14ac:dyDescent="0.2">
      <c r="F719" s="264"/>
    </row>
    <row r="720" spans="6:6" x14ac:dyDescent="0.2">
      <c r="F720" s="264"/>
    </row>
    <row r="721" spans="6:6" x14ac:dyDescent="0.2">
      <c r="F721" s="264"/>
    </row>
    <row r="722" spans="6:6" x14ac:dyDescent="0.2">
      <c r="F722" s="264"/>
    </row>
    <row r="723" spans="6:6" x14ac:dyDescent="0.2">
      <c r="F723" s="264"/>
    </row>
    <row r="724" spans="6:6" x14ac:dyDescent="0.2">
      <c r="F724" s="264"/>
    </row>
    <row r="725" spans="6:6" x14ac:dyDescent="0.2">
      <c r="F725" s="264"/>
    </row>
    <row r="726" spans="6:6" x14ac:dyDescent="0.2">
      <c r="F726" s="264"/>
    </row>
    <row r="727" spans="6:6" x14ac:dyDescent="0.2">
      <c r="F727" s="264"/>
    </row>
    <row r="728" spans="6:6" x14ac:dyDescent="0.2">
      <c r="F728" s="264"/>
    </row>
    <row r="729" spans="6:6" x14ac:dyDescent="0.2">
      <c r="F729" s="264"/>
    </row>
    <row r="730" spans="6:6" x14ac:dyDescent="0.2">
      <c r="F730" s="264"/>
    </row>
    <row r="731" spans="6:6" x14ac:dyDescent="0.2">
      <c r="F731" s="264"/>
    </row>
    <row r="732" spans="6:6" x14ac:dyDescent="0.2">
      <c r="F732" s="264"/>
    </row>
    <row r="733" spans="6:6" x14ac:dyDescent="0.2">
      <c r="F733" s="264"/>
    </row>
    <row r="734" spans="6:6" x14ac:dyDescent="0.2">
      <c r="F734" s="264"/>
    </row>
    <row r="735" spans="6:6" x14ac:dyDescent="0.2">
      <c r="F735" s="264"/>
    </row>
    <row r="736" spans="6:6" x14ac:dyDescent="0.2">
      <c r="F736" s="264"/>
    </row>
    <row r="737" spans="6:6" x14ac:dyDescent="0.2">
      <c r="F737" s="264"/>
    </row>
    <row r="738" spans="6:6" x14ac:dyDescent="0.2">
      <c r="F738" s="264"/>
    </row>
    <row r="739" spans="6:6" x14ac:dyDescent="0.2">
      <c r="F739" s="264"/>
    </row>
    <row r="740" spans="6:6" x14ac:dyDescent="0.2">
      <c r="F740" s="264"/>
    </row>
    <row r="741" spans="6:6" x14ac:dyDescent="0.2">
      <c r="F741" s="264"/>
    </row>
    <row r="742" spans="6:6" x14ac:dyDescent="0.2">
      <c r="F742" s="264"/>
    </row>
    <row r="743" spans="6:6" x14ac:dyDescent="0.2">
      <c r="F743" s="264"/>
    </row>
    <row r="744" spans="6:6" x14ac:dyDescent="0.2">
      <c r="F744" s="264"/>
    </row>
    <row r="745" spans="6:6" x14ac:dyDescent="0.2">
      <c r="F745" s="264"/>
    </row>
    <row r="746" spans="6:6" x14ac:dyDescent="0.2">
      <c r="F746" s="264"/>
    </row>
    <row r="747" spans="6:6" x14ac:dyDescent="0.2">
      <c r="F747" s="264"/>
    </row>
    <row r="748" spans="6:6" x14ac:dyDescent="0.2">
      <c r="F748" s="264"/>
    </row>
    <row r="749" spans="6:6" x14ac:dyDescent="0.2">
      <c r="F749" s="264"/>
    </row>
    <row r="750" spans="6:6" x14ac:dyDescent="0.2">
      <c r="F750" s="264"/>
    </row>
    <row r="751" spans="6:6" x14ac:dyDescent="0.2">
      <c r="F751" s="264"/>
    </row>
    <row r="752" spans="6:6" x14ac:dyDescent="0.2">
      <c r="F752" s="264"/>
    </row>
    <row r="753" spans="6:6" x14ac:dyDescent="0.2">
      <c r="F753" s="264"/>
    </row>
    <row r="754" spans="6:6" x14ac:dyDescent="0.2">
      <c r="F754" s="264"/>
    </row>
    <row r="755" spans="6:6" x14ac:dyDescent="0.2">
      <c r="F755" s="264"/>
    </row>
    <row r="756" spans="6:6" x14ac:dyDescent="0.2">
      <c r="F756" s="264"/>
    </row>
    <row r="757" spans="6:6" x14ac:dyDescent="0.2">
      <c r="F757" s="264"/>
    </row>
    <row r="758" spans="6:6" x14ac:dyDescent="0.2">
      <c r="F758" s="264"/>
    </row>
    <row r="759" spans="6:6" x14ac:dyDescent="0.2">
      <c r="F759" s="264"/>
    </row>
    <row r="760" spans="6:6" x14ac:dyDescent="0.2">
      <c r="F760" s="264"/>
    </row>
    <row r="761" spans="6:6" x14ac:dyDescent="0.2">
      <c r="F761" s="264"/>
    </row>
    <row r="762" spans="6:6" x14ac:dyDescent="0.2">
      <c r="F762" s="264"/>
    </row>
    <row r="763" spans="6:6" x14ac:dyDescent="0.2">
      <c r="F763" s="264"/>
    </row>
    <row r="764" spans="6:6" x14ac:dyDescent="0.2">
      <c r="F764" s="264"/>
    </row>
    <row r="765" spans="6:6" x14ac:dyDescent="0.2">
      <c r="F765" s="264"/>
    </row>
    <row r="766" spans="6:6" x14ac:dyDescent="0.2">
      <c r="F766" s="264"/>
    </row>
    <row r="767" spans="6:6" x14ac:dyDescent="0.2">
      <c r="F767" s="264"/>
    </row>
    <row r="768" spans="6:6" x14ac:dyDescent="0.2">
      <c r="F768" s="264"/>
    </row>
    <row r="769" spans="6:6" x14ac:dyDescent="0.2">
      <c r="F769" s="264"/>
    </row>
    <row r="770" spans="6:6" x14ac:dyDescent="0.2">
      <c r="F770" s="264"/>
    </row>
    <row r="771" spans="6:6" x14ac:dyDescent="0.2">
      <c r="F771" s="264"/>
    </row>
    <row r="772" spans="6:6" x14ac:dyDescent="0.2">
      <c r="F772" s="264"/>
    </row>
    <row r="773" spans="6:6" x14ac:dyDescent="0.2">
      <c r="F773" s="264"/>
    </row>
    <row r="774" spans="6:6" x14ac:dyDescent="0.2">
      <c r="F774" s="264"/>
    </row>
    <row r="775" spans="6:6" x14ac:dyDescent="0.2">
      <c r="F775" s="264"/>
    </row>
    <row r="776" spans="6:6" x14ac:dyDescent="0.2">
      <c r="F776" s="264"/>
    </row>
    <row r="777" spans="6:6" x14ac:dyDescent="0.2">
      <c r="F777" s="264"/>
    </row>
    <row r="778" spans="6:6" x14ac:dyDescent="0.2">
      <c r="F778" s="264"/>
    </row>
    <row r="779" spans="6:6" x14ac:dyDescent="0.2">
      <c r="F779" s="264"/>
    </row>
    <row r="780" spans="6:6" x14ac:dyDescent="0.2">
      <c r="F780" s="264"/>
    </row>
    <row r="781" spans="6:6" x14ac:dyDescent="0.2">
      <c r="F781" s="264"/>
    </row>
    <row r="782" spans="6:6" x14ac:dyDescent="0.2">
      <c r="F782" s="264"/>
    </row>
    <row r="783" spans="6:6" x14ac:dyDescent="0.2">
      <c r="F783" s="264"/>
    </row>
    <row r="784" spans="6:6" x14ac:dyDescent="0.2">
      <c r="F784" s="264"/>
    </row>
    <row r="785" spans="6:6" x14ac:dyDescent="0.2">
      <c r="F785" s="264"/>
    </row>
    <row r="786" spans="6:6" x14ac:dyDescent="0.2">
      <c r="F786" s="264"/>
    </row>
    <row r="787" spans="6:6" x14ac:dyDescent="0.2">
      <c r="F787" s="264"/>
    </row>
    <row r="788" spans="6:6" x14ac:dyDescent="0.2">
      <c r="F788" s="264"/>
    </row>
    <row r="789" spans="6:6" x14ac:dyDescent="0.2">
      <c r="F789" s="264"/>
    </row>
    <row r="790" spans="6:6" x14ac:dyDescent="0.2">
      <c r="F790" s="264"/>
    </row>
    <row r="791" spans="6:6" x14ac:dyDescent="0.2">
      <c r="F791" s="264"/>
    </row>
    <row r="792" spans="6:6" x14ac:dyDescent="0.2">
      <c r="F792" s="264"/>
    </row>
    <row r="793" spans="6:6" x14ac:dyDescent="0.2">
      <c r="F793" s="264"/>
    </row>
    <row r="794" spans="6:6" x14ac:dyDescent="0.2">
      <c r="F794" s="264"/>
    </row>
    <row r="795" spans="6:6" x14ac:dyDescent="0.2">
      <c r="F795" s="264"/>
    </row>
    <row r="796" spans="6:6" x14ac:dyDescent="0.2">
      <c r="F796" s="264"/>
    </row>
    <row r="797" spans="6:6" x14ac:dyDescent="0.2">
      <c r="F797" s="264"/>
    </row>
    <row r="798" spans="6:6" x14ac:dyDescent="0.2">
      <c r="F798" s="264"/>
    </row>
    <row r="799" spans="6:6" x14ac:dyDescent="0.2">
      <c r="F799" s="264"/>
    </row>
    <row r="800" spans="6:6" x14ac:dyDescent="0.2">
      <c r="F800" s="264"/>
    </row>
    <row r="801" spans="6:6" x14ac:dyDescent="0.2">
      <c r="F801" s="264"/>
    </row>
    <row r="802" spans="6:6" x14ac:dyDescent="0.2">
      <c r="F802" s="264"/>
    </row>
    <row r="803" spans="6:6" x14ac:dyDescent="0.2">
      <c r="F803" s="264"/>
    </row>
    <row r="804" spans="6:6" x14ac:dyDescent="0.2">
      <c r="F804" s="264"/>
    </row>
    <row r="805" spans="6:6" x14ac:dyDescent="0.2">
      <c r="F805" s="264"/>
    </row>
    <row r="806" spans="6:6" x14ac:dyDescent="0.2">
      <c r="F806" s="264"/>
    </row>
    <row r="807" spans="6:6" x14ac:dyDescent="0.2">
      <c r="F807" s="264"/>
    </row>
    <row r="808" spans="6:6" x14ac:dyDescent="0.2">
      <c r="F808" s="264"/>
    </row>
    <row r="809" spans="6:6" x14ac:dyDescent="0.2">
      <c r="F809" s="264"/>
    </row>
    <row r="810" spans="6:6" x14ac:dyDescent="0.2">
      <c r="F810" s="264"/>
    </row>
    <row r="811" spans="6:6" x14ac:dyDescent="0.2">
      <c r="F811" s="264"/>
    </row>
    <row r="812" spans="6:6" x14ac:dyDescent="0.2">
      <c r="F812" s="264"/>
    </row>
    <row r="813" spans="6:6" x14ac:dyDescent="0.2">
      <c r="F813" s="264"/>
    </row>
    <row r="814" spans="6:6" x14ac:dyDescent="0.2">
      <c r="F814" s="264"/>
    </row>
    <row r="815" spans="6:6" x14ac:dyDescent="0.2">
      <c r="F815" s="264"/>
    </row>
    <row r="816" spans="6:6" x14ac:dyDescent="0.2">
      <c r="F816" s="264"/>
    </row>
    <row r="817" spans="6:6" x14ac:dyDescent="0.2">
      <c r="F817" s="264"/>
    </row>
    <row r="818" spans="6:6" x14ac:dyDescent="0.2">
      <c r="F818" s="264"/>
    </row>
    <row r="819" spans="6:6" x14ac:dyDescent="0.2">
      <c r="F819" s="264"/>
    </row>
    <row r="820" spans="6:6" x14ac:dyDescent="0.2">
      <c r="F820" s="264"/>
    </row>
    <row r="821" spans="6:6" x14ac:dyDescent="0.2">
      <c r="F821" s="264"/>
    </row>
    <row r="822" spans="6:6" x14ac:dyDescent="0.2">
      <c r="F822" s="264"/>
    </row>
    <row r="823" spans="6:6" x14ac:dyDescent="0.2">
      <c r="F823" s="264"/>
    </row>
    <row r="824" spans="6:6" x14ac:dyDescent="0.2">
      <c r="F824" s="264"/>
    </row>
    <row r="825" spans="6:6" x14ac:dyDescent="0.2">
      <c r="F825" s="264"/>
    </row>
    <row r="826" spans="6:6" x14ac:dyDescent="0.2">
      <c r="F826" s="264"/>
    </row>
    <row r="827" spans="6:6" x14ac:dyDescent="0.2">
      <c r="F827" s="264"/>
    </row>
    <row r="828" spans="6:6" x14ac:dyDescent="0.2">
      <c r="F828" s="264"/>
    </row>
    <row r="829" spans="6:6" x14ac:dyDescent="0.2">
      <c r="F829" s="264"/>
    </row>
    <row r="830" spans="6:6" x14ac:dyDescent="0.2">
      <c r="F830" s="264"/>
    </row>
    <row r="831" spans="6:6" x14ac:dyDescent="0.2">
      <c r="F831" s="264"/>
    </row>
    <row r="832" spans="6:6" x14ac:dyDescent="0.2">
      <c r="F832" s="264"/>
    </row>
    <row r="833" spans="6:6" x14ac:dyDescent="0.2">
      <c r="F833" s="264"/>
    </row>
    <row r="834" spans="6:6" x14ac:dyDescent="0.2">
      <c r="F834" s="264"/>
    </row>
    <row r="835" spans="6:6" x14ac:dyDescent="0.2">
      <c r="F835" s="264"/>
    </row>
    <row r="836" spans="6:6" x14ac:dyDescent="0.2">
      <c r="F836" s="264"/>
    </row>
    <row r="837" spans="6:6" x14ac:dyDescent="0.2">
      <c r="F837" s="264"/>
    </row>
    <row r="838" spans="6:6" x14ac:dyDescent="0.2">
      <c r="F838" s="264"/>
    </row>
    <row r="839" spans="6:6" x14ac:dyDescent="0.2">
      <c r="F839" s="264"/>
    </row>
    <row r="840" spans="6:6" x14ac:dyDescent="0.2">
      <c r="F840" s="264"/>
    </row>
    <row r="841" spans="6:6" x14ac:dyDescent="0.2">
      <c r="F841" s="264"/>
    </row>
    <row r="842" spans="6:6" x14ac:dyDescent="0.2">
      <c r="F842" s="264"/>
    </row>
    <row r="843" spans="6:6" x14ac:dyDescent="0.2">
      <c r="F843" s="264"/>
    </row>
    <row r="844" spans="6:6" x14ac:dyDescent="0.2">
      <c r="F844" s="264"/>
    </row>
    <row r="845" spans="6:6" x14ac:dyDescent="0.2">
      <c r="F845" s="264"/>
    </row>
    <row r="846" spans="6:6" x14ac:dyDescent="0.2">
      <c r="F846" s="264"/>
    </row>
    <row r="847" spans="6:6" x14ac:dyDescent="0.2">
      <c r="F847" s="264"/>
    </row>
    <row r="848" spans="6:6" x14ac:dyDescent="0.2">
      <c r="F848" s="264"/>
    </row>
    <row r="849" spans="6:6" x14ac:dyDescent="0.2">
      <c r="F849" s="264"/>
    </row>
    <row r="850" spans="6:6" x14ac:dyDescent="0.2">
      <c r="F850" s="264"/>
    </row>
    <row r="851" spans="6:6" x14ac:dyDescent="0.2">
      <c r="F851" s="264"/>
    </row>
    <row r="852" spans="6:6" x14ac:dyDescent="0.2">
      <c r="F852" s="264"/>
    </row>
    <row r="853" spans="6:6" x14ac:dyDescent="0.2">
      <c r="F853" s="264"/>
    </row>
    <row r="854" spans="6:6" x14ac:dyDescent="0.2">
      <c r="F854" s="264"/>
    </row>
    <row r="855" spans="6:6" x14ac:dyDescent="0.2">
      <c r="F855" s="264"/>
    </row>
    <row r="856" spans="6:6" x14ac:dyDescent="0.2">
      <c r="F856" s="264"/>
    </row>
    <row r="857" spans="6:6" x14ac:dyDescent="0.2">
      <c r="F857" s="264"/>
    </row>
    <row r="858" spans="6:6" x14ac:dyDescent="0.2">
      <c r="F858" s="264"/>
    </row>
    <row r="859" spans="6:6" x14ac:dyDescent="0.2">
      <c r="F859" s="264"/>
    </row>
    <row r="860" spans="6:6" x14ac:dyDescent="0.2">
      <c r="F860" s="264"/>
    </row>
    <row r="861" spans="6:6" x14ac:dyDescent="0.2">
      <c r="F861" s="264"/>
    </row>
    <row r="862" spans="6:6" x14ac:dyDescent="0.2">
      <c r="F862" s="264"/>
    </row>
    <row r="863" spans="6:6" x14ac:dyDescent="0.2">
      <c r="F863" s="264"/>
    </row>
    <row r="864" spans="6:6" x14ac:dyDescent="0.2">
      <c r="F864" s="264"/>
    </row>
    <row r="865" spans="6:6" x14ac:dyDescent="0.2">
      <c r="F865" s="264"/>
    </row>
    <row r="866" spans="6:6" x14ac:dyDescent="0.2">
      <c r="F866" s="264"/>
    </row>
    <row r="867" spans="6:6" x14ac:dyDescent="0.2">
      <c r="F867" s="264"/>
    </row>
    <row r="868" spans="6:6" x14ac:dyDescent="0.2">
      <c r="F868" s="264"/>
    </row>
    <row r="869" spans="6:6" x14ac:dyDescent="0.2">
      <c r="F869" s="264"/>
    </row>
    <row r="870" spans="6:6" x14ac:dyDescent="0.2">
      <c r="F870" s="264"/>
    </row>
    <row r="871" spans="6:6" x14ac:dyDescent="0.2">
      <c r="F871" s="264"/>
    </row>
    <row r="872" spans="6:6" x14ac:dyDescent="0.2">
      <c r="F872" s="264"/>
    </row>
    <row r="873" spans="6:6" x14ac:dyDescent="0.2">
      <c r="F873" s="264"/>
    </row>
    <row r="874" spans="6:6" x14ac:dyDescent="0.2">
      <c r="F874" s="264"/>
    </row>
    <row r="875" spans="6:6" x14ac:dyDescent="0.2">
      <c r="F875" s="264"/>
    </row>
    <row r="876" spans="6:6" x14ac:dyDescent="0.2">
      <c r="F876" s="264"/>
    </row>
    <row r="877" spans="6:6" x14ac:dyDescent="0.2">
      <c r="F877" s="264"/>
    </row>
    <row r="878" spans="6:6" x14ac:dyDescent="0.2">
      <c r="F878" s="264"/>
    </row>
    <row r="879" spans="6:6" x14ac:dyDescent="0.2">
      <c r="F879" s="264"/>
    </row>
    <row r="880" spans="6:6" x14ac:dyDescent="0.2">
      <c r="F880" s="264"/>
    </row>
    <row r="881" spans="6:6" x14ac:dyDescent="0.2">
      <c r="F881" s="264"/>
    </row>
    <row r="882" spans="6:6" x14ac:dyDescent="0.2">
      <c r="F882" s="264"/>
    </row>
    <row r="883" spans="6:6" x14ac:dyDescent="0.2">
      <c r="F883" s="264"/>
    </row>
    <row r="884" spans="6:6" x14ac:dyDescent="0.2">
      <c r="F884" s="264"/>
    </row>
    <row r="885" spans="6:6" x14ac:dyDescent="0.2">
      <c r="F885" s="264"/>
    </row>
    <row r="886" spans="6:6" x14ac:dyDescent="0.2">
      <c r="F886" s="264"/>
    </row>
    <row r="887" spans="6:6" x14ac:dyDescent="0.2">
      <c r="F887" s="264"/>
    </row>
    <row r="888" spans="6:6" x14ac:dyDescent="0.2">
      <c r="F888" s="264"/>
    </row>
    <row r="889" spans="6:6" x14ac:dyDescent="0.2">
      <c r="F889" s="264"/>
    </row>
    <row r="890" spans="6:6" x14ac:dyDescent="0.2">
      <c r="F890" s="264"/>
    </row>
    <row r="891" spans="6:6" x14ac:dyDescent="0.2">
      <c r="F891" s="264"/>
    </row>
    <row r="892" spans="6:6" x14ac:dyDescent="0.2">
      <c r="F892" s="264"/>
    </row>
    <row r="893" spans="6:6" x14ac:dyDescent="0.2">
      <c r="F893" s="264"/>
    </row>
    <row r="894" spans="6:6" x14ac:dyDescent="0.2">
      <c r="F894" s="264"/>
    </row>
    <row r="895" spans="6:6" x14ac:dyDescent="0.2">
      <c r="F895" s="264"/>
    </row>
    <row r="896" spans="6:6" x14ac:dyDescent="0.2">
      <c r="F896" s="264"/>
    </row>
    <row r="897" spans="6:6" x14ac:dyDescent="0.2">
      <c r="F897" s="264"/>
    </row>
    <row r="898" spans="6:6" x14ac:dyDescent="0.2">
      <c r="F898" s="264"/>
    </row>
    <row r="899" spans="6:6" x14ac:dyDescent="0.2">
      <c r="F899" s="264"/>
    </row>
    <row r="900" spans="6:6" x14ac:dyDescent="0.2">
      <c r="F900" s="264"/>
    </row>
    <row r="901" spans="6:6" x14ac:dyDescent="0.2">
      <c r="F901" s="264"/>
    </row>
    <row r="902" spans="6:6" x14ac:dyDescent="0.2">
      <c r="F902" s="264"/>
    </row>
    <row r="903" spans="6:6" x14ac:dyDescent="0.2">
      <c r="F903" s="264"/>
    </row>
    <row r="904" spans="6:6" x14ac:dyDescent="0.2">
      <c r="F904" s="264"/>
    </row>
    <row r="905" spans="6:6" x14ac:dyDescent="0.2">
      <c r="F905" s="264"/>
    </row>
    <row r="906" spans="6:6" x14ac:dyDescent="0.2">
      <c r="F906" s="264"/>
    </row>
    <row r="907" spans="6:6" x14ac:dyDescent="0.2">
      <c r="F907" s="264"/>
    </row>
    <row r="908" spans="6:6" x14ac:dyDescent="0.2">
      <c r="F908" s="264"/>
    </row>
    <row r="909" spans="6:6" x14ac:dyDescent="0.2">
      <c r="F909" s="264"/>
    </row>
    <row r="910" spans="6:6" x14ac:dyDescent="0.2">
      <c r="F910" s="264"/>
    </row>
    <row r="911" spans="6:6" x14ac:dyDescent="0.2">
      <c r="F911" s="264"/>
    </row>
    <row r="912" spans="6:6" x14ac:dyDescent="0.2">
      <c r="F912" s="264"/>
    </row>
    <row r="913" spans="6:6" x14ac:dyDescent="0.2">
      <c r="F913" s="264"/>
    </row>
    <row r="914" spans="6:6" x14ac:dyDescent="0.2">
      <c r="F914" s="264"/>
    </row>
    <row r="915" spans="6:6" x14ac:dyDescent="0.2">
      <c r="F915" s="264"/>
    </row>
    <row r="916" spans="6:6" x14ac:dyDescent="0.2">
      <c r="F916" s="264"/>
    </row>
    <row r="917" spans="6:6" x14ac:dyDescent="0.2">
      <c r="F917" s="264"/>
    </row>
    <row r="918" spans="6:6" x14ac:dyDescent="0.2">
      <c r="F918" s="264"/>
    </row>
    <row r="919" spans="6:6" x14ac:dyDescent="0.2">
      <c r="F919" s="264"/>
    </row>
    <row r="920" spans="6:6" x14ac:dyDescent="0.2">
      <c r="F920" s="264"/>
    </row>
    <row r="921" spans="6:6" x14ac:dyDescent="0.2">
      <c r="F921" s="264"/>
    </row>
    <row r="922" spans="6:6" x14ac:dyDescent="0.2">
      <c r="F922" s="264"/>
    </row>
    <row r="923" spans="6:6" x14ac:dyDescent="0.2">
      <c r="F923" s="264"/>
    </row>
    <row r="924" spans="6:6" x14ac:dyDescent="0.2">
      <c r="F924" s="264"/>
    </row>
    <row r="925" spans="6:6" x14ac:dyDescent="0.2">
      <c r="F925" s="264"/>
    </row>
    <row r="926" spans="6:6" x14ac:dyDescent="0.2">
      <c r="F926" s="264"/>
    </row>
    <row r="927" spans="6:6" x14ac:dyDescent="0.2">
      <c r="F927" s="264"/>
    </row>
    <row r="928" spans="6:6" x14ac:dyDescent="0.2">
      <c r="F928" s="264"/>
    </row>
    <row r="929" spans="6:6" x14ac:dyDescent="0.2">
      <c r="F929" s="264"/>
    </row>
    <row r="930" spans="6:6" x14ac:dyDescent="0.2">
      <c r="F930" s="264"/>
    </row>
    <row r="931" spans="6:6" x14ac:dyDescent="0.2">
      <c r="F931" s="264"/>
    </row>
    <row r="932" spans="6:6" x14ac:dyDescent="0.2">
      <c r="F932" s="264"/>
    </row>
    <row r="933" spans="6:6" x14ac:dyDescent="0.2">
      <c r="F933" s="264"/>
    </row>
    <row r="934" spans="6:6" x14ac:dyDescent="0.2">
      <c r="F934" s="264"/>
    </row>
    <row r="935" spans="6:6" x14ac:dyDescent="0.2">
      <c r="F935" s="264"/>
    </row>
    <row r="936" spans="6:6" x14ac:dyDescent="0.2">
      <c r="F936" s="264"/>
    </row>
    <row r="937" spans="6:6" x14ac:dyDescent="0.2">
      <c r="F937" s="264"/>
    </row>
    <row r="938" spans="6:6" x14ac:dyDescent="0.2">
      <c r="F938" s="264"/>
    </row>
    <row r="939" spans="6:6" x14ac:dyDescent="0.2">
      <c r="F939" s="264"/>
    </row>
    <row r="940" spans="6:6" x14ac:dyDescent="0.2">
      <c r="F940" s="264"/>
    </row>
    <row r="941" spans="6:6" x14ac:dyDescent="0.2">
      <c r="F941" s="264"/>
    </row>
    <row r="942" spans="6:6" x14ac:dyDescent="0.2">
      <c r="F942" s="264"/>
    </row>
    <row r="943" spans="6:6" x14ac:dyDescent="0.2">
      <c r="F943" s="264"/>
    </row>
    <row r="944" spans="6:6" x14ac:dyDescent="0.2">
      <c r="F944" s="264"/>
    </row>
    <row r="945" spans="6:6" x14ac:dyDescent="0.2">
      <c r="F945" s="264"/>
    </row>
    <row r="946" spans="6:6" x14ac:dyDescent="0.2">
      <c r="F946" s="264"/>
    </row>
    <row r="947" spans="6:6" x14ac:dyDescent="0.2">
      <c r="F947" s="264"/>
    </row>
    <row r="948" spans="6:6" x14ac:dyDescent="0.2">
      <c r="F948" s="264"/>
    </row>
    <row r="949" spans="6:6" x14ac:dyDescent="0.2">
      <c r="F949" s="264"/>
    </row>
    <row r="950" spans="6:6" x14ac:dyDescent="0.2">
      <c r="F950" s="264"/>
    </row>
    <row r="951" spans="6:6" x14ac:dyDescent="0.2">
      <c r="F951" s="264"/>
    </row>
    <row r="952" spans="6:6" x14ac:dyDescent="0.2">
      <c r="F952" s="264"/>
    </row>
    <row r="953" spans="6:6" x14ac:dyDescent="0.2">
      <c r="F953" s="264"/>
    </row>
    <row r="954" spans="6:6" x14ac:dyDescent="0.2">
      <c r="F954" s="264"/>
    </row>
    <row r="955" spans="6:6" x14ac:dyDescent="0.2">
      <c r="F955" s="264"/>
    </row>
    <row r="956" spans="6:6" x14ac:dyDescent="0.2">
      <c r="F956" s="264"/>
    </row>
    <row r="957" spans="6:6" x14ac:dyDescent="0.2">
      <c r="F957" s="264"/>
    </row>
    <row r="958" spans="6:6" x14ac:dyDescent="0.2">
      <c r="F958" s="264"/>
    </row>
    <row r="959" spans="6:6" x14ac:dyDescent="0.2">
      <c r="F959" s="264"/>
    </row>
    <row r="960" spans="6:6" x14ac:dyDescent="0.2">
      <c r="F960" s="264"/>
    </row>
    <row r="961" spans="6:6" x14ac:dyDescent="0.2">
      <c r="F961" s="264"/>
    </row>
    <row r="962" spans="6:6" x14ac:dyDescent="0.2">
      <c r="F962" s="264"/>
    </row>
    <row r="963" spans="6:6" x14ac:dyDescent="0.2">
      <c r="F963" s="264"/>
    </row>
    <row r="964" spans="6:6" x14ac:dyDescent="0.2">
      <c r="F964" s="264"/>
    </row>
    <row r="965" spans="6:6" x14ac:dyDescent="0.2">
      <c r="F965" s="264"/>
    </row>
    <row r="966" spans="6:6" x14ac:dyDescent="0.2">
      <c r="F966" s="264"/>
    </row>
    <row r="967" spans="6:6" x14ac:dyDescent="0.2">
      <c r="F967" s="264"/>
    </row>
    <row r="968" spans="6:6" x14ac:dyDescent="0.2">
      <c r="F968" s="264"/>
    </row>
    <row r="969" spans="6:6" x14ac:dyDescent="0.2">
      <c r="F969" s="264"/>
    </row>
    <row r="970" spans="6:6" x14ac:dyDescent="0.2">
      <c r="F970" s="264"/>
    </row>
    <row r="971" spans="6:6" x14ac:dyDescent="0.2">
      <c r="F971" s="264"/>
    </row>
    <row r="972" spans="6:6" x14ac:dyDescent="0.2">
      <c r="F972" s="264"/>
    </row>
    <row r="973" spans="6:6" x14ac:dyDescent="0.2">
      <c r="F973" s="264"/>
    </row>
    <row r="974" spans="6:6" x14ac:dyDescent="0.2">
      <c r="F974" s="264"/>
    </row>
    <row r="975" spans="6:6" x14ac:dyDescent="0.2">
      <c r="F975" s="264"/>
    </row>
    <row r="976" spans="6:6" x14ac:dyDescent="0.2">
      <c r="F976" s="264"/>
    </row>
    <row r="977" spans="6:6" x14ac:dyDescent="0.2">
      <c r="F977" s="264"/>
    </row>
    <row r="978" spans="6:6" x14ac:dyDescent="0.2">
      <c r="F978" s="264"/>
    </row>
    <row r="979" spans="6:6" x14ac:dyDescent="0.2">
      <c r="F979" s="264"/>
    </row>
    <row r="980" spans="6:6" x14ac:dyDescent="0.2">
      <c r="F980" s="264"/>
    </row>
    <row r="981" spans="6:6" x14ac:dyDescent="0.2">
      <c r="F981" s="264"/>
    </row>
    <row r="982" spans="6:6" x14ac:dyDescent="0.2">
      <c r="F982" s="264"/>
    </row>
    <row r="983" spans="6:6" x14ac:dyDescent="0.2">
      <c r="F983" s="264"/>
    </row>
    <row r="984" spans="6:6" x14ac:dyDescent="0.2">
      <c r="F984" s="264"/>
    </row>
    <row r="985" spans="6:6" x14ac:dyDescent="0.2">
      <c r="F985" s="264"/>
    </row>
    <row r="986" spans="6:6" x14ac:dyDescent="0.2">
      <c r="F986" s="264"/>
    </row>
    <row r="987" spans="6:6" x14ac:dyDescent="0.2">
      <c r="F987" s="264"/>
    </row>
    <row r="988" spans="6:6" x14ac:dyDescent="0.2">
      <c r="F988" s="264"/>
    </row>
    <row r="989" spans="6:6" x14ac:dyDescent="0.2">
      <c r="F989" s="264"/>
    </row>
    <row r="990" spans="6:6" x14ac:dyDescent="0.2">
      <c r="F990" s="264"/>
    </row>
    <row r="991" spans="6:6" x14ac:dyDescent="0.2">
      <c r="F991" s="264"/>
    </row>
    <row r="992" spans="6:6" x14ac:dyDescent="0.2">
      <c r="F992" s="264"/>
    </row>
    <row r="993" spans="6:6" x14ac:dyDescent="0.2">
      <c r="F993" s="264"/>
    </row>
    <row r="994" spans="6:6" x14ac:dyDescent="0.2">
      <c r="F994" s="264"/>
    </row>
    <row r="995" spans="6:6" x14ac:dyDescent="0.2">
      <c r="F995" s="264"/>
    </row>
    <row r="996" spans="6:6" x14ac:dyDescent="0.2">
      <c r="F996" s="264"/>
    </row>
    <row r="997" spans="6:6" x14ac:dyDescent="0.2">
      <c r="F997" s="264"/>
    </row>
    <row r="998" spans="6:6" x14ac:dyDescent="0.2">
      <c r="F998" s="264"/>
    </row>
    <row r="999" spans="6:6" x14ac:dyDescent="0.2">
      <c r="F999" s="264"/>
    </row>
    <row r="1000" spans="6:6" x14ac:dyDescent="0.2">
      <c r="F1000" s="264"/>
    </row>
    <row r="1001" spans="6:6" x14ac:dyDescent="0.2">
      <c r="F1001" s="264"/>
    </row>
    <row r="1002" spans="6:6" x14ac:dyDescent="0.2">
      <c r="F1002" s="264"/>
    </row>
    <row r="1003" spans="6:6" x14ac:dyDescent="0.2">
      <c r="F1003" s="264"/>
    </row>
    <row r="1004" spans="6:6" x14ac:dyDescent="0.2">
      <c r="F1004" s="264"/>
    </row>
    <row r="1005" spans="6:6" x14ac:dyDescent="0.2">
      <c r="F1005" s="264"/>
    </row>
    <row r="1006" spans="6:6" x14ac:dyDescent="0.2">
      <c r="F1006" s="264"/>
    </row>
    <row r="1007" spans="6:6" x14ac:dyDescent="0.2">
      <c r="F1007" s="264"/>
    </row>
    <row r="1008" spans="6:6" x14ac:dyDescent="0.2">
      <c r="F1008" s="264"/>
    </row>
    <row r="1009" spans="6:6" x14ac:dyDescent="0.2">
      <c r="F1009" s="264"/>
    </row>
    <row r="1010" spans="6:6" x14ac:dyDescent="0.2">
      <c r="F1010" s="264"/>
    </row>
    <row r="1011" spans="6:6" x14ac:dyDescent="0.2">
      <c r="F1011" s="264"/>
    </row>
    <row r="1012" spans="6:6" x14ac:dyDescent="0.2">
      <c r="F1012" s="264"/>
    </row>
    <row r="1013" spans="6:6" x14ac:dyDescent="0.2">
      <c r="F1013" s="264"/>
    </row>
    <row r="1014" spans="6:6" x14ac:dyDescent="0.2">
      <c r="F1014" s="264"/>
    </row>
    <row r="1015" spans="6:6" x14ac:dyDescent="0.2">
      <c r="F1015" s="264"/>
    </row>
    <row r="1016" spans="6:6" x14ac:dyDescent="0.2">
      <c r="F1016" s="264"/>
    </row>
    <row r="1017" spans="6:6" x14ac:dyDescent="0.2">
      <c r="F1017" s="264"/>
    </row>
    <row r="1018" spans="6:6" x14ac:dyDescent="0.2">
      <c r="F1018" s="264"/>
    </row>
    <row r="1019" spans="6:6" x14ac:dyDescent="0.2">
      <c r="F1019" s="264"/>
    </row>
    <row r="1020" spans="6:6" x14ac:dyDescent="0.2">
      <c r="F1020" s="264"/>
    </row>
    <row r="1021" spans="6:6" x14ac:dyDescent="0.2">
      <c r="F1021" s="264"/>
    </row>
    <row r="1022" spans="6:6" x14ac:dyDescent="0.2">
      <c r="F1022" s="264"/>
    </row>
    <row r="1023" spans="6:6" x14ac:dyDescent="0.2">
      <c r="F1023" s="264"/>
    </row>
    <row r="1024" spans="6:6" x14ac:dyDescent="0.2">
      <c r="F1024" s="264"/>
    </row>
    <row r="1025" spans="6:6" x14ac:dyDescent="0.2">
      <c r="F1025" s="264"/>
    </row>
    <row r="1026" spans="6:6" x14ac:dyDescent="0.2">
      <c r="F1026" s="264"/>
    </row>
    <row r="1027" spans="6:6" x14ac:dyDescent="0.2">
      <c r="F1027" s="264"/>
    </row>
    <row r="1028" spans="6:6" x14ac:dyDescent="0.2">
      <c r="F1028" s="264"/>
    </row>
    <row r="1029" spans="6:6" x14ac:dyDescent="0.2">
      <c r="F1029" s="264"/>
    </row>
    <row r="1030" spans="6:6" x14ac:dyDescent="0.2">
      <c r="F1030" s="264"/>
    </row>
    <row r="1031" spans="6:6" x14ac:dyDescent="0.2">
      <c r="F1031" s="264"/>
    </row>
    <row r="1032" spans="6:6" x14ac:dyDescent="0.2">
      <c r="F1032" s="264"/>
    </row>
    <row r="1033" spans="6:6" x14ac:dyDescent="0.2">
      <c r="F1033" s="264"/>
    </row>
    <row r="1034" spans="6:6" x14ac:dyDescent="0.2">
      <c r="F1034" s="264"/>
    </row>
    <row r="1035" spans="6:6" x14ac:dyDescent="0.2">
      <c r="F1035" s="264"/>
    </row>
    <row r="1036" spans="6:6" x14ac:dyDescent="0.2">
      <c r="F1036" s="264"/>
    </row>
    <row r="1037" spans="6:6" x14ac:dyDescent="0.2">
      <c r="F1037" s="264"/>
    </row>
    <row r="1038" spans="6:6" x14ac:dyDescent="0.2">
      <c r="F1038" s="264"/>
    </row>
    <row r="1039" spans="6:6" x14ac:dyDescent="0.2">
      <c r="F1039" s="264"/>
    </row>
    <row r="1040" spans="6:6" x14ac:dyDescent="0.2">
      <c r="F1040" s="264"/>
    </row>
    <row r="1041" spans="6:6" x14ac:dyDescent="0.2">
      <c r="F1041" s="264"/>
    </row>
    <row r="1042" spans="6:6" x14ac:dyDescent="0.2">
      <c r="F1042" s="264"/>
    </row>
    <row r="1043" spans="6:6" x14ac:dyDescent="0.2">
      <c r="F1043" s="264"/>
    </row>
    <row r="1044" spans="6:6" x14ac:dyDescent="0.2">
      <c r="F1044" s="264"/>
    </row>
    <row r="1045" spans="6:6" x14ac:dyDescent="0.2">
      <c r="F1045" s="264"/>
    </row>
    <row r="1046" spans="6:6" x14ac:dyDescent="0.2">
      <c r="F1046" s="264"/>
    </row>
    <row r="1047" spans="6:6" x14ac:dyDescent="0.2">
      <c r="F1047" s="264"/>
    </row>
    <row r="1048" spans="6:6" x14ac:dyDescent="0.2">
      <c r="F1048" s="264"/>
    </row>
    <row r="1049" spans="6:6" x14ac:dyDescent="0.2">
      <c r="F1049" s="264"/>
    </row>
    <row r="1050" spans="6:6" x14ac:dyDescent="0.2">
      <c r="F1050" s="264"/>
    </row>
    <row r="1051" spans="6:6" x14ac:dyDescent="0.2">
      <c r="F1051" s="264"/>
    </row>
    <row r="1052" spans="6:6" x14ac:dyDescent="0.2">
      <c r="F1052" s="264"/>
    </row>
    <row r="1053" spans="6:6" x14ac:dyDescent="0.2">
      <c r="F1053" s="264"/>
    </row>
    <row r="1054" spans="6:6" x14ac:dyDescent="0.2">
      <c r="F1054" s="264"/>
    </row>
    <row r="1055" spans="6:6" x14ac:dyDescent="0.2">
      <c r="F1055" s="264"/>
    </row>
    <row r="1056" spans="6:6" x14ac:dyDescent="0.2">
      <c r="F1056" s="264"/>
    </row>
    <row r="1057" spans="6:6" x14ac:dyDescent="0.2">
      <c r="F1057" s="264"/>
    </row>
    <row r="1058" spans="6:6" x14ac:dyDescent="0.2">
      <c r="F1058" s="264"/>
    </row>
    <row r="1059" spans="6:6" x14ac:dyDescent="0.2">
      <c r="F1059" s="264"/>
    </row>
    <row r="1060" spans="6:6" x14ac:dyDescent="0.2">
      <c r="F1060" s="264"/>
    </row>
    <row r="1061" spans="6:6" x14ac:dyDescent="0.2">
      <c r="F1061" s="264"/>
    </row>
    <row r="1062" spans="6:6" x14ac:dyDescent="0.2">
      <c r="F1062" s="264"/>
    </row>
    <row r="1063" spans="6:6" x14ac:dyDescent="0.2">
      <c r="F1063" s="264"/>
    </row>
    <row r="1064" spans="6:6" x14ac:dyDescent="0.2">
      <c r="F1064" s="264"/>
    </row>
    <row r="1065" spans="6:6" x14ac:dyDescent="0.2">
      <c r="F1065" s="264"/>
    </row>
    <row r="1066" spans="6:6" x14ac:dyDescent="0.2">
      <c r="F1066" s="264"/>
    </row>
    <row r="1067" spans="6:6" x14ac:dyDescent="0.2">
      <c r="F1067" s="264"/>
    </row>
    <row r="1068" spans="6:6" x14ac:dyDescent="0.2">
      <c r="F1068" s="264"/>
    </row>
    <row r="1069" spans="6:6" x14ac:dyDescent="0.2">
      <c r="F1069" s="264"/>
    </row>
    <row r="1070" spans="6:6" x14ac:dyDescent="0.2">
      <c r="F1070" s="264"/>
    </row>
    <row r="1071" spans="6:6" x14ac:dyDescent="0.2">
      <c r="F1071" s="264"/>
    </row>
    <row r="1072" spans="6:6" x14ac:dyDescent="0.2">
      <c r="F1072" s="264"/>
    </row>
    <row r="1073" spans="6:6" x14ac:dyDescent="0.2">
      <c r="F1073" s="264"/>
    </row>
    <row r="1074" spans="6:6" x14ac:dyDescent="0.2">
      <c r="F1074" s="264"/>
    </row>
    <row r="1075" spans="6:6" x14ac:dyDescent="0.2">
      <c r="F1075" s="264"/>
    </row>
    <row r="1076" spans="6:6" x14ac:dyDescent="0.2">
      <c r="F1076" s="264"/>
    </row>
    <row r="1077" spans="6:6" x14ac:dyDescent="0.2">
      <c r="F1077" s="264"/>
    </row>
    <row r="1078" spans="6:6" x14ac:dyDescent="0.2">
      <c r="F1078" s="264"/>
    </row>
    <row r="1079" spans="6:6" x14ac:dyDescent="0.2">
      <c r="F1079" s="264"/>
    </row>
    <row r="1080" spans="6:6" x14ac:dyDescent="0.2">
      <c r="F1080" s="264"/>
    </row>
    <row r="1081" spans="6:6" x14ac:dyDescent="0.2">
      <c r="F1081" s="264"/>
    </row>
    <row r="1082" spans="6:6" x14ac:dyDescent="0.2">
      <c r="F1082" s="264"/>
    </row>
    <row r="1083" spans="6:6" x14ac:dyDescent="0.2">
      <c r="F1083" s="264"/>
    </row>
    <row r="1084" spans="6:6" x14ac:dyDescent="0.2">
      <c r="F1084" s="264"/>
    </row>
    <row r="1085" spans="6:6" x14ac:dyDescent="0.2">
      <c r="F1085" s="264"/>
    </row>
    <row r="1086" spans="6:6" x14ac:dyDescent="0.2">
      <c r="F1086" s="264"/>
    </row>
    <row r="1087" spans="6:6" x14ac:dyDescent="0.2">
      <c r="F1087" s="264"/>
    </row>
    <row r="1088" spans="6:6" x14ac:dyDescent="0.2">
      <c r="F1088" s="264"/>
    </row>
    <row r="1089" spans="6:6" x14ac:dyDescent="0.2">
      <c r="F1089" s="264"/>
    </row>
    <row r="1090" spans="6:6" x14ac:dyDescent="0.2">
      <c r="F1090" s="264"/>
    </row>
    <row r="1091" spans="6:6" x14ac:dyDescent="0.2">
      <c r="F1091" s="264"/>
    </row>
    <row r="1092" spans="6:6" x14ac:dyDescent="0.2">
      <c r="F1092" s="264"/>
    </row>
    <row r="1093" spans="6:6" x14ac:dyDescent="0.2">
      <c r="F1093" s="264"/>
    </row>
    <row r="1094" spans="6:6" x14ac:dyDescent="0.2">
      <c r="F1094" s="264"/>
    </row>
    <row r="1095" spans="6:6" x14ac:dyDescent="0.2">
      <c r="F1095" s="264"/>
    </row>
    <row r="1096" spans="6:6" x14ac:dyDescent="0.2">
      <c r="F1096" s="264"/>
    </row>
    <row r="1097" spans="6:6" x14ac:dyDescent="0.2">
      <c r="F1097" s="264"/>
    </row>
    <row r="1098" spans="6:6" x14ac:dyDescent="0.2">
      <c r="F1098" s="264"/>
    </row>
    <row r="1099" spans="6:6" x14ac:dyDescent="0.2">
      <c r="F1099" s="264"/>
    </row>
    <row r="1100" spans="6:6" x14ac:dyDescent="0.2">
      <c r="F1100" s="264"/>
    </row>
    <row r="1101" spans="6:6" x14ac:dyDescent="0.2">
      <c r="F1101" s="264"/>
    </row>
    <row r="1102" spans="6:6" x14ac:dyDescent="0.2">
      <c r="F1102" s="264"/>
    </row>
    <row r="1103" spans="6:6" x14ac:dyDescent="0.2">
      <c r="F1103" s="264"/>
    </row>
    <row r="1104" spans="6:6" x14ac:dyDescent="0.2">
      <c r="F1104" s="264"/>
    </row>
    <row r="1105" spans="6:6" x14ac:dyDescent="0.2">
      <c r="F1105" s="264"/>
    </row>
    <row r="1106" spans="6:6" x14ac:dyDescent="0.2">
      <c r="F1106" s="264"/>
    </row>
    <row r="1107" spans="6:6" x14ac:dyDescent="0.2">
      <c r="F1107" s="264"/>
    </row>
    <row r="1108" spans="6:6" x14ac:dyDescent="0.2">
      <c r="F1108" s="264"/>
    </row>
    <row r="1109" spans="6:6" x14ac:dyDescent="0.2">
      <c r="F1109" s="264"/>
    </row>
    <row r="1110" spans="6:6" x14ac:dyDescent="0.2">
      <c r="F1110" s="264"/>
    </row>
    <row r="1111" spans="6:6" x14ac:dyDescent="0.2">
      <c r="F1111" s="264"/>
    </row>
    <row r="1112" spans="6:6" x14ac:dyDescent="0.2">
      <c r="F1112" s="264"/>
    </row>
    <row r="1113" spans="6:6" x14ac:dyDescent="0.2">
      <c r="F1113" s="264"/>
    </row>
    <row r="1114" spans="6:6" x14ac:dyDescent="0.2">
      <c r="F1114" s="264"/>
    </row>
    <row r="1115" spans="6:6" x14ac:dyDescent="0.2">
      <c r="F1115" s="264"/>
    </row>
    <row r="1116" spans="6:6" x14ac:dyDescent="0.2">
      <c r="F1116" s="264"/>
    </row>
    <row r="1117" spans="6:6" x14ac:dyDescent="0.2">
      <c r="F1117" s="264"/>
    </row>
    <row r="1118" spans="6:6" x14ac:dyDescent="0.2">
      <c r="F1118" s="264"/>
    </row>
    <row r="1119" spans="6:6" x14ac:dyDescent="0.2">
      <c r="F1119" s="264"/>
    </row>
    <row r="1120" spans="6:6" x14ac:dyDescent="0.2">
      <c r="F1120" s="264"/>
    </row>
    <row r="1121" spans="6:6" x14ac:dyDescent="0.2">
      <c r="F1121" s="264"/>
    </row>
    <row r="1122" spans="6:6" x14ac:dyDescent="0.2">
      <c r="F1122" s="264"/>
    </row>
    <row r="1123" spans="6:6" x14ac:dyDescent="0.2">
      <c r="F1123" s="264"/>
    </row>
    <row r="1124" spans="6:6" x14ac:dyDescent="0.2">
      <c r="F1124" s="264"/>
    </row>
    <row r="1125" spans="6:6" x14ac:dyDescent="0.2">
      <c r="F1125" s="264"/>
    </row>
    <row r="1126" spans="6:6" x14ac:dyDescent="0.2">
      <c r="F1126" s="264"/>
    </row>
    <row r="1127" spans="6:6" x14ac:dyDescent="0.2">
      <c r="F1127" s="264"/>
    </row>
    <row r="1128" spans="6:6" x14ac:dyDescent="0.2">
      <c r="F1128" s="264"/>
    </row>
    <row r="1129" spans="6:6" x14ac:dyDescent="0.2">
      <c r="F1129" s="264"/>
    </row>
    <row r="1130" spans="6:6" x14ac:dyDescent="0.2">
      <c r="F1130" s="264"/>
    </row>
    <row r="1131" spans="6:6" x14ac:dyDescent="0.2">
      <c r="F1131" s="264"/>
    </row>
    <row r="1132" spans="6:6" x14ac:dyDescent="0.2">
      <c r="F1132" s="264"/>
    </row>
    <row r="1133" spans="6:6" x14ac:dyDescent="0.2">
      <c r="F1133" s="264"/>
    </row>
    <row r="1134" spans="6:6" x14ac:dyDescent="0.2">
      <c r="F1134" s="264"/>
    </row>
    <row r="1135" spans="6:6" x14ac:dyDescent="0.2">
      <c r="F1135" s="264"/>
    </row>
    <row r="1136" spans="6:6" x14ac:dyDescent="0.2">
      <c r="F1136" s="264"/>
    </row>
    <row r="1137" spans="6:6" x14ac:dyDescent="0.2">
      <c r="F1137" s="264"/>
    </row>
    <row r="1138" spans="6:6" x14ac:dyDescent="0.2">
      <c r="F1138" s="264"/>
    </row>
    <row r="1139" spans="6:6" x14ac:dyDescent="0.2">
      <c r="F1139" s="264"/>
    </row>
    <row r="1140" spans="6:6" x14ac:dyDescent="0.2">
      <c r="F1140" s="264"/>
    </row>
    <row r="1141" spans="6:6" x14ac:dyDescent="0.2">
      <c r="F1141" s="264"/>
    </row>
    <row r="1142" spans="6:6" x14ac:dyDescent="0.2">
      <c r="F1142" s="264"/>
    </row>
    <row r="1143" spans="6:6" x14ac:dyDescent="0.2">
      <c r="F1143" s="264"/>
    </row>
    <row r="1144" spans="6:6" x14ac:dyDescent="0.2">
      <c r="F1144" s="264"/>
    </row>
    <row r="1145" spans="6:6" x14ac:dyDescent="0.2">
      <c r="F1145" s="264"/>
    </row>
    <row r="1146" spans="6:6" x14ac:dyDescent="0.2">
      <c r="F1146" s="264"/>
    </row>
    <row r="1147" spans="6:6" x14ac:dyDescent="0.2">
      <c r="F1147" s="264"/>
    </row>
    <row r="1148" spans="6:6" x14ac:dyDescent="0.2">
      <c r="F1148" s="264"/>
    </row>
    <row r="1149" spans="6:6" x14ac:dyDescent="0.2">
      <c r="F1149" s="264"/>
    </row>
    <row r="1150" spans="6:6" x14ac:dyDescent="0.2">
      <c r="F1150" s="264"/>
    </row>
    <row r="1151" spans="6:6" x14ac:dyDescent="0.2">
      <c r="F1151" s="264"/>
    </row>
    <row r="1152" spans="6:6" x14ac:dyDescent="0.2">
      <c r="F1152" s="264"/>
    </row>
    <row r="1153" spans="6:6" x14ac:dyDescent="0.2">
      <c r="F1153" s="264"/>
    </row>
    <row r="1154" spans="6:6" x14ac:dyDescent="0.2">
      <c r="F1154" s="264"/>
    </row>
    <row r="1155" spans="6:6" x14ac:dyDescent="0.2">
      <c r="F1155" s="264"/>
    </row>
    <row r="1156" spans="6:6" x14ac:dyDescent="0.2">
      <c r="F1156" s="264"/>
    </row>
    <row r="1157" spans="6:6" x14ac:dyDescent="0.2">
      <c r="F1157" s="264"/>
    </row>
    <row r="1158" spans="6:6" x14ac:dyDescent="0.2">
      <c r="F1158" s="264"/>
    </row>
    <row r="1159" spans="6:6" x14ac:dyDescent="0.2">
      <c r="F1159" s="264"/>
    </row>
    <row r="1160" spans="6:6" x14ac:dyDescent="0.2">
      <c r="F1160" s="264"/>
    </row>
    <row r="1161" spans="6:6" x14ac:dyDescent="0.2">
      <c r="F1161" s="264"/>
    </row>
    <row r="1162" spans="6:6" x14ac:dyDescent="0.2">
      <c r="F1162" s="264"/>
    </row>
    <row r="1163" spans="6:6" x14ac:dyDescent="0.2">
      <c r="F1163" s="264"/>
    </row>
    <row r="1164" spans="6:6" x14ac:dyDescent="0.2">
      <c r="F1164" s="264"/>
    </row>
    <row r="1165" spans="6:6" x14ac:dyDescent="0.2">
      <c r="F1165" s="264"/>
    </row>
    <row r="1166" spans="6:6" x14ac:dyDescent="0.2">
      <c r="F1166" s="264"/>
    </row>
    <row r="1167" spans="6:6" x14ac:dyDescent="0.2">
      <c r="F1167" s="264"/>
    </row>
    <row r="1168" spans="6:6" x14ac:dyDescent="0.2">
      <c r="F1168" s="264"/>
    </row>
    <row r="1169" spans="6:6" x14ac:dyDescent="0.2">
      <c r="F1169" s="264"/>
    </row>
    <row r="1170" spans="6:6" x14ac:dyDescent="0.2">
      <c r="F1170" s="264"/>
    </row>
    <row r="1171" spans="6:6" x14ac:dyDescent="0.2">
      <c r="F1171" s="264"/>
    </row>
    <row r="1172" spans="6:6" x14ac:dyDescent="0.2">
      <c r="F1172" s="264"/>
    </row>
    <row r="1173" spans="6:6" x14ac:dyDescent="0.2">
      <c r="F1173" s="264"/>
    </row>
    <row r="1174" spans="6:6" x14ac:dyDescent="0.2">
      <c r="F1174" s="264"/>
    </row>
    <row r="1175" spans="6:6" x14ac:dyDescent="0.2">
      <c r="F1175" s="264"/>
    </row>
    <row r="1176" spans="6:6" x14ac:dyDescent="0.2">
      <c r="F1176" s="264"/>
    </row>
    <row r="1177" spans="6:6" x14ac:dyDescent="0.2">
      <c r="F1177" s="264"/>
    </row>
    <row r="1178" spans="6:6" x14ac:dyDescent="0.2">
      <c r="F1178" s="264"/>
    </row>
    <row r="1179" spans="6:6" x14ac:dyDescent="0.2">
      <c r="F1179" s="264"/>
    </row>
    <row r="1180" spans="6:6" x14ac:dyDescent="0.2">
      <c r="F1180" s="264"/>
    </row>
    <row r="1181" spans="6:6" x14ac:dyDescent="0.2">
      <c r="F1181" s="264"/>
    </row>
    <row r="1182" spans="6:6" x14ac:dyDescent="0.2">
      <c r="F1182" s="264"/>
    </row>
    <row r="1183" spans="6:6" x14ac:dyDescent="0.2">
      <c r="F1183" s="264"/>
    </row>
    <row r="1184" spans="6:6" x14ac:dyDescent="0.2">
      <c r="F1184" s="264"/>
    </row>
    <row r="1185" spans="6:6" x14ac:dyDescent="0.2">
      <c r="F1185" s="264"/>
    </row>
    <row r="1186" spans="6:6" x14ac:dyDescent="0.2">
      <c r="F1186" s="264"/>
    </row>
    <row r="1187" spans="6:6" x14ac:dyDescent="0.2">
      <c r="F1187" s="264"/>
    </row>
    <row r="1188" spans="6:6" x14ac:dyDescent="0.2">
      <c r="F1188" s="264"/>
    </row>
    <row r="1189" spans="6:6" x14ac:dyDescent="0.2">
      <c r="F1189" s="264"/>
    </row>
    <row r="1190" spans="6:6" x14ac:dyDescent="0.2">
      <c r="F1190" s="264"/>
    </row>
    <row r="1191" spans="6:6" x14ac:dyDescent="0.2">
      <c r="F1191" s="264"/>
    </row>
    <row r="1192" spans="6:6" x14ac:dyDescent="0.2">
      <c r="F1192" s="264"/>
    </row>
    <row r="1193" spans="6:6" x14ac:dyDescent="0.2">
      <c r="F1193" s="264"/>
    </row>
    <row r="1194" spans="6:6" x14ac:dyDescent="0.2">
      <c r="F1194" s="264"/>
    </row>
    <row r="1195" spans="6:6" x14ac:dyDescent="0.2">
      <c r="F1195" s="264"/>
    </row>
    <row r="1196" spans="6:6" x14ac:dyDescent="0.2">
      <c r="F1196" s="264"/>
    </row>
    <row r="1197" spans="6:6" x14ac:dyDescent="0.2">
      <c r="F1197" s="264"/>
    </row>
    <row r="1198" spans="6:6" x14ac:dyDescent="0.2">
      <c r="F1198" s="264"/>
    </row>
    <row r="1199" spans="6:6" x14ac:dyDescent="0.2">
      <c r="F1199" s="264"/>
    </row>
    <row r="1200" spans="6:6" x14ac:dyDescent="0.2">
      <c r="F1200" s="264"/>
    </row>
    <row r="1201" spans="6:6" x14ac:dyDescent="0.2">
      <c r="F1201" s="264"/>
    </row>
    <row r="1202" spans="6:6" x14ac:dyDescent="0.2">
      <c r="F1202" s="264"/>
    </row>
    <row r="1203" spans="6:6" x14ac:dyDescent="0.2">
      <c r="F1203" s="264"/>
    </row>
    <row r="1204" spans="6:6" x14ac:dyDescent="0.2">
      <c r="F1204" s="264"/>
    </row>
    <row r="1205" spans="6:6" x14ac:dyDescent="0.2">
      <c r="F1205" s="264"/>
    </row>
    <row r="1206" spans="6:6" x14ac:dyDescent="0.2">
      <c r="F1206" s="264"/>
    </row>
    <row r="1207" spans="6:6" x14ac:dyDescent="0.2">
      <c r="F1207" s="264"/>
    </row>
    <row r="1208" spans="6:6" x14ac:dyDescent="0.2">
      <c r="F1208" s="264"/>
    </row>
    <row r="1209" spans="6:6" x14ac:dyDescent="0.2">
      <c r="F1209" s="264"/>
    </row>
    <row r="1210" spans="6:6" x14ac:dyDescent="0.2">
      <c r="F1210" s="264"/>
    </row>
    <row r="1211" spans="6:6" x14ac:dyDescent="0.2">
      <c r="F1211" s="264"/>
    </row>
    <row r="1212" spans="6:6" x14ac:dyDescent="0.2">
      <c r="F1212" s="264"/>
    </row>
    <row r="1213" spans="6:6" x14ac:dyDescent="0.2">
      <c r="F1213" s="264"/>
    </row>
    <row r="1214" spans="6:6" x14ac:dyDescent="0.2">
      <c r="F1214" s="264"/>
    </row>
    <row r="1215" spans="6:6" x14ac:dyDescent="0.2">
      <c r="F1215" s="264"/>
    </row>
    <row r="1216" spans="6:6" x14ac:dyDescent="0.2">
      <c r="F1216" s="264"/>
    </row>
    <row r="1217" spans="6:6" x14ac:dyDescent="0.2">
      <c r="F1217" s="264"/>
    </row>
    <row r="1218" spans="6:6" x14ac:dyDescent="0.2">
      <c r="F1218" s="264"/>
    </row>
    <row r="1219" spans="6:6" x14ac:dyDescent="0.2">
      <c r="F1219" s="264"/>
    </row>
    <row r="1220" spans="6:6" x14ac:dyDescent="0.2">
      <c r="F1220" s="264"/>
    </row>
    <row r="1221" spans="6:6" x14ac:dyDescent="0.2">
      <c r="F1221" s="264"/>
    </row>
    <row r="1222" spans="6:6" x14ac:dyDescent="0.2">
      <c r="F1222" s="264"/>
    </row>
    <row r="1223" spans="6:6" x14ac:dyDescent="0.2">
      <c r="F1223" s="264"/>
    </row>
    <row r="1224" spans="6:6" x14ac:dyDescent="0.2">
      <c r="F1224" s="264"/>
    </row>
    <row r="1225" spans="6:6" x14ac:dyDescent="0.2">
      <c r="F1225" s="264"/>
    </row>
    <row r="1226" spans="6:6" x14ac:dyDescent="0.2">
      <c r="F1226" s="264"/>
    </row>
    <row r="1227" spans="6:6" x14ac:dyDescent="0.2">
      <c r="F1227" s="264"/>
    </row>
    <row r="1228" spans="6:6" x14ac:dyDescent="0.2">
      <c r="F1228" s="264"/>
    </row>
    <row r="1229" spans="6:6" x14ac:dyDescent="0.2">
      <c r="F1229" s="264"/>
    </row>
    <row r="1230" spans="6:6" x14ac:dyDescent="0.2">
      <c r="F1230" s="264"/>
    </row>
    <row r="1231" spans="6:6" x14ac:dyDescent="0.2">
      <c r="F1231" s="264"/>
    </row>
    <row r="1232" spans="6:6" x14ac:dyDescent="0.2">
      <c r="F1232" s="264"/>
    </row>
    <row r="1233" spans="6:6" x14ac:dyDescent="0.2">
      <c r="F1233" s="264"/>
    </row>
    <row r="1234" spans="6:6" x14ac:dyDescent="0.2">
      <c r="F1234" s="264"/>
    </row>
    <row r="1235" spans="6:6" x14ac:dyDescent="0.2">
      <c r="F1235" s="264"/>
    </row>
    <row r="1236" spans="6:6" x14ac:dyDescent="0.2">
      <c r="F1236" s="264"/>
    </row>
    <row r="1237" spans="6:6" x14ac:dyDescent="0.2">
      <c r="F1237" s="264"/>
    </row>
    <row r="1238" spans="6:6" x14ac:dyDescent="0.2">
      <c r="F1238" s="264"/>
    </row>
    <row r="1239" spans="6:6" x14ac:dyDescent="0.2">
      <c r="F1239" s="264"/>
    </row>
    <row r="1240" spans="6:6" x14ac:dyDescent="0.2">
      <c r="F1240" s="264"/>
    </row>
    <row r="1241" spans="6:6" x14ac:dyDescent="0.2">
      <c r="F1241" s="264"/>
    </row>
    <row r="1242" spans="6:6" x14ac:dyDescent="0.2">
      <c r="F1242" s="264"/>
    </row>
    <row r="1243" spans="6:6" x14ac:dyDescent="0.2">
      <c r="F1243" s="264"/>
    </row>
    <row r="1244" spans="6:6" x14ac:dyDescent="0.2">
      <c r="F1244" s="264"/>
    </row>
    <row r="1245" spans="6:6" x14ac:dyDescent="0.2">
      <c r="F1245" s="264"/>
    </row>
    <row r="1246" spans="6:6" x14ac:dyDescent="0.2">
      <c r="F1246" s="264"/>
    </row>
    <row r="1247" spans="6:6" x14ac:dyDescent="0.2">
      <c r="F1247" s="264"/>
    </row>
    <row r="1248" spans="6:6" x14ac:dyDescent="0.2">
      <c r="F1248" s="264"/>
    </row>
    <row r="1249" spans="6:6" x14ac:dyDescent="0.2">
      <c r="F1249" s="264"/>
    </row>
    <row r="1250" spans="6:6" x14ac:dyDescent="0.2">
      <c r="F1250" s="264"/>
    </row>
    <row r="1251" spans="6:6" x14ac:dyDescent="0.2">
      <c r="F1251" s="264"/>
    </row>
    <row r="1252" spans="6:6" x14ac:dyDescent="0.2">
      <c r="F1252" s="264"/>
    </row>
    <row r="1253" spans="6:6" x14ac:dyDescent="0.2">
      <c r="F1253" s="264"/>
    </row>
    <row r="1254" spans="6:6" x14ac:dyDescent="0.2">
      <c r="F1254" s="264"/>
    </row>
    <row r="1255" spans="6:6" x14ac:dyDescent="0.2">
      <c r="F1255" s="264"/>
    </row>
    <row r="1256" spans="6:6" x14ac:dyDescent="0.2">
      <c r="F1256" s="264"/>
    </row>
    <row r="1257" spans="6:6" x14ac:dyDescent="0.2">
      <c r="F1257" s="264"/>
    </row>
    <row r="1258" spans="6:6" x14ac:dyDescent="0.2">
      <c r="F1258" s="264"/>
    </row>
    <row r="1259" spans="6:6" x14ac:dyDescent="0.2">
      <c r="F1259" s="264"/>
    </row>
    <row r="1260" spans="6:6" x14ac:dyDescent="0.2">
      <c r="F1260" s="264"/>
    </row>
    <row r="1261" spans="6:6" x14ac:dyDescent="0.2">
      <c r="F1261" s="264"/>
    </row>
    <row r="1262" spans="6:6" x14ac:dyDescent="0.2">
      <c r="F1262" s="264"/>
    </row>
    <row r="1263" spans="6:6" x14ac:dyDescent="0.2">
      <c r="F1263" s="264"/>
    </row>
    <row r="1264" spans="6:6" x14ac:dyDescent="0.2">
      <c r="F1264" s="264"/>
    </row>
    <row r="1265" spans="6:6" x14ac:dyDescent="0.2">
      <c r="F1265" s="264"/>
    </row>
    <row r="1266" spans="6:6" x14ac:dyDescent="0.2">
      <c r="F1266" s="264"/>
    </row>
    <row r="1267" spans="6:6" x14ac:dyDescent="0.2">
      <c r="F1267" s="264"/>
    </row>
    <row r="1268" spans="6:6" x14ac:dyDescent="0.2">
      <c r="F1268" s="264"/>
    </row>
    <row r="1269" spans="6:6" x14ac:dyDescent="0.2">
      <c r="F1269" s="264"/>
    </row>
    <row r="1270" spans="6:6" x14ac:dyDescent="0.2">
      <c r="F1270" s="264"/>
    </row>
    <row r="1271" spans="6:6" x14ac:dyDescent="0.2">
      <c r="F1271" s="264"/>
    </row>
    <row r="1272" spans="6:6" x14ac:dyDescent="0.2">
      <c r="F1272" s="264"/>
    </row>
    <row r="1273" spans="6:6" x14ac:dyDescent="0.2">
      <c r="F1273" s="264"/>
    </row>
    <row r="1274" spans="6:6" x14ac:dyDescent="0.2">
      <c r="F1274" s="264"/>
    </row>
    <row r="1275" spans="6:6" x14ac:dyDescent="0.2">
      <c r="F1275" s="264"/>
    </row>
    <row r="1276" spans="6:6" x14ac:dyDescent="0.2">
      <c r="F1276" s="264"/>
    </row>
    <row r="1277" spans="6:6" x14ac:dyDescent="0.2">
      <c r="F1277" s="264"/>
    </row>
    <row r="1278" spans="6:6" x14ac:dyDescent="0.2">
      <c r="F1278" s="264"/>
    </row>
    <row r="1279" spans="6:6" x14ac:dyDescent="0.2">
      <c r="F1279" s="264"/>
    </row>
    <row r="1280" spans="6:6" x14ac:dyDescent="0.2">
      <c r="F1280" s="264"/>
    </row>
    <row r="1281" spans="6:6" x14ac:dyDescent="0.2">
      <c r="F1281" s="264"/>
    </row>
    <row r="1282" spans="6:6" x14ac:dyDescent="0.2">
      <c r="F1282" s="264"/>
    </row>
    <row r="1283" spans="6:6" x14ac:dyDescent="0.2">
      <c r="F1283" s="264"/>
    </row>
    <row r="1284" spans="6:6" x14ac:dyDescent="0.2">
      <c r="F1284" s="264"/>
    </row>
    <row r="1285" spans="6:6" x14ac:dyDescent="0.2">
      <c r="F1285" s="264"/>
    </row>
    <row r="1286" spans="6:6" x14ac:dyDescent="0.2">
      <c r="F1286" s="264"/>
    </row>
    <row r="1287" spans="6:6" x14ac:dyDescent="0.2">
      <c r="F1287" s="264"/>
    </row>
    <row r="1288" spans="6:6" x14ac:dyDescent="0.2">
      <c r="F1288" s="264"/>
    </row>
    <row r="1289" spans="6:6" x14ac:dyDescent="0.2">
      <c r="F1289" s="264"/>
    </row>
    <row r="1290" spans="6:6" x14ac:dyDescent="0.2">
      <c r="F1290" s="264"/>
    </row>
    <row r="1291" spans="6:6" x14ac:dyDescent="0.2">
      <c r="F1291" s="264"/>
    </row>
    <row r="1292" spans="6:6" x14ac:dyDescent="0.2">
      <c r="F1292" s="264"/>
    </row>
    <row r="1293" spans="6:6" x14ac:dyDescent="0.2">
      <c r="F1293" s="264"/>
    </row>
    <row r="1294" spans="6:6" x14ac:dyDescent="0.2">
      <c r="F1294" s="264"/>
    </row>
    <row r="1295" spans="6:6" x14ac:dyDescent="0.2">
      <c r="F1295" s="264"/>
    </row>
    <row r="1296" spans="6:6" x14ac:dyDescent="0.2">
      <c r="F1296" s="264"/>
    </row>
    <row r="1297" spans="6:6" x14ac:dyDescent="0.2">
      <c r="F1297" s="264"/>
    </row>
    <row r="1298" spans="6:6" x14ac:dyDescent="0.2">
      <c r="F1298" s="264"/>
    </row>
    <row r="1299" spans="6:6" x14ac:dyDescent="0.2">
      <c r="F1299" s="264"/>
    </row>
    <row r="1300" spans="6:6" x14ac:dyDescent="0.2">
      <c r="F1300" s="264"/>
    </row>
    <row r="1301" spans="6:6" x14ac:dyDescent="0.2">
      <c r="F1301" s="264"/>
    </row>
    <row r="1302" spans="6:6" x14ac:dyDescent="0.2">
      <c r="F1302" s="264"/>
    </row>
    <row r="1303" spans="6:6" x14ac:dyDescent="0.2">
      <c r="F1303" s="264"/>
    </row>
    <row r="1304" spans="6:6" x14ac:dyDescent="0.2">
      <c r="F1304" s="264"/>
    </row>
    <row r="1305" spans="6:6" x14ac:dyDescent="0.2">
      <c r="F1305" s="264"/>
    </row>
    <row r="1306" spans="6:6" x14ac:dyDescent="0.2">
      <c r="F1306" s="264"/>
    </row>
    <row r="1307" spans="6:6" x14ac:dyDescent="0.2">
      <c r="F1307" s="264"/>
    </row>
    <row r="1308" spans="6:6" x14ac:dyDescent="0.2">
      <c r="F1308" s="264"/>
    </row>
    <row r="1309" spans="6:6" x14ac:dyDescent="0.2">
      <c r="F1309" s="264"/>
    </row>
    <row r="1310" spans="6:6" x14ac:dyDescent="0.2">
      <c r="F1310" s="264"/>
    </row>
    <row r="1311" spans="6:6" x14ac:dyDescent="0.2">
      <c r="F1311" s="264"/>
    </row>
    <row r="1312" spans="6:6" x14ac:dyDescent="0.2">
      <c r="F1312" s="264"/>
    </row>
    <row r="1313" spans="6:6" x14ac:dyDescent="0.2">
      <c r="F1313" s="264"/>
    </row>
    <row r="1314" spans="6:6" x14ac:dyDescent="0.2">
      <c r="F1314" s="264"/>
    </row>
    <row r="1315" spans="6:6" x14ac:dyDescent="0.2">
      <c r="F1315" s="264"/>
    </row>
    <row r="1316" spans="6:6" x14ac:dyDescent="0.2">
      <c r="F1316" s="264"/>
    </row>
    <row r="1317" spans="6:6" x14ac:dyDescent="0.2">
      <c r="F1317" s="264"/>
    </row>
    <row r="1318" spans="6:6" x14ac:dyDescent="0.2">
      <c r="F1318" s="264"/>
    </row>
    <row r="1319" spans="6:6" x14ac:dyDescent="0.2">
      <c r="F1319" s="264"/>
    </row>
    <row r="1320" spans="6:6" x14ac:dyDescent="0.2">
      <c r="F1320" s="264"/>
    </row>
    <row r="1321" spans="6:6" x14ac:dyDescent="0.2">
      <c r="F1321" s="264"/>
    </row>
    <row r="1322" spans="6:6" x14ac:dyDescent="0.2">
      <c r="F1322" s="264"/>
    </row>
    <row r="1323" spans="6:6" x14ac:dyDescent="0.2">
      <c r="F1323" s="264"/>
    </row>
    <row r="1324" spans="6:6" x14ac:dyDescent="0.2">
      <c r="F1324" s="264"/>
    </row>
    <row r="1325" spans="6:6" x14ac:dyDescent="0.2">
      <c r="F1325" s="264"/>
    </row>
    <row r="1326" spans="6:6" x14ac:dyDescent="0.2">
      <c r="F1326" s="264"/>
    </row>
    <row r="1327" spans="6:6" x14ac:dyDescent="0.2">
      <c r="F1327" s="264"/>
    </row>
    <row r="1328" spans="6:6" x14ac:dyDescent="0.2">
      <c r="F1328" s="264"/>
    </row>
    <row r="1329" spans="6:6" x14ac:dyDescent="0.2">
      <c r="F1329" s="264"/>
    </row>
    <row r="1330" spans="6:6" x14ac:dyDescent="0.2">
      <c r="F1330" s="264"/>
    </row>
    <row r="1331" spans="6:6" x14ac:dyDescent="0.2">
      <c r="F1331" s="264"/>
    </row>
    <row r="1332" spans="6:6" x14ac:dyDescent="0.2">
      <c r="F1332" s="264"/>
    </row>
    <row r="1333" spans="6:6" x14ac:dyDescent="0.2">
      <c r="F1333" s="264"/>
    </row>
    <row r="1334" spans="6:6" x14ac:dyDescent="0.2">
      <c r="F1334" s="264"/>
    </row>
    <row r="1335" spans="6:6" x14ac:dyDescent="0.2">
      <c r="F1335" s="264"/>
    </row>
    <row r="1336" spans="6:6" x14ac:dyDescent="0.2">
      <c r="F1336" s="264"/>
    </row>
    <row r="1337" spans="6:6" x14ac:dyDescent="0.2">
      <c r="F1337" s="264"/>
    </row>
    <row r="1338" spans="6:6" x14ac:dyDescent="0.2">
      <c r="F1338" s="264"/>
    </row>
    <row r="1339" spans="6:6" x14ac:dyDescent="0.2">
      <c r="F1339" s="264"/>
    </row>
    <row r="1340" spans="6:6" x14ac:dyDescent="0.2">
      <c r="F1340" s="264"/>
    </row>
    <row r="1341" spans="6:6" x14ac:dyDescent="0.2">
      <c r="F1341" s="264"/>
    </row>
    <row r="1342" spans="6:6" x14ac:dyDescent="0.2">
      <c r="F1342" s="264"/>
    </row>
    <row r="1343" spans="6:6" x14ac:dyDescent="0.2">
      <c r="F1343" s="264"/>
    </row>
    <row r="1344" spans="6:6" x14ac:dyDescent="0.2">
      <c r="F1344" s="264"/>
    </row>
    <row r="1345" spans="6:6" x14ac:dyDescent="0.2">
      <c r="F1345" s="264"/>
    </row>
    <row r="1346" spans="6:6" x14ac:dyDescent="0.2">
      <c r="F1346" s="264"/>
    </row>
    <row r="1347" spans="6:6" x14ac:dyDescent="0.2">
      <c r="F1347" s="264"/>
    </row>
    <row r="1348" spans="6:6" x14ac:dyDescent="0.2">
      <c r="F1348" s="264"/>
    </row>
    <row r="1349" spans="6:6" x14ac:dyDescent="0.2">
      <c r="F1349" s="264"/>
    </row>
    <row r="1350" spans="6:6" x14ac:dyDescent="0.2">
      <c r="F1350" s="264"/>
    </row>
    <row r="1351" spans="6:6" x14ac:dyDescent="0.2">
      <c r="F1351" s="264"/>
    </row>
    <row r="1352" spans="6:6" x14ac:dyDescent="0.2">
      <c r="F1352" s="264"/>
    </row>
    <row r="1353" spans="6:6" x14ac:dyDescent="0.2">
      <c r="F1353" s="264"/>
    </row>
    <row r="1354" spans="6:6" x14ac:dyDescent="0.2">
      <c r="F1354" s="264"/>
    </row>
    <row r="1355" spans="6:6" x14ac:dyDescent="0.2">
      <c r="F1355" s="264"/>
    </row>
    <row r="1356" spans="6:6" x14ac:dyDescent="0.2">
      <c r="F1356" s="264"/>
    </row>
    <row r="1357" spans="6:6" x14ac:dyDescent="0.2">
      <c r="F1357" s="264"/>
    </row>
    <row r="1358" spans="6:6" x14ac:dyDescent="0.2">
      <c r="F1358" s="264"/>
    </row>
    <row r="1359" spans="6:6" x14ac:dyDescent="0.2">
      <c r="F1359" s="264"/>
    </row>
    <row r="1360" spans="6:6" x14ac:dyDescent="0.2">
      <c r="F1360" s="264"/>
    </row>
    <row r="1361" spans="6:6" x14ac:dyDescent="0.2">
      <c r="F1361" s="264"/>
    </row>
    <row r="1362" spans="6:6" x14ac:dyDescent="0.2">
      <c r="F1362" s="264"/>
    </row>
    <row r="1363" spans="6:6" x14ac:dyDescent="0.2">
      <c r="F1363" s="264"/>
    </row>
    <row r="1364" spans="6:6" x14ac:dyDescent="0.2">
      <c r="F1364" s="264"/>
    </row>
    <row r="1365" spans="6:6" x14ac:dyDescent="0.2">
      <c r="F1365" s="264"/>
    </row>
    <row r="1366" spans="6:6" x14ac:dyDescent="0.2">
      <c r="F1366" s="264"/>
    </row>
    <row r="1367" spans="6:6" x14ac:dyDescent="0.2">
      <c r="F1367" s="264"/>
    </row>
    <row r="1368" spans="6:6" x14ac:dyDescent="0.2">
      <c r="F1368" s="264"/>
    </row>
    <row r="1369" spans="6:6" x14ac:dyDescent="0.2">
      <c r="F1369" s="264"/>
    </row>
    <row r="1370" spans="6:6" x14ac:dyDescent="0.2">
      <c r="F1370" s="264"/>
    </row>
    <row r="1371" spans="6:6" x14ac:dyDescent="0.2">
      <c r="F1371" s="264"/>
    </row>
    <row r="1372" spans="6:6" x14ac:dyDescent="0.2">
      <c r="F1372" s="264"/>
    </row>
    <row r="1373" spans="6:6" x14ac:dyDescent="0.2">
      <c r="F1373" s="264"/>
    </row>
    <row r="1374" spans="6:6" x14ac:dyDescent="0.2">
      <c r="F1374" s="264"/>
    </row>
    <row r="1375" spans="6:6" x14ac:dyDescent="0.2">
      <c r="F1375" s="264"/>
    </row>
    <row r="1376" spans="6:6" x14ac:dyDescent="0.2">
      <c r="F1376" s="264"/>
    </row>
    <row r="1377" spans="6:6" x14ac:dyDescent="0.2">
      <c r="F1377" s="264"/>
    </row>
    <row r="1378" spans="6:6" x14ac:dyDescent="0.2">
      <c r="F1378" s="264"/>
    </row>
    <row r="1379" spans="6:6" x14ac:dyDescent="0.2">
      <c r="F1379" s="264"/>
    </row>
    <row r="1380" spans="6:6" x14ac:dyDescent="0.2">
      <c r="F1380" s="264"/>
    </row>
    <row r="1381" spans="6:6" x14ac:dyDescent="0.2">
      <c r="F1381" s="264"/>
    </row>
    <row r="1382" spans="6:6" x14ac:dyDescent="0.2">
      <c r="F1382" s="264"/>
    </row>
    <row r="1383" spans="6:6" x14ac:dyDescent="0.2">
      <c r="F1383" s="264"/>
    </row>
    <row r="1384" spans="6:6" x14ac:dyDescent="0.2">
      <c r="F1384" s="264"/>
    </row>
    <row r="1385" spans="6:6" x14ac:dyDescent="0.2">
      <c r="F1385" s="264"/>
    </row>
    <row r="1386" spans="6:6" x14ac:dyDescent="0.2">
      <c r="F1386" s="264"/>
    </row>
    <row r="1387" spans="6:6" x14ac:dyDescent="0.2">
      <c r="F1387" s="264"/>
    </row>
    <row r="1388" spans="6:6" x14ac:dyDescent="0.2">
      <c r="F1388" s="264"/>
    </row>
    <row r="1389" spans="6:6" x14ac:dyDescent="0.2">
      <c r="F1389" s="264"/>
    </row>
    <row r="1390" spans="6:6" x14ac:dyDescent="0.2">
      <c r="F1390" s="264"/>
    </row>
    <row r="1391" spans="6:6" x14ac:dyDescent="0.2">
      <c r="F1391" s="264"/>
    </row>
    <row r="1392" spans="6:6" x14ac:dyDescent="0.2">
      <c r="F1392" s="264"/>
    </row>
    <row r="1393" spans="6:6" x14ac:dyDescent="0.2">
      <c r="F1393" s="264"/>
    </row>
    <row r="1394" spans="6:6" x14ac:dyDescent="0.2">
      <c r="F1394" s="264"/>
    </row>
    <row r="1395" spans="6:6" x14ac:dyDescent="0.2">
      <c r="F1395" s="264"/>
    </row>
    <row r="1396" spans="6:6" x14ac:dyDescent="0.2">
      <c r="F1396" s="264"/>
    </row>
    <row r="1397" spans="6:6" x14ac:dyDescent="0.2">
      <c r="F1397" s="264"/>
    </row>
    <row r="1398" spans="6:6" x14ac:dyDescent="0.2">
      <c r="F1398" s="264"/>
    </row>
    <row r="1399" spans="6:6" x14ac:dyDescent="0.2">
      <c r="F1399" s="264"/>
    </row>
    <row r="1400" spans="6:6" x14ac:dyDescent="0.2">
      <c r="F1400" s="264"/>
    </row>
    <row r="1401" spans="6:6" x14ac:dyDescent="0.2">
      <c r="F1401" s="264"/>
    </row>
    <row r="1402" spans="6:6" x14ac:dyDescent="0.2">
      <c r="F1402" s="264"/>
    </row>
    <row r="1403" spans="6:6" x14ac:dyDescent="0.2">
      <c r="F1403" s="264"/>
    </row>
    <row r="1404" spans="6:6" x14ac:dyDescent="0.2">
      <c r="F1404" s="264"/>
    </row>
    <row r="1405" spans="6:6" x14ac:dyDescent="0.2">
      <c r="F1405" s="264"/>
    </row>
    <row r="1406" spans="6:6" x14ac:dyDescent="0.2">
      <c r="F1406" s="264"/>
    </row>
    <row r="1407" spans="6:6" x14ac:dyDescent="0.2">
      <c r="F1407" s="264"/>
    </row>
    <row r="1408" spans="6:6" x14ac:dyDescent="0.2">
      <c r="F1408" s="264"/>
    </row>
    <row r="1409" spans="6:6" x14ac:dyDescent="0.2">
      <c r="F1409" s="264"/>
    </row>
    <row r="1410" spans="6:6" x14ac:dyDescent="0.2">
      <c r="F1410" s="264"/>
    </row>
    <row r="1411" spans="6:6" x14ac:dyDescent="0.2">
      <c r="F1411" s="264"/>
    </row>
    <row r="1412" spans="6:6" x14ac:dyDescent="0.2">
      <c r="F1412" s="264"/>
    </row>
    <row r="1413" spans="6:6" x14ac:dyDescent="0.2">
      <c r="F1413" s="264"/>
    </row>
    <row r="1414" spans="6:6" x14ac:dyDescent="0.2">
      <c r="F1414" s="264"/>
    </row>
    <row r="1415" spans="6:6" x14ac:dyDescent="0.2">
      <c r="F1415" s="264"/>
    </row>
    <row r="1416" spans="6:6" x14ac:dyDescent="0.2">
      <c r="F1416" s="264"/>
    </row>
    <row r="1417" spans="6:6" x14ac:dyDescent="0.2">
      <c r="F1417" s="264"/>
    </row>
    <row r="1418" spans="6:6" x14ac:dyDescent="0.2">
      <c r="F1418" s="264"/>
    </row>
    <row r="1419" spans="6:6" x14ac:dyDescent="0.2">
      <c r="F1419" s="264"/>
    </row>
    <row r="1420" spans="6:6" x14ac:dyDescent="0.2">
      <c r="F1420" s="264"/>
    </row>
    <row r="1421" spans="6:6" x14ac:dyDescent="0.2">
      <c r="F1421" s="264"/>
    </row>
    <row r="1422" spans="6:6" x14ac:dyDescent="0.2">
      <c r="F1422" s="264"/>
    </row>
    <row r="1423" spans="6:6" x14ac:dyDescent="0.2">
      <c r="F1423" s="264"/>
    </row>
    <row r="1424" spans="6:6" x14ac:dyDescent="0.2">
      <c r="F1424" s="264"/>
    </row>
    <row r="1425" spans="6:6" x14ac:dyDescent="0.2">
      <c r="F1425" s="264"/>
    </row>
    <row r="1426" spans="6:6" x14ac:dyDescent="0.2">
      <c r="F1426" s="264"/>
    </row>
    <row r="1427" spans="6:6" x14ac:dyDescent="0.2">
      <c r="F1427" s="264"/>
    </row>
    <row r="1428" spans="6:6" x14ac:dyDescent="0.2">
      <c r="F1428" s="264"/>
    </row>
    <row r="1429" spans="6:6" x14ac:dyDescent="0.2">
      <c r="F1429" s="264"/>
    </row>
    <row r="1430" spans="6:6" x14ac:dyDescent="0.2">
      <c r="F1430" s="264"/>
    </row>
    <row r="1431" spans="6:6" x14ac:dyDescent="0.2">
      <c r="F1431" s="264"/>
    </row>
    <row r="1432" spans="6:6" x14ac:dyDescent="0.2">
      <c r="F1432" s="264"/>
    </row>
    <row r="1433" spans="6:6" x14ac:dyDescent="0.2">
      <c r="F1433" s="264"/>
    </row>
    <row r="1434" spans="6:6" x14ac:dyDescent="0.2">
      <c r="F1434" s="264"/>
    </row>
    <row r="1435" spans="6:6" x14ac:dyDescent="0.2">
      <c r="F1435" s="264"/>
    </row>
    <row r="1436" spans="6:6" x14ac:dyDescent="0.2">
      <c r="F1436" s="264"/>
    </row>
    <row r="1437" spans="6:6" x14ac:dyDescent="0.2">
      <c r="F1437" s="264"/>
    </row>
    <row r="1438" spans="6:6" x14ac:dyDescent="0.2">
      <c r="F1438" s="264"/>
    </row>
    <row r="1439" spans="6:6" x14ac:dyDescent="0.2">
      <c r="F1439" s="264"/>
    </row>
    <row r="1440" spans="6:6" x14ac:dyDescent="0.2">
      <c r="F1440" s="264"/>
    </row>
    <row r="1441" spans="6:6" x14ac:dyDescent="0.2">
      <c r="F1441" s="264"/>
    </row>
    <row r="1442" spans="6:6" x14ac:dyDescent="0.2">
      <c r="F1442" s="264"/>
    </row>
    <row r="1443" spans="6:6" x14ac:dyDescent="0.2">
      <c r="F1443" s="264"/>
    </row>
    <row r="1444" spans="6:6" x14ac:dyDescent="0.2">
      <c r="F1444" s="264"/>
    </row>
    <row r="1445" spans="6:6" x14ac:dyDescent="0.2">
      <c r="F1445" s="264"/>
    </row>
    <row r="1446" spans="6:6" x14ac:dyDescent="0.2">
      <c r="F1446" s="264"/>
    </row>
    <row r="1447" spans="6:6" x14ac:dyDescent="0.2">
      <c r="F1447" s="264"/>
    </row>
    <row r="1448" spans="6:6" x14ac:dyDescent="0.2">
      <c r="F1448" s="264"/>
    </row>
    <row r="1449" spans="6:6" x14ac:dyDescent="0.2">
      <c r="F1449" s="264"/>
    </row>
    <row r="1450" spans="6:6" x14ac:dyDescent="0.2">
      <c r="F1450" s="264"/>
    </row>
    <row r="1451" spans="6:6" x14ac:dyDescent="0.2">
      <c r="F1451" s="264"/>
    </row>
    <row r="1452" spans="6:6" x14ac:dyDescent="0.2">
      <c r="F1452" s="264"/>
    </row>
    <row r="1453" spans="6:6" x14ac:dyDescent="0.2">
      <c r="F1453" s="264"/>
    </row>
    <row r="1454" spans="6:6" x14ac:dyDescent="0.2">
      <c r="F1454" s="264"/>
    </row>
    <row r="1455" spans="6:6" x14ac:dyDescent="0.2">
      <c r="F1455" s="264"/>
    </row>
    <row r="1456" spans="6:6" x14ac:dyDescent="0.2">
      <c r="F1456" s="264"/>
    </row>
    <row r="1457" spans="6:6" x14ac:dyDescent="0.2">
      <c r="F1457" s="264"/>
    </row>
    <row r="1458" spans="6:6" x14ac:dyDescent="0.2">
      <c r="F1458" s="264"/>
    </row>
    <row r="1459" spans="6:6" x14ac:dyDescent="0.2">
      <c r="F1459" s="264"/>
    </row>
    <row r="1460" spans="6:6" x14ac:dyDescent="0.2">
      <c r="F1460" s="264"/>
    </row>
    <row r="1461" spans="6:6" x14ac:dyDescent="0.2">
      <c r="F1461" s="264"/>
    </row>
    <row r="1462" spans="6:6" x14ac:dyDescent="0.2">
      <c r="F1462" s="264"/>
    </row>
    <row r="1463" spans="6:6" x14ac:dyDescent="0.2">
      <c r="F1463" s="264"/>
    </row>
    <row r="1464" spans="6:6" x14ac:dyDescent="0.2">
      <c r="F1464" s="264"/>
    </row>
    <row r="1465" spans="6:6" x14ac:dyDescent="0.2">
      <c r="F1465" s="264"/>
    </row>
    <row r="1466" spans="6:6" x14ac:dyDescent="0.2">
      <c r="F1466" s="264"/>
    </row>
    <row r="1467" spans="6:6" x14ac:dyDescent="0.2">
      <c r="F1467" s="264"/>
    </row>
    <row r="1468" spans="6:6" x14ac:dyDescent="0.2">
      <c r="F1468" s="264"/>
    </row>
    <row r="1469" spans="6:6" x14ac:dyDescent="0.2">
      <c r="F1469" s="264"/>
    </row>
    <row r="1470" spans="6:6" x14ac:dyDescent="0.2">
      <c r="F1470" s="264"/>
    </row>
    <row r="1471" spans="6:6" x14ac:dyDescent="0.2">
      <c r="F1471" s="264"/>
    </row>
    <row r="1472" spans="6:6" x14ac:dyDescent="0.2">
      <c r="F1472" s="264"/>
    </row>
    <row r="1473" spans="6:6" x14ac:dyDescent="0.2">
      <c r="F1473" s="264"/>
    </row>
    <row r="1474" spans="6:6" x14ac:dyDescent="0.2">
      <c r="F1474" s="264"/>
    </row>
    <row r="1475" spans="6:6" x14ac:dyDescent="0.2">
      <c r="F1475" s="264"/>
    </row>
    <row r="1476" spans="6:6" x14ac:dyDescent="0.2">
      <c r="F1476" s="264"/>
    </row>
    <row r="1477" spans="6:6" x14ac:dyDescent="0.2">
      <c r="F1477" s="264"/>
    </row>
    <row r="1478" spans="6:6" x14ac:dyDescent="0.2">
      <c r="F1478" s="264"/>
    </row>
    <row r="1479" spans="6:6" x14ac:dyDescent="0.2">
      <c r="F1479" s="264"/>
    </row>
    <row r="1480" spans="6:6" x14ac:dyDescent="0.2">
      <c r="F1480" s="264"/>
    </row>
    <row r="1481" spans="6:6" x14ac:dyDescent="0.2">
      <c r="F1481" s="264"/>
    </row>
    <row r="1482" spans="6:6" x14ac:dyDescent="0.2">
      <c r="F1482" s="264"/>
    </row>
    <row r="1483" spans="6:6" x14ac:dyDescent="0.2">
      <c r="F1483" s="264"/>
    </row>
    <row r="1484" spans="6:6" x14ac:dyDescent="0.2">
      <c r="F1484" s="264"/>
    </row>
    <row r="1485" spans="6:6" x14ac:dyDescent="0.2">
      <c r="F1485" s="264"/>
    </row>
    <row r="1486" spans="6:6" x14ac:dyDescent="0.2">
      <c r="F1486" s="264"/>
    </row>
    <row r="1487" spans="6:6" x14ac:dyDescent="0.2">
      <c r="F1487" s="264"/>
    </row>
    <row r="1488" spans="6:6" x14ac:dyDescent="0.2">
      <c r="F1488" s="264"/>
    </row>
    <row r="1489" spans="6:6" x14ac:dyDescent="0.2">
      <c r="F1489" s="264"/>
    </row>
    <row r="1490" spans="6:6" x14ac:dyDescent="0.2">
      <c r="F1490" s="264"/>
    </row>
    <row r="1491" spans="6:6" x14ac:dyDescent="0.2">
      <c r="F1491" s="264"/>
    </row>
    <row r="1492" spans="6:6" x14ac:dyDescent="0.2">
      <c r="F1492" s="264"/>
    </row>
    <row r="1493" spans="6:6" x14ac:dyDescent="0.2">
      <c r="F1493" s="264"/>
    </row>
    <row r="1494" spans="6:6" x14ac:dyDescent="0.2">
      <c r="F1494" s="264"/>
    </row>
    <row r="1495" spans="6:6" x14ac:dyDescent="0.2">
      <c r="F1495" s="264"/>
    </row>
    <row r="1496" spans="6:6" x14ac:dyDescent="0.2">
      <c r="F1496" s="264"/>
    </row>
    <row r="1497" spans="6:6" x14ac:dyDescent="0.2">
      <c r="F1497" s="264"/>
    </row>
    <row r="1498" spans="6:6" x14ac:dyDescent="0.2">
      <c r="F1498" s="264"/>
    </row>
    <row r="1499" spans="6:6" x14ac:dyDescent="0.2">
      <c r="F1499" s="264"/>
    </row>
    <row r="1500" spans="6:6" x14ac:dyDescent="0.2">
      <c r="F1500" s="264"/>
    </row>
    <row r="1501" spans="6:6" x14ac:dyDescent="0.2">
      <c r="F1501" s="264"/>
    </row>
    <row r="1502" spans="6:6" x14ac:dyDescent="0.2">
      <c r="F1502" s="264"/>
    </row>
    <row r="1503" spans="6:6" x14ac:dyDescent="0.2">
      <c r="F1503" s="264"/>
    </row>
    <row r="1504" spans="6:6" x14ac:dyDescent="0.2">
      <c r="F1504" s="264"/>
    </row>
    <row r="1505" spans="6:6" x14ac:dyDescent="0.2">
      <c r="F1505" s="264"/>
    </row>
    <row r="1506" spans="6:6" x14ac:dyDescent="0.2">
      <c r="F1506" s="264"/>
    </row>
    <row r="1507" spans="6:6" x14ac:dyDescent="0.2">
      <c r="F1507" s="264"/>
    </row>
    <row r="1508" spans="6:6" x14ac:dyDescent="0.2">
      <c r="F1508" s="264"/>
    </row>
    <row r="1509" spans="6:6" x14ac:dyDescent="0.2">
      <c r="F1509" s="264"/>
    </row>
    <row r="1510" spans="6:6" x14ac:dyDescent="0.2">
      <c r="F1510" s="264"/>
    </row>
    <row r="1511" spans="6:6" x14ac:dyDescent="0.2">
      <c r="F1511" s="264"/>
    </row>
    <row r="1512" spans="6:6" x14ac:dyDescent="0.2">
      <c r="F1512" s="264"/>
    </row>
    <row r="1513" spans="6:6" x14ac:dyDescent="0.2">
      <c r="F1513" s="264"/>
    </row>
    <row r="1514" spans="6:6" x14ac:dyDescent="0.2">
      <c r="F1514" s="264"/>
    </row>
    <row r="1515" spans="6:6" x14ac:dyDescent="0.2">
      <c r="F1515" s="264"/>
    </row>
    <row r="1516" spans="6:6" x14ac:dyDescent="0.2">
      <c r="F1516" s="264"/>
    </row>
    <row r="1517" spans="6:6" x14ac:dyDescent="0.2">
      <c r="F1517" s="264"/>
    </row>
    <row r="1518" spans="6:6" x14ac:dyDescent="0.2">
      <c r="F1518" s="264"/>
    </row>
    <row r="1519" spans="6:6" x14ac:dyDescent="0.2">
      <c r="F1519" s="264"/>
    </row>
    <row r="1520" spans="6:6" x14ac:dyDescent="0.2">
      <c r="F1520" s="264"/>
    </row>
    <row r="1521" spans="6:6" x14ac:dyDescent="0.2">
      <c r="F1521" s="264"/>
    </row>
    <row r="1522" spans="6:6" x14ac:dyDescent="0.2">
      <c r="F1522" s="264"/>
    </row>
    <row r="1523" spans="6:6" x14ac:dyDescent="0.2">
      <c r="F1523" s="264"/>
    </row>
    <row r="1524" spans="6:6" x14ac:dyDescent="0.2">
      <c r="F1524" s="264"/>
    </row>
    <row r="1525" spans="6:6" x14ac:dyDescent="0.2">
      <c r="F1525" s="264"/>
    </row>
    <row r="1526" spans="6:6" x14ac:dyDescent="0.2">
      <c r="F1526" s="264"/>
    </row>
    <row r="1527" spans="6:6" x14ac:dyDescent="0.2">
      <c r="F1527" s="264"/>
    </row>
    <row r="1528" spans="6:6" x14ac:dyDescent="0.2">
      <c r="F1528" s="264"/>
    </row>
    <row r="1529" spans="6:6" x14ac:dyDescent="0.2">
      <c r="F1529" s="264"/>
    </row>
    <row r="1530" spans="6:6" x14ac:dyDescent="0.2">
      <c r="F1530" s="264"/>
    </row>
    <row r="1531" spans="6:6" x14ac:dyDescent="0.2">
      <c r="F1531" s="264"/>
    </row>
    <row r="1532" spans="6:6" x14ac:dyDescent="0.2">
      <c r="F1532" s="264"/>
    </row>
    <row r="1533" spans="6:6" x14ac:dyDescent="0.2">
      <c r="F1533" s="264"/>
    </row>
    <row r="1534" spans="6:6" x14ac:dyDescent="0.2">
      <c r="F1534" s="264"/>
    </row>
    <row r="1535" spans="6:6" x14ac:dyDescent="0.2">
      <c r="F1535" s="264"/>
    </row>
    <row r="1536" spans="6:6" x14ac:dyDescent="0.2">
      <c r="F1536" s="264"/>
    </row>
    <row r="1537" spans="6:6" x14ac:dyDescent="0.2">
      <c r="F1537" s="264"/>
    </row>
    <row r="1538" spans="6:6" x14ac:dyDescent="0.2">
      <c r="F1538" s="264"/>
    </row>
    <row r="1539" spans="6:6" x14ac:dyDescent="0.2">
      <c r="F1539" s="264"/>
    </row>
    <row r="1540" spans="6:6" x14ac:dyDescent="0.2">
      <c r="F1540" s="264"/>
    </row>
    <row r="1541" spans="6:6" x14ac:dyDescent="0.2">
      <c r="F1541" s="264"/>
    </row>
    <row r="1542" spans="6:6" x14ac:dyDescent="0.2">
      <c r="F1542" s="264"/>
    </row>
    <row r="1543" spans="6:6" x14ac:dyDescent="0.2">
      <c r="F1543" s="264"/>
    </row>
    <row r="1544" spans="6:6" x14ac:dyDescent="0.2">
      <c r="F1544" s="264"/>
    </row>
    <row r="1545" spans="6:6" x14ac:dyDescent="0.2">
      <c r="F1545" s="264"/>
    </row>
    <row r="1546" spans="6:6" x14ac:dyDescent="0.2">
      <c r="F1546" s="264"/>
    </row>
    <row r="1547" spans="6:6" x14ac:dyDescent="0.2">
      <c r="F1547" s="264"/>
    </row>
    <row r="1548" spans="6:6" x14ac:dyDescent="0.2">
      <c r="F1548" s="264"/>
    </row>
    <row r="1549" spans="6:6" x14ac:dyDescent="0.2">
      <c r="F1549" s="264"/>
    </row>
    <row r="1550" spans="6:6" x14ac:dyDescent="0.2">
      <c r="F1550" s="264"/>
    </row>
    <row r="1551" spans="6:6" x14ac:dyDescent="0.2">
      <c r="F1551" s="264"/>
    </row>
    <row r="1552" spans="6:6" x14ac:dyDescent="0.2">
      <c r="F1552" s="264"/>
    </row>
    <row r="1553" spans="6:6" x14ac:dyDescent="0.2">
      <c r="F1553" s="264"/>
    </row>
    <row r="1554" spans="6:6" x14ac:dyDescent="0.2">
      <c r="F1554" s="264"/>
    </row>
    <row r="1555" spans="6:6" x14ac:dyDescent="0.2">
      <c r="F1555" s="264"/>
    </row>
    <row r="1556" spans="6:6" x14ac:dyDescent="0.2">
      <c r="F1556" s="264"/>
    </row>
    <row r="1557" spans="6:6" x14ac:dyDescent="0.2">
      <c r="F1557" s="264"/>
    </row>
    <row r="1558" spans="6:6" x14ac:dyDescent="0.2">
      <c r="F1558" s="264"/>
    </row>
    <row r="1559" spans="6:6" x14ac:dyDescent="0.2">
      <c r="F1559" s="264"/>
    </row>
    <row r="1560" spans="6:6" x14ac:dyDescent="0.2">
      <c r="F1560" s="264"/>
    </row>
    <row r="1561" spans="6:6" x14ac:dyDescent="0.2">
      <c r="F1561" s="264"/>
    </row>
    <row r="1562" spans="6:6" x14ac:dyDescent="0.2">
      <c r="F1562" s="264"/>
    </row>
    <row r="1563" spans="6:6" x14ac:dyDescent="0.2">
      <c r="F1563" s="264"/>
    </row>
    <row r="1564" spans="6:6" x14ac:dyDescent="0.2">
      <c r="F1564" s="264"/>
    </row>
    <row r="1565" spans="6:6" x14ac:dyDescent="0.2">
      <c r="F1565" s="264"/>
    </row>
    <row r="1566" spans="6:6" x14ac:dyDescent="0.2">
      <c r="F1566" s="264"/>
    </row>
    <row r="1567" spans="6:6" x14ac:dyDescent="0.2">
      <c r="F1567" s="264"/>
    </row>
    <row r="1568" spans="6:6" x14ac:dyDescent="0.2">
      <c r="F1568" s="264"/>
    </row>
    <row r="1569" spans="6:6" x14ac:dyDescent="0.2">
      <c r="F1569" s="264"/>
    </row>
    <row r="1570" spans="6:6" x14ac:dyDescent="0.2">
      <c r="F1570" s="264"/>
    </row>
    <row r="1571" spans="6:6" x14ac:dyDescent="0.2">
      <c r="F1571" s="264"/>
    </row>
    <row r="1572" spans="6:6" x14ac:dyDescent="0.2">
      <c r="F1572" s="264"/>
    </row>
    <row r="1573" spans="6:6" x14ac:dyDescent="0.2">
      <c r="F1573" s="264"/>
    </row>
    <row r="1574" spans="6:6" x14ac:dyDescent="0.2">
      <c r="F1574" s="264"/>
    </row>
    <row r="1575" spans="6:6" x14ac:dyDescent="0.2">
      <c r="F1575" s="264"/>
    </row>
    <row r="1576" spans="6:6" x14ac:dyDescent="0.2">
      <c r="F1576" s="264"/>
    </row>
    <row r="1577" spans="6:6" x14ac:dyDescent="0.2">
      <c r="F1577" s="264"/>
    </row>
    <row r="1578" spans="6:6" x14ac:dyDescent="0.2">
      <c r="F1578" s="264"/>
    </row>
    <row r="1579" spans="6:6" x14ac:dyDescent="0.2">
      <c r="F1579" s="264"/>
    </row>
    <row r="1580" spans="6:6" x14ac:dyDescent="0.2">
      <c r="F1580" s="264"/>
    </row>
    <row r="1581" spans="6:6" x14ac:dyDescent="0.2">
      <c r="F1581" s="264"/>
    </row>
    <row r="1582" spans="6:6" x14ac:dyDescent="0.2">
      <c r="F1582" s="264"/>
    </row>
    <row r="1583" spans="6:6" x14ac:dyDescent="0.2">
      <c r="F1583" s="264"/>
    </row>
    <row r="1584" spans="6:6" x14ac:dyDescent="0.2">
      <c r="F1584" s="264"/>
    </row>
    <row r="1585" spans="6:6" x14ac:dyDescent="0.2">
      <c r="F1585" s="264"/>
    </row>
    <row r="1586" spans="6:6" x14ac:dyDescent="0.2">
      <c r="F1586" s="264"/>
    </row>
    <row r="1587" spans="6:6" x14ac:dyDescent="0.2">
      <c r="F1587" s="264"/>
    </row>
    <row r="1588" spans="6:6" x14ac:dyDescent="0.2">
      <c r="F1588" s="264"/>
    </row>
    <row r="1589" spans="6:6" x14ac:dyDescent="0.2">
      <c r="F1589" s="264"/>
    </row>
    <row r="1590" spans="6:6" x14ac:dyDescent="0.2">
      <c r="F1590" s="264"/>
    </row>
    <row r="1591" spans="6:6" x14ac:dyDescent="0.2">
      <c r="F1591" s="264"/>
    </row>
    <row r="1592" spans="6:6" x14ac:dyDescent="0.2">
      <c r="F1592" s="264"/>
    </row>
    <row r="1593" spans="6:6" x14ac:dyDescent="0.2">
      <c r="F1593" s="264"/>
    </row>
    <row r="1594" spans="6:6" x14ac:dyDescent="0.2">
      <c r="F1594" s="264"/>
    </row>
    <row r="1595" spans="6:6" x14ac:dyDescent="0.2">
      <c r="F1595" s="264"/>
    </row>
    <row r="1596" spans="6:6" x14ac:dyDescent="0.2">
      <c r="F1596" s="264"/>
    </row>
    <row r="1597" spans="6:6" x14ac:dyDescent="0.2">
      <c r="F1597" s="264"/>
    </row>
    <row r="1598" spans="6:6" x14ac:dyDescent="0.2">
      <c r="F1598" s="264"/>
    </row>
    <row r="1599" spans="6:6" x14ac:dyDescent="0.2">
      <c r="F1599" s="264"/>
    </row>
    <row r="1600" spans="6:6" x14ac:dyDescent="0.2">
      <c r="F1600" s="264"/>
    </row>
    <row r="1601" spans="6:6" x14ac:dyDescent="0.2">
      <c r="F1601" s="264"/>
    </row>
    <row r="1602" spans="6:6" x14ac:dyDescent="0.2">
      <c r="F1602" s="264"/>
    </row>
    <row r="1603" spans="6:6" x14ac:dyDescent="0.2">
      <c r="F1603" s="264"/>
    </row>
    <row r="1604" spans="6:6" x14ac:dyDescent="0.2">
      <c r="F1604" s="264"/>
    </row>
    <row r="1605" spans="6:6" x14ac:dyDescent="0.2">
      <c r="F1605" s="264"/>
    </row>
    <row r="1606" spans="6:6" x14ac:dyDescent="0.2">
      <c r="F1606" s="264"/>
    </row>
    <row r="1607" spans="6:6" x14ac:dyDescent="0.2">
      <c r="F1607" s="264"/>
    </row>
    <row r="1608" spans="6:6" x14ac:dyDescent="0.2">
      <c r="F1608" s="264"/>
    </row>
    <row r="1609" spans="6:6" x14ac:dyDescent="0.2">
      <c r="F1609" s="264"/>
    </row>
    <row r="1610" spans="6:6" x14ac:dyDescent="0.2">
      <c r="F1610" s="264"/>
    </row>
    <row r="1611" spans="6:6" x14ac:dyDescent="0.2">
      <c r="F1611" s="264"/>
    </row>
    <row r="1612" spans="6:6" x14ac:dyDescent="0.2">
      <c r="F1612" s="264"/>
    </row>
    <row r="1613" spans="6:6" x14ac:dyDescent="0.2">
      <c r="F1613" s="264"/>
    </row>
    <row r="1614" spans="6:6" x14ac:dyDescent="0.2">
      <c r="F1614" s="264"/>
    </row>
    <row r="1615" spans="6:6" x14ac:dyDescent="0.2">
      <c r="F1615" s="264"/>
    </row>
    <row r="1616" spans="6:6" x14ac:dyDescent="0.2">
      <c r="F1616" s="264"/>
    </row>
    <row r="1617" spans="6:6" x14ac:dyDescent="0.2">
      <c r="F1617" s="264"/>
    </row>
    <row r="1618" spans="6:6" x14ac:dyDescent="0.2">
      <c r="F1618" s="264"/>
    </row>
    <row r="1619" spans="6:6" x14ac:dyDescent="0.2">
      <c r="F1619" s="264"/>
    </row>
    <row r="1620" spans="6:6" x14ac:dyDescent="0.2">
      <c r="F1620" s="264"/>
    </row>
    <row r="1621" spans="6:6" x14ac:dyDescent="0.2">
      <c r="F1621" s="264"/>
    </row>
    <row r="1622" spans="6:6" x14ac:dyDescent="0.2">
      <c r="F1622" s="264"/>
    </row>
    <row r="1623" spans="6:6" x14ac:dyDescent="0.2">
      <c r="F1623" s="264"/>
    </row>
    <row r="1624" spans="6:6" x14ac:dyDescent="0.2">
      <c r="F1624" s="264"/>
    </row>
    <row r="1625" spans="6:6" x14ac:dyDescent="0.2">
      <c r="F1625" s="264"/>
    </row>
    <row r="1626" spans="6:6" x14ac:dyDescent="0.2">
      <c r="F1626" s="264"/>
    </row>
    <row r="1627" spans="6:6" x14ac:dyDescent="0.2">
      <c r="F1627" s="264"/>
    </row>
    <row r="1628" spans="6:6" x14ac:dyDescent="0.2">
      <c r="F1628" s="264"/>
    </row>
    <row r="1629" spans="6:6" x14ac:dyDescent="0.2">
      <c r="F1629" s="264"/>
    </row>
    <row r="1630" spans="6:6" x14ac:dyDescent="0.2">
      <c r="F1630" s="264"/>
    </row>
    <row r="1631" spans="6:6" x14ac:dyDescent="0.2">
      <c r="F1631" s="264"/>
    </row>
    <row r="1632" spans="6:6" x14ac:dyDescent="0.2">
      <c r="F1632" s="264"/>
    </row>
    <row r="1633" spans="6:6" x14ac:dyDescent="0.2">
      <c r="F1633" s="264"/>
    </row>
    <row r="1634" spans="6:6" x14ac:dyDescent="0.2">
      <c r="F1634" s="264"/>
    </row>
    <row r="1635" spans="6:6" x14ac:dyDescent="0.2">
      <c r="F1635" s="264"/>
    </row>
    <row r="1636" spans="6:6" x14ac:dyDescent="0.2">
      <c r="F1636" s="264"/>
    </row>
    <row r="1637" spans="6:6" x14ac:dyDescent="0.2">
      <c r="F1637" s="264"/>
    </row>
    <row r="1638" spans="6:6" x14ac:dyDescent="0.2">
      <c r="F1638" s="264"/>
    </row>
    <row r="1639" spans="6:6" x14ac:dyDescent="0.2">
      <c r="F1639" s="264"/>
    </row>
    <row r="1640" spans="6:6" x14ac:dyDescent="0.2">
      <c r="F1640" s="264"/>
    </row>
    <row r="1641" spans="6:6" x14ac:dyDescent="0.2">
      <c r="F1641" s="264"/>
    </row>
    <row r="1642" spans="6:6" x14ac:dyDescent="0.2">
      <c r="F1642" s="264"/>
    </row>
    <row r="1643" spans="6:6" x14ac:dyDescent="0.2">
      <c r="F1643" s="264"/>
    </row>
    <row r="1644" spans="6:6" x14ac:dyDescent="0.2">
      <c r="F1644" s="264"/>
    </row>
    <row r="1645" spans="6:6" x14ac:dyDescent="0.2">
      <c r="F1645" s="264"/>
    </row>
    <row r="1646" spans="6:6" x14ac:dyDescent="0.2">
      <c r="F1646" s="264"/>
    </row>
    <row r="1647" spans="6:6" x14ac:dyDescent="0.2">
      <c r="F1647" s="264"/>
    </row>
    <row r="1648" spans="6:6" x14ac:dyDescent="0.2">
      <c r="F1648" s="264"/>
    </row>
    <row r="1649" spans="6:6" x14ac:dyDescent="0.2">
      <c r="F1649" s="264"/>
    </row>
    <row r="1650" spans="6:6" x14ac:dyDescent="0.2">
      <c r="F1650" s="264"/>
    </row>
    <row r="1651" spans="6:6" x14ac:dyDescent="0.2">
      <c r="F1651" s="264"/>
    </row>
    <row r="1652" spans="6:6" x14ac:dyDescent="0.2">
      <c r="F1652" s="264"/>
    </row>
    <row r="1653" spans="6:6" x14ac:dyDescent="0.2">
      <c r="F1653" s="264"/>
    </row>
    <row r="1654" spans="6:6" x14ac:dyDescent="0.2">
      <c r="F1654" s="264"/>
    </row>
    <row r="1655" spans="6:6" x14ac:dyDescent="0.2">
      <c r="F1655" s="264"/>
    </row>
    <row r="1656" spans="6:6" x14ac:dyDescent="0.2">
      <c r="F1656" s="264"/>
    </row>
    <row r="1657" spans="6:6" x14ac:dyDescent="0.2">
      <c r="F1657" s="264"/>
    </row>
    <row r="1658" spans="6:6" x14ac:dyDescent="0.2">
      <c r="F1658" s="264"/>
    </row>
    <row r="1659" spans="6:6" x14ac:dyDescent="0.2">
      <c r="F1659" s="264"/>
    </row>
    <row r="1660" spans="6:6" x14ac:dyDescent="0.2">
      <c r="F1660" s="264"/>
    </row>
    <row r="1661" spans="6:6" x14ac:dyDescent="0.2">
      <c r="F1661" s="264"/>
    </row>
    <row r="1662" spans="6:6" x14ac:dyDescent="0.2">
      <c r="F1662" s="264"/>
    </row>
    <row r="1663" spans="6:6" x14ac:dyDescent="0.2">
      <c r="F1663" s="264"/>
    </row>
    <row r="1664" spans="6:6" x14ac:dyDescent="0.2">
      <c r="F1664" s="264"/>
    </row>
    <row r="1665" spans="6:6" x14ac:dyDescent="0.2">
      <c r="F1665" s="264"/>
    </row>
    <row r="1666" spans="6:6" x14ac:dyDescent="0.2">
      <c r="F1666" s="264"/>
    </row>
    <row r="1667" spans="6:6" x14ac:dyDescent="0.2">
      <c r="F1667" s="264"/>
    </row>
    <row r="1668" spans="6:6" x14ac:dyDescent="0.2">
      <c r="F1668" s="264"/>
    </row>
    <row r="1669" spans="6:6" x14ac:dyDescent="0.2">
      <c r="F1669" s="264"/>
    </row>
    <row r="1670" spans="6:6" x14ac:dyDescent="0.2">
      <c r="F1670" s="264"/>
    </row>
    <row r="1671" spans="6:6" x14ac:dyDescent="0.2">
      <c r="F1671" s="264"/>
    </row>
    <row r="1672" spans="6:6" x14ac:dyDescent="0.2">
      <c r="F1672" s="264"/>
    </row>
    <row r="1673" spans="6:6" x14ac:dyDescent="0.2">
      <c r="F1673" s="264"/>
    </row>
    <row r="1674" spans="6:6" x14ac:dyDescent="0.2">
      <c r="F1674" s="264"/>
    </row>
    <row r="1675" spans="6:6" x14ac:dyDescent="0.2">
      <c r="F1675" s="264"/>
    </row>
    <row r="1676" spans="6:6" x14ac:dyDescent="0.2">
      <c r="F1676" s="264"/>
    </row>
    <row r="1677" spans="6:6" x14ac:dyDescent="0.2">
      <c r="F1677" s="264"/>
    </row>
    <row r="1678" spans="6:6" x14ac:dyDescent="0.2">
      <c r="F1678" s="264"/>
    </row>
    <row r="1679" spans="6:6" x14ac:dyDescent="0.2">
      <c r="F1679" s="264"/>
    </row>
    <row r="1680" spans="6:6" x14ac:dyDescent="0.2">
      <c r="F1680" s="264"/>
    </row>
    <row r="1681" spans="6:6" x14ac:dyDescent="0.2">
      <c r="F1681" s="264"/>
    </row>
    <row r="1682" spans="6:6" x14ac:dyDescent="0.2">
      <c r="F1682" s="264"/>
    </row>
    <row r="1683" spans="6:6" x14ac:dyDescent="0.2">
      <c r="F1683" s="264"/>
    </row>
    <row r="1684" spans="6:6" x14ac:dyDescent="0.2">
      <c r="F1684" s="264"/>
    </row>
    <row r="1685" spans="6:6" x14ac:dyDescent="0.2">
      <c r="F1685" s="264"/>
    </row>
    <row r="1686" spans="6:6" x14ac:dyDescent="0.2">
      <c r="F1686" s="264"/>
    </row>
    <row r="1687" spans="6:6" x14ac:dyDescent="0.2">
      <c r="F1687" s="264"/>
    </row>
    <row r="1688" spans="6:6" x14ac:dyDescent="0.2">
      <c r="F1688" s="264"/>
    </row>
    <row r="1689" spans="6:6" x14ac:dyDescent="0.2">
      <c r="F1689" s="264"/>
    </row>
    <row r="1690" spans="6:6" x14ac:dyDescent="0.2">
      <c r="F1690" s="264"/>
    </row>
    <row r="1691" spans="6:6" x14ac:dyDescent="0.2">
      <c r="F1691" s="264"/>
    </row>
    <row r="1692" spans="6:6" x14ac:dyDescent="0.2">
      <c r="F1692" s="264"/>
    </row>
    <row r="1693" spans="6:6" x14ac:dyDescent="0.2">
      <c r="F1693" s="264"/>
    </row>
    <row r="1694" spans="6:6" x14ac:dyDescent="0.2">
      <c r="F1694" s="264"/>
    </row>
    <row r="1695" spans="6:6" x14ac:dyDescent="0.2">
      <c r="F1695" s="264"/>
    </row>
    <row r="1696" spans="6:6" x14ac:dyDescent="0.2">
      <c r="F1696" s="264"/>
    </row>
    <row r="1697" spans="6:6" x14ac:dyDescent="0.2">
      <c r="F1697" s="264"/>
    </row>
    <row r="1698" spans="6:6" x14ac:dyDescent="0.2">
      <c r="F1698" s="264"/>
    </row>
    <row r="1699" spans="6:6" x14ac:dyDescent="0.2">
      <c r="F1699" s="264"/>
    </row>
    <row r="1700" spans="6:6" x14ac:dyDescent="0.2">
      <c r="F1700" s="264"/>
    </row>
    <row r="1701" spans="6:6" x14ac:dyDescent="0.2">
      <c r="F1701" s="264"/>
    </row>
    <row r="1702" spans="6:6" x14ac:dyDescent="0.2">
      <c r="F1702" s="264"/>
    </row>
    <row r="1703" spans="6:6" x14ac:dyDescent="0.2">
      <c r="F1703" s="264"/>
    </row>
    <row r="1704" spans="6:6" x14ac:dyDescent="0.2">
      <c r="F1704" s="264"/>
    </row>
    <row r="1705" spans="6:6" x14ac:dyDescent="0.2">
      <c r="F1705" s="264"/>
    </row>
    <row r="1706" spans="6:6" x14ac:dyDescent="0.2">
      <c r="F1706" s="264"/>
    </row>
    <row r="1707" spans="6:6" x14ac:dyDescent="0.2">
      <c r="F1707" s="264"/>
    </row>
    <row r="1708" spans="6:6" x14ac:dyDescent="0.2">
      <c r="F1708" s="264"/>
    </row>
    <row r="1709" spans="6:6" x14ac:dyDescent="0.2">
      <c r="F1709" s="264"/>
    </row>
    <row r="1710" spans="6:6" x14ac:dyDescent="0.2">
      <c r="F1710" s="264"/>
    </row>
    <row r="1711" spans="6:6" x14ac:dyDescent="0.2">
      <c r="F1711" s="264"/>
    </row>
    <row r="1712" spans="6:6" x14ac:dyDescent="0.2">
      <c r="F1712" s="264"/>
    </row>
    <row r="1713" spans="6:6" x14ac:dyDescent="0.2">
      <c r="F1713" s="264"/>
    </row>
    <row r="1714" spans="6:6" x14ac:dyDescent="0.2">
      <c r="F1714" s="264"/>
    </row>
    <row r="1715" spans="6:6" x14ac:dyDescent="0.2">
      <c r="F1715" s="264"/>
    </row>
    <row r="1716" spans="6:6" x14ac:dyDescent="0.2">
      <c r="F1716" s="264"/>
    </row>
    <row r="1717" spans="6:6" x14ac:dyDescent="0.2">
      <c r="F1717" s="264"/>
    </row>
    <row r="1718" spans="6:6" x14ac:dyDescent="0.2">
      <c r="F1718" s="264"/>
    </row>
    <row r="1719" spans="6:6" x14ac:dyDescent="0.2">
      <c r="F1719" s="264"/>
    </row>
    <row r="1720" spans="6:6" x14ac:dyDescent="0.2">
      <c r="F1720" s="264"/>
    </row>
    <row r="1721" spans="6:6" x14ac:dyDescent="0.2">
      <c r="F1721" s="264"/>
    </row>
    <row r="1722" spans="6:6" x14ac:dyDescent="0.2">
      <c r="F1722" s="264"/>
    </row>
    <row r="1723" spans="6:6" x14ac:dyDescent="0.2">
      <c r="F1723" s="264"/>
    </row>
    <row r="1724" spans="6:6" x14ac:dyDescent="0.2">
      <c r="F1724" s="264"/>
    </row>
    <row r="1725" spans="6:6" x14ac:dyDescent="0.2">
      <c r="F1725" s="264"/>
    </row>
    <row r="1726" spans="6:6" x14ac:dyDescent="0.2">
      <c r="F1726" s="264"/>
    </row>
    <row r="1727" spans="6:6" x14ac:dyDescent="0.2">
      <c r="F1727" s="264"/>
    </row>
    <row r="1728" spans="6:6" x14ac:dyDescent="0.2">
      <c r="F1728" s="264"/>
    </row>
    <row r="1729" spans="6:6" x14ac:dyDescent="0.2">
      <c r="F1729" s="264"/>
    </row>
    <row r="1730" spans="6:6" x14ac:dyDescent="0.2">
      <c r="F1730" s="264"/>
    </row>
    <row r="1731" spans="6:6" x14ac:dyDescent="0.2">
      <c r="F1731" s="264"/>
    </row>
    <row r="1732" spans="6:6" x14ac:dyDescent="0.2">
      <c r="F1732" s="264"/>
    </row>
    <row r="1733" spans="6:6" x14ac:dyDescent="0.2">
      <c r="F1733" s="264"/>
    </row>
    <row r="1734" spans="6:6" x14ac:dyDescent="0.2">
      <c r="F1734" s="264"/>
    </row>
    <row r="1735" spans="6:6" x14ac:dyDescent="0.2">
      <c r="F1735" s="264"/>
    </row>
    <row r="1736" spans="6:6" x14ac:dyDescent="0.2">
      <c r="F1736" s="264"/>
    </row>
    <row r="1737" spans="6:6" x14ac:dyDescent="0.2">
      <c r="F1737" s="264"/>
    </row>
    <row r="1738" spans="6:6" x14ac:dyDescent="0.2">
      <c r="F1738" s="264"/>
    </row>
    <row r="1739" spans="6:6" x14ac:dyDescent="0.2">
      <c r="F1739" s="264"/>
    </row>
    <row r="1740" spans="6:6" x14ac:dyDescent="0.2">
      <c r="F1740" s="264"/>
    </row>
    <row r="1741" spans="6:6" x14ac:dyDescent="0.2">
      <c r="F1741" s="264"/>
    </row>
    <row r="1742" spans="6:6" x14ac:dyDescent="0.2">
      <c r="F1742" s="264"/>
    </row>
    <row r="1743" spans="6:6" x14ac:dyDescent="0.2">
      <c r="F1743" s="264"/>
    </row>
    <row r="1744" spans="6:6" x14ac:dyDescent="0.2">
      <c r="F1744" s="264"/>
    </row>
    <row r="1745" spans="6:6" x14ac:dyDescent="0.2">
      <c r="F1745" s="264"/>
    </row>
    <row r="1746" spans="6:6" x14ac:dyDescent="0.2">
      <c r="F1746" s="264"/>
    </row>
    <row r="1747" spans="6:6" x14ac:dyDescent="0.2">
      <c r="F1747" s="264"/>
    </row>
    <row r="1748" spans="6:6" x14ac:dyDescent="0.2">
      <c r="F1748" s="264"/>
    </row>
    <row r="1749" spans="6:6" x14ac:dyDescent="0.2">
      <c r="F1749" s="264"/>
    </row>
    <row r="1750" spans="6:6" x14ac:dyDescent="0.2">
      <c r="F1750" s="264"/>
    </row>
    <row r="1751" spans="6:6" x14ac:dyDescent="0.2">
      <c r="F1751" s="264"/>
    </row>
    <row r="1752" spans="6:6" x14ac:dyDescent="0.2">
      <c r="F1752" s="264"/>
    </row>
    <row r="1753" spans="6:6" x14ac:dyDescent="0.2">
      <c r="F1753" s="264"/>
    </row>
    <row r="1754" spans="6:6" x14ac:dyDescent="0.2">
      <c r="F1754" s="264"/>
    </row>
    <row r="1755" spans="6:6" x14ac:dyDescent="0.2">
      <c r="F1755" s="264"/>
    </row>
    <row r="1756" spans="6:6" x14ac:dyDescent="0.2">
      <c r="F1756" s="264"/>
    </row>
    <row r="1757" spans="6:6" x14ac:dyDescent="0.2">
      <c r="F1757" s="264"/>
    </row>
    <row r="1758" spans="6:6" x14ac:dyDescent="0.2">
      <c r="F1758" s="264"/>
    </row>
    <row r="1759" spans="6:6" x14ac:dyDescent="0.2">
      <c r="F1759" s="264"/>
    </row>
    <row r="1760" spans="6:6" x14ac:dyDescent="0.2">
      <c r="F1760" s="264"/>
    </row>
    <row r="1761" spans="6:6" x14ac:dyDescent="0.2">
      <c r="F1761" s="264"/>
    </row>
    <row r="1762" spans="6:6" x14ac:dyDescent="0.2">
      <c r="F1762" s="264"/>
    </row>
    <row r="1763" spans="6:6" x14ac:dyDescent="0.2">
      <c r="F1763" s="264"/>
    </row>
    <row r="1764" spans="6:6" x14ac:dyDescent="0.2">
      <c r="F1764" s="264"/>
    </row>
    <row r="1765" spans="6:6" x14ac:dyDescent="0.2">
      <c r="F1765" s="264"/>
    </row>
    <row r="1766" spans="6:6" x14ac:dyDescent="0.2">
      <c r="F1766" s="264"/>
    </row>
    <row r="1767" spans="6:6" x14ac:dyDescent="0.2">
      <c r="F1767" s="264"/>
    </row>
    <row r="1768" spans="6:6" x14ac:dyDescent="0.2">
      <c r="F1768" s="264"/>
    </row>
    <row r="1769" spans="6:6" x14ac:dyDescent="0.2">
      <c r="F1769" s="264"/>
    </row>
    <row r="1770" spans="6:6" x14ac:dyDescent="0.2">
      <c r="F1770" s="264"/>
    </row>
    <row r="1771" spans="6:6" x14ac:dyDescent="0.2">
      <c r="F1771" s="264"/>
    </row>
    <row r="1772" spans="6:6" x14ac:dyDescent="0.2">
      <c r="F1772" s="264"/>
    </row>
    <row r="1773" spans="6:6" x14ac:dyDescent="0.2">
      <c r="F1773" s="264"/>
    </row>
    <row r="1774" spans="6:6" x14ac:dyDescent="0.2">
      <c r="F1774" s="264"/>
    </row>
    <row r="1775" spans="6:6" x14ac:dyDescent="0.2">
      <c r="F1775" s="264"/>
    </row>
    <row r="1776" spans="6:6" x14ac:dyDescent="0.2">
      <c r="F1776" s="264"/>
    </row>
    <row r="1777" spans="6:6" x14ac:dyDescent="0.2">
      <c r="F1777" s="264"/>
    </row>
    <row r="1778" spans="6:6" x14ac:dyDescent="0.2">
      <c r="F1778" s="264"/>
    </row>
    <row r="1779" spans="6:6" x14ac:dyDescent="0.2">
      <c r="F1779" s="264"/>
    </row>
    <row r="1780" spans="6:6" x14ac:dyDescent="0.2">
      <c r="F1780" s="264"/>
    </row>
    <row r="1781" spans="6:6" x14ac:dyDescent="0.2">
      <c r="F1781" s="264"/>
    </row>
    <row r="1782" spans="6:6" x14ac:dyDescent="0.2">
      <c r="F1782" s="264"/>
    </row>
    <row r="1783" spans="6:6" x14ac:dyDescent="0.2">
      <c r="F1783" s="264"/>
    </row>
    <row r="1784" spans="6:6" x14ac:dyDescent="0.2">
      <c r="F1784" s="264"/>
    </row>
    <row r="1785" spans="6:6" x14ac:dyDescent="0.2">
      <c r="F1785" s="264"/>
    </row>
    <row r="1786" spans="6:6" x14ac:dyDescent="0.2">
      <c r="F1786" s="264"/>
    </row>
    <row r="1787" spans="6:6" x14ac:dyDescent="0.2">
      <c r="F1787" s="264"/>
    </row>
    <row r="1788" spans="6:6" x14ac:dyDescent="0.2">
      <c r="F1788" s="264"/>
    </row>
    <row r="1789" spans="6:6" x14ac:dyDescent="0.2">
      <c r="F1789" s="264"/>
    </row>
    <row r="1790" spans="6:6" x14ac:dyDescent="0.2">
      <c r="F1790" s="264"/>
    </row>
    <row r="1791" spans="6:6" x14ac:dyDescent="0.2">
      <c r="F1791" s="264"/>
    </row>
    <row r="1792" spans="6:6" x14ac:dyDescent="0.2">
      <c r="F1792" s="264"/>
    </row>
    <row r="1793" spans="6:6" x14ac:dyDescent="0.2">
      <c r="F1793" s="264"/>
    </row>
    <row r="1794" spans="6:6" x14ac:dyDescent="0.2">
      <c r="F1794" s="264"/>
    </row>
    <row r="1795" spans="6:6" x14ac:dyDescent="0.2">
      <c r="F1795" s="264"/>
    </row>
    <row r="1796" spans="6:6" x14ac:dyDescent="0.2">
      <c r="F1796" s="264"/>
    </row>
    <row r="1797" spans="6:6" x14ac:dyDescent="0.2">
      <c r="F1797" s="264"/>
    </row>
    <row r="1798" spans="6:6" x14ac:dyDescent="0.2">
      <c r="F1798" s="264"/>
    </row>
    <row r="1799" spans="6:6" x14ac:dyDescent="0.2">
      <c r="F1799" s="264"/>
    </row>
    <row r="1800" spans="6:6" x14ac:dyDescent="0.2">
      <c r="F1800" s="264"/>
    </row>
    <row r="1801" spans="6:6" x14ac:dyDescent="0.2">
      <c r="F1801" s="264"/>
    </row>
    <row r="1802" spans="6:6" x14ac:dyDescent="0.2">
      <c r="F1802" s="264"/>
    </row>
    <row r="1803" spans="6:6" x14ac:dyDescent="0.2">
      <c r="F1803" s="264"/>
    </row>
    <row r="1804" spans="6:6" x14ac:dyDescent="0.2">
      <c r="F1804" s="264"/>
    </row>
    <row r="1805" spans="6:6" x14ac:dyDescent="0.2">
      <c r="F1805" s="264"/>
    </row>
    <row r="1806" spans="6:6" x14ac:dyDescent="0.2">
      <c r="F1806" s="264"/>
    </row>
    <row r="1807" spans="6:6" x14ac:dyDescent="0.2">
      <c r="F1807" s="264"/>
    </row>
    <row r="1808" spans="6:6" x14ac:dyDescent="0.2">
      <c r="F1808" s="264"/>
    </row>
    <row r="1809" spans="6:6" x14ac:dyDescent="0.2">
      <c r="F1809" s="264"/>
    </row>
    <row r="1810" spans="6:6" x14ac:dyDescent="0.2">
      <c r="F1810" s="264"/>
    </row>
    <row r="1811" spans="6:6" x14ac:dyDescent="0.2">
      <c r="F1811" s="264"/>
    </row>
    <row r="1812" spans="6:6" x14ac:dyDescent="0.2">
      <c r="F1812" s="264"/>
    </row>
    <row r="1813" spans="6:6" x14ac:dyDescent="0.2">
      <c r="F1813" s="264"/>
    </row>
    <row r="1814" spans="6:6" x14ac:dyDescent="0.2">
      <c r="F1814" s="264"/>
    </row>
    <row r="1815" spans="6:6" x14ac:dyDescent="0.2">
      <c r="F1815" s="264"/>
    </row>
    <row r="1816" spans="6:6" x14ac:dyDescent="0.2">
      <c r="F1816" s="264"/>
    </row>
    <row r="1817" spans="6:6" x14ac:dyDescent="0.2">
      <c r="F1817" s="264"/>
    </row>
    <row r="1818" spans="6:6" x14ac:dyDescent="0.2">
      <c r="F1818" s="264"/>
    </row>
    <row r="1819" spans="6:6" x14ac:dyDescent="0.2">
      <c r="F1819" s="264"/>
    </row>
    <row r="1820" spans="6:6" x14ac:dyDescent="0.2">
      <c r="F1820" s="264"/>
    </row>
    <row r="1821" spans="6:6" x14ac:dyDescent="0.2">
      <c r="F1821" s="264"/>
    </row>
    <row r="1822" spans="6:6" x14ac:dyDescent="0.2">
      <c r="F1822" s="264"/>
    </row>
    <row r="1823" spans="6:6" x14ac:dyDescent="0.2">
      <c r="F1823" s="264"/>
    </row>
    <row r="1824" spans="6:6" x14ac:dyDescent="0.2">
      <c r="F1824" s="264"/>
    </row>
    <row r="1825" spans="6:6" x14ac:dyDescent="0.2">
      <c r="F1825" s="264"/>
    </row>
    <row r="1826" spans="6:6" x14ac:dyDescent="0.2">
      <c r="F1826" s="264"/>
    </row>
    <row r="1827" spans="6:6" x14ac:dyDescent="0.2">
      <c r="F1827" s="264"/>
    </row>
    <row r="1828" spans="6:6" x14ac:dyDescent="0.2">
      <c r="F1828" s="264"/>
    </row>
    <row r="1829" spans="6:6" x14ac:dyDescent="0.2">
      <c r="F1829" s="264"/>
    </row>
    <row r="1830" spans="6:6" x14ac:dyDescent="0.2">
      <c r="F1830" s="264"/>
    </row>
    <row r="1831" spans="6:6" x14ac:dyDescent="0.2">
      <c r="F1831" s="264"/>
    </row>
    <row r="1832" spans="6:6" x14ac:dyDescent="0.2">
      <c r="F1832" s="264"/>
    </row>
    <row r="1833" spans="6:6" x14ac:dyDescent="0.2">
      <c r="F1833" s="264"/>
    </row>
    <row r="1834" spans="6:6" x14ac:dyDescent="0.2">
      <c r="F1834" s="264"/>
    </row>
    <row r="1835" spans="6:6" x14ac:dyDescent="0.2">
      <c r="F1835" s="264"/>
    </row>
    <row r="1836" spans="6:6" x14ac:dyDescent="0.2">
      <c r="F1836" s="264"/>
    </row>
    <row r="1837" spans="6:6" x14ac:dyDescent="0.2">
      <c r="F1837" s="264"/>
    </row>
    <row r="1838" spans="6:6" x14ac:dyDescent="0.2">
      <c r="F1838" s="264"/>
    </row>
    <row r="1839" spans="6:6" x14ac:dyDescent="0.2">
      <c r="F1839" s="264"/>
    </row>
    <row r="1840" spans="6:6" x14ac:dyDescent="0.2">
      <c r="F1840" s="264"/>
    </row>
    <row r="1841" spans="6:6" x14ac:dyDescent="0.2">
      <c r="F1841" s="264"/>
    </row>
    <row r="1842" spans="6:6" x14ac:dyDescent="0.2">
      <c r="F1842" s="264"/>
    </row>
    <row r="1843" spans="6:6" x14ac:dyDescent="0.2">
      <c r="F1843" s="264"/>
    </row>
    <row r="1844" spans="6:6" x14ac:dyDescent="0.2">
      <c r="F1844" s="264"/>
    </row>
    <row r="1845" spans="6:6" x14ac:dyDescent="0.2">
      <c r="F1845" s="264"/>
    </row>
    <row r="1846" spans="6:6" x14ac:dyDescent="0.2">
      <c r="F1846" s="264"/>
    </row>
    <row r="1847" spans="6:6" x14ac:dyDescent="0.2">
      <c r="F1847" s="264"/>
    </row>
    <row r="1848" spans="6:6" x14ac:dyDescent="0.2">
      <c r="F1848" s="264"/>
    </row>
    <row r="1849" spans="6:6" x14ac:dyDescent="0.2">
      <c r="F1849" s="264"/>
    </row>
    <row r="1850" spans="6:6" x14ac:dyDescent="0.2">
      <c r="F1850" s="264"/>
    </row>
    <row r="1851" spans="6:6" x14ac:dyDescent="0.2">
      <c r="F1851" s="264"/>
    </row>
    <row r="1852" spans="6:6" x14ac:dyDescent="0.2">
      <c r="F1852" s="264"/>
    </row>
    <row r="1853" spans="6:6" x14ac:dyDescent="0.2">
      <c r="F1853" s="264"/>
    </row>
    <row r="1854" spans="6:6" x14ac:dyDescent="0.2">
      <c r="F1854" s="264"/>
    </row>
    <row r="1855" spans="6:6" x14ac:dyDescent="0.2">
      <c r="F1855" s="264"/>
    </row>
    <row r="1856" spans="6:6" x14ac:dyDescent="0.2">
      <c r="F1856" s="264"/>
    </row>
    <row r="1857" spans="6:6" x14ac:dyDescent="0.2">
      <c r="F1857" s="264"/>
    </row>
    <row r="1858" spans="6:6" x14ac:dyDescent="0.2">
      <c r="F1858" s="264"/>
    </row>
    <row r="1859" spans="6:6" x14ac:dyDescent="0.2">
      <c r="F1859" s="264"/>
    </row>
    <row r="1860" spans="6:6" x14ac:dyDescent="0.2">
      <c r="F1860" s="264"/>
    </row>
    <row r="1861" spans="6:6" x14ac:dyDescent="0.2">
      <c r="F1861" s="264"/>
    </row>
    <row r="1862" spans="6:6" x14ac:dyDescent="0.2">
      <c r="F1862" s="264"/>
    </row>
    <row r="1863" spans="6:6" x14ac:dyDescent="0.2">
      <c r="F1863" s="264"/>
    </row>
    <row r="1864" spans="6:6" x14ac:dyDescent="0.2">
      <c r="F1864" s="264"/>
    </row>
    <row r="1865" spans="6:6" x14ac:dyDescent="0.2">
      <c r="F1865" s="264"/>
    </row>
    <row r="1866" spans="6:6" x14ac:dyDescent="0.2">
      <c r="F1866" s="264"/>
    </row>
    <row r="1867" spans="6:6" x14ac:dyDescent="0.2">
      <c r="F1867" s="264"/>
    </row>
    <row r="1868" spans="6:6" x14ac:dyDescent="0.2">
      <c r="F1868" s="264"/>
    </row>
    <row r="1869" spans="6:6" x14ac:dyDescent="0.2">
      <c r="F1869" s="264"/>
    </row>
    <row r="1870" spans="6:6" x14ac:dyDescent="0.2">
      <c r="F1870" s="264"/>
    </row>
    <row r="1871" spans="6:6" x14ac:dyDescent="0.2">
      <c r="F1871" s="264"/>
    </row>
    <row r="1872" spans="6:6" x14ac:dyDescent="0.2">
      <c r="F1872" s="264"/>
    </row>
    <row r="1873" spans="6:6" x14ac:dyDescent="0.2">
      <c r="F1873" s="264"/>
    </row>
    <row r="1874" spans="6:6" x14ac:dyDescent="0.2">
      <c r="F1874" s="264"/>
    </row>
    <row r="1875" spans="6:6" x14ac:dyDescent="0.2">
      <c r="F1875" s="264"/>
    </row>
    <row r="1876" spans="6:6" x14ac:dyDescent="0.2">
      <c r="F1876" s="264"/>
    </row>
    <row r="1877" spans="6:6" x14ac:dyDescent="0.2">
      <c r="F1877" s="264"/>
    </row>
    <row r="1878" spans="6:6" x14ac:dyDescent="0.2">
      <c r="F1878" s="264"/>
    </row>
    <row r="1879" spans="6:6" x14ac:dyDescent="0.2">
      <c r="F1879" s="264"/>
    </row>
    <row r="1880" spans="6:6" x14ac:dyDescent="0.2">
      <c r="F1880" s="264"/>
    </row>
    <row r="1881" spans="6:6" x14ac:dyDescent="0.2">
      <c r="F1881" s="264"/>
    </row>
    <row r="1882" spans="6:6" x14ac:dyDescent="0.2">
      <c r="F1882" s="264"/>
    </row>
    <row r="1883" spans="6:6" x14ac:dyDescent="0.2">
      <c r="F1883" s="264"/>
    </row>
    <row r="1884" spans="6:6" x14ac:dyDescent="0.2">
      <c r="F1884" s="264"/>
    </row>
    <row r="1885" spans="6:6" x14ac:dyDescent="0.2">
      <c r="F1885" s="264"/>
    </row>
    <row r="1886" spans="6:6" x14ac:dyDescent="0.2">
      <c r="F1886" s="264"/>
    </row>
    <row r="1887" spans="6:6" x14ac:dyDescent="0.2">
      <c r="F1887" s="264"/>
    </row>
    <row r="1888" spans="6:6" x14ac:dyDescent="0.2">
      <c r="F1888" s="264"/>
    </row>
    <row r="1889" spans="6:6" x14ac:dyDescent="0.2">
      <c r="F1889" s="264"/>
    </row>
    <row r="1890" spans="6:6" x14ac:dyDescent="0.2">
      <c r="F1890" s="264"/>
    </row>
    <row r="1891" spans="6:6" x14ac:dyDescent="0.2">
      <c r="F1891" s="264"/>
    </row>
    <row r="1892" spans="6:6" x14ac:dyDescent="0.2">
      <c r="F1892" s="264"/>
    </row>
    <row r="1893" spans="6:6" x14ac:dyDescent="0.2">
      <c r="F1893" s="264"/>
    </row>
    <row r="1894" spans="6:6" x14ac:dyDescent="0.2">
      <c r="F1894" s="264"/>
    </row>
    <row r="1895" spans="6:6" x14ac:dyDescent="0.2">
      <c r="F1895" s="264"/>
    </row>
    <row r="1896" spans="6:6" x14ac:dyDescent="0.2">
      <c r="F1896" s="264"/>
    </row>
    <row r="1897" spans="6:6" x14ac:dyDescent="0.2">
      <c r="F1897" s="264"/>
    </row>
    <row r="1898" spans="6:6" x14ac:dyDescent="0.2">
      <c r="F1898" s="264"/>
    </row>
    <row r="1899" spans="6:6" x14ac:dyDescent="0.2">
      <c r="F1899" s="264"/>
    </row>
    <row r="1900" spans="6:6" x14ac:dyDescent="0.2">
      <c r="F1900" s="264"/>
    </row>
    <row r="1901" spans="6:6" x14ac:dyDescent="0.2">
      <c r="F1901" s="264"/>
    </row>
    <row r="1902" spans="6:6" x14ac:dyDescent="0.2">
      <c r="F1902" s="264"/>
    </row>
    <row r="1903" spans="6:6" x14ac:dyDescent="0.2">
      <c r="F1903" s="264"/>
    </row>
    <row r="1904" spans="6:6" x14ac:dyDescent="0.2">
      <c r="F1904" s="264"/>
    </row>
    <row r="1905" spans="6:6" x14ac:dyDescent="0.2">
      <c r="F1905" s="264"/>
    </row>
    <row r="1906" spans="6:6" x14ac:dyDescent="0.2">
      <c r="F1906" s="264"/>
    </row>
    <row r="1907" spans="6:6" x14ac:dyDescent="0.2">
      <c r="F1907" s="264"/>
    </row>
    <row r="1908" spans="6:6" x14ac:dyDescent="0.2">
      <c r="F1908" s="264"/>
    </row>
    <row r="1909" spans="6:6" x14ac:dyDescent="0.2">
      <c r="F1909" s="264"/>
    </row>
    <row r="1910" spans="6:6" x14ac:dyDescent="0.2">
      <c r="F1910" s="264"/>
    </row>
    <row r="1911" spans="6:6" x14ac:dyDescent="0.2">
      <c r="F1911" s="264"/>
    </row>
    <row r="1912" spans="6:6" x14ac:dyDescent="0.2">
      <c r="F1912" s="264"/>
    </row>
    <row r="1913" spans="6:6" x14ac:dyDescent="0.2">
      <c r="F1913" s="264"/>
    </row>
    <row r="1914" spans="6:6" x14ac:dyDescent="0.2">
      <c r="F1914" s="264"/>
    </row>
    <row r="1915" spans="6:6" x14ac:dyDescent="0.2">
      <c r="F1915" s="264"/>
    </row>
    <row r="1916" spans="6:6" x14ac:dyDescent="0.2">
      <c r="F1916" s="264"/>
    </row>
    <row r="1917" spans="6:6" x14ac:dyDescent="0.2">
      <c r="F1917" s="264"/>
    </row>
    <row r="1918" spans="6:6" x14ac:dyDescent="0.2">
      <c r="F1918" s="264"/>
    </row>
    <row r="1919" spans="6:6" x14ac:dyDescent="0.2">
      <c r="F1919" s="264"/>
    </row>
    <row r="1920" spans="6:6" x14ac:dyDescent="0.2">
      <c r="F1920" s="264"/>
    </row>
    <row r="1921" spans="6:6" x14ac:dyDescent="0.2">
      <c r="F1921" s="264"/>
    </row>
    <row r="1922" spans="6:6" x14ac:dyDescent="0.2">
      <c r="F1922" s="264"/>
    </row>
    <row r="1923" spans="6:6" x14ac:dyDescent="0.2">
      <c r="F1923" s="264"/>
    </row>
    <row r="1924" spans="6:6" x14ac:dyDescent="0.2">
      <c r="F1924" s="264"/>
    </row>
    <row r="1925" spans="6:6" x14ac:dyDescent="0.2">
      <c r="F1925" s="264"/>
    </row>
    <row r="1926" spans="6:6" x14ac:dyDescent="0.2">
      <c r="F1926" s="264"/>
    </row>
    <row r="1927" spans="6:6" x14ac:dyDescent="0.2">
      <c r="F1927" s="264"/>
    </row>
    <row r="1928" spans="6:6" x14ac:dyDescent="0.2">
      <c r="F1928" s="264"/>
    </row>
    <row r="1929" spans="6:6" x14ac:dyDescent="0.2">
      <c r="F1929" s="264"/>
    </row>
    <row r="1930" spans="6:6" x14ac:dyDescent="0.2">
      <c r="F1930" s="264"/>
    </row>
    <row r="1931" spans="6:6" x14ac:dyDescent="0.2">
      <c r="F1931" s="264"/>
    </row>
    <row r="1932" spans="6:6" x14ac:dyDescent="0.2">
      <c r="F1932" s="264"/>
    </row>
    <row r="1933" spans="6:6" x14ac:dyDescent="0.2">
      <c r="F1933" s="264"/>
    </row>
    <row r="1934" spans="6:6" x14ac:dyDescent="0.2">
      <c r="F1934" s="264"/>
    </row>
    <row r="1935" spans="6:6" x14ac:dyDescent="0.2">
      <c r="F1935" s="264"/>
    </row>
    <row r="1936" spans="6:6" x14ac:dyDescent="0.2">
      <c r="F1936" s="264"/>
    </row>
    <row r="1937" spans="6:6" x14ac:dyDescent="0.2">
      <c r="F1937" s="264"/>
    </row>
    <row r="1938" spans="6:6" x14ac:dyDescent="0.2">
      <c r="F1938" s="264"/>
    </row>
    <row r="1939" spans="6:6" x14ac:dyDescent="0.2">
      <c r="F1939" s="264"/>
    </row>
    <row r="1940" spans="6:6" x14ac:dyDescent="0.2">
      <c r="F1940" s="264"/>
    </row>
    <row r="1941" spans="6:6" x14ac:dyDescent="0.2">
      <c r="F1941" s="264"/>
    </row>
    <row r="1942" spans="6:6" x14ac:dyDescent="0.2">
      <c r="F1942" s="264"/>
    </row>
    <row r="1943" spans="6:6" x14ac:dyDescent="0.2">
      <c r="F1943" s="264"/>
    </row>
    <row r="1944" spans="6:6" x14ac:dyDescent="0.2">
      <c r="F1944" s="264"/>
    </row>
    <row r="1945" spans="6:6" x14ac:dyDescent="0.2">
      <c r="F1945" s="264"/>
    </row>
    <row r="1946" spans="6:6" x14ac:dyDescent="0.2">
      <c r="F1946" s="264"/>
    </row>
    <row r="1947" spans="6:6" x14ac:dyDescent="0.2">
      <c r="F1947" s="264"/>
    </row>
    <row r="1948" spans="6:6" x14ac:dyDescent="0.2">
      <c r="F1948" s="264"/>
    </row>
    <row r="1949" spans="6:6" x14ac:dyDescent="0.2">
      <c r="F1949" s="264"/>
    </row>
    <row r="1950" spans="6:6" x14ac:dyDescent="0.2">
      <c r="F1950" s="264"/>
    </row>
    <row r="1951" spans="6:6" x14ac:dyDescent="0.2">
      <c r="F1951" s="264"/>
    </row>
    <row r="1952" spans="6:6" x14ac:dyDescent="0.2">
      <c r="F1952" s="264"/>
    </row>
    <row r="1953" spans="6:6" x14ac:dyDescent="0.2">
      <c r="F1953" s="264"/>
    </row>
    <row r="1954" spans="6:6" x14ac:dyDescent="0.2">
      <c r="F1954" s="264"/>
    </row>
    <row r="1955" spans="6:6" x14ac:dyDescent="0.2">
      <c r="F1955" s="264"/>
    </row>
    <row r="1956" spans="6:6" x14ac:dyDescent="0.2">
      <c r="F1956" s="264"/>
    </row>
    <row r="1957" spans="6:6" x14ac:dyDescent="0.2">
      <c r="F1957" s="264"/>
    </row>
    <row r="1958" spans="6:6" x14ac:dyDescent="0.2">
      <c r="F1958" s="264"/>
    </row>
    <row r="1959" spans="6:6" x14ac:dyDescent="0.2">
      <c r="F1959" s="264"/>
    </row>
    <row r="1960" spans="6:6" x14ac:dyDescent="0.2">
      <c r="F1960" s="264"/>
    </row>
    <row r="1961" spans="6:6" x14ac:dyDescent="0.2">
      <c r="F1961" s="264"/>
    </row>
    <row r="1962" spans="6:6" x14ac:dyDescent="0.2">
      <c r="F1962" s="264"/>
    </row>
    <row r="1963" spans="6:6" x14ac:dyDescent="0.2">
      <c r="F1963" s="264"/>
    </row>
    <row r="1964" spans="6:6" x14ac:dyDescent="0.2">
      <c r="F1964" s="264"/>
    </row>
    <row r="1965" spans="6:6" x14ac:dyDescent="0.2">
      <c r="F1965" s="264"/>
    </row>
    <row r="1966" spans="6:6" x14ac:dyDescent="0.2">
      <c r="F1966" s="264"/>
    </row>
    <row r="1967" spans="6:6" x14ac:dyDescent="0.2">
      <c r="F1967" s="264"/>
    </row>
    <row r="1968" spans="6:6" x14ac:dyDescent="0.2">
      <c r="F1968" s="264"/>
    </row>
    <row r="1969" spans="6:6" x14ac:dyDescent="0.2">
      <c r="F1969" s="264"/>
    </row>
    <row r="1970" spans="6:6" x14ac:dyDescent="0.2">
      <c r="F1970" s="264"/>
    </row>
    <row r="1971" spans="6:6" x14ac:dyDescent="0.2">
      <c r="F1971" s="264"/>
    </row>
    <row r="1972" spans="6:6" x14ac:dyDescent="0.2">
      <c r="F1972" s="264"/>
    </row>
    <row r="1973" spans="6:6" x14ac:dyDescent="0.2">
      <c r="F1973" s="264"/>
    </row>
    <row r="1974" spans="6:6" x14ac:dyDescent="0.2">
      <c r="F1974" s="264"/>
    </row>
    <row r="1975" spans="6:6" x14ac:dyDescent="0.2">
      <c r="F1975" s="264"/>
    </row>
    <row r="1976" spans="6:6" x14ac:dyDescent="0.2">
      <c r="F1976" s="264"/>
    </row>
    <row r="1977" spans="6:6" x14ac:dyDescent="0.2">
      <c r="F1977" s="264"/>
    </row>
    <row r="1978" spans="6:6" x14ac:dyDescent="0.2">
      <c r="F1978" s="264"/>
    </row>
    <row r="1979" spans="6:6" x14ac:dyDescent="0.2">
      <c r="F1979" s="264"/>
    </row>
    <row r="1980" spans="6:6" x14ac:dyDescent="0.2">
      <c r="F1980" s="264"/>
    </row>
    <row r="1981" spans="6:6" x14ac:dyDescent="0.2">
      <c r="F1981" s="264"/>
    </row>
    <row r="1982" spans="6:6" x14ac:dyDescent="0.2">
      <c r="F1982" s="264"/>
    </row>
    <row r="1983" spans="6:6" x14ac:dyDescent="0.2">
      <c r="F1983" s="264"/>
    </row>
    <row r="1984" spans="6:6" x14ac:dyDescent="0.2">
      <c r="F1984" s="264"/>
    </row>
    <row r="1985" spans="6:6" x14ac:dyDescent="0.2">
      <c r="F1985" s="264"/>
    </row>
    <row r="1986" spans="6:6" x14ac:dyDescent="0.2">
      <c r="F1986" s="264"/>
    </row>
    <row r="1987" spans="6:6" x14ac:dyDescent="0.2">
      <c r="F1987" s="264"/>
    </row>
    <row r="1988" spans="6:6" x14ac:dyDescent="0.2">
      <c r="F1988" s="264"/>
    </row>
    <row r="1989" spans="6:6" x14ac:dyDescent="0.2">
      <c r="F1989" s="264"/>
    </row>
    <row r="1990" spans="6:6" x14ac:dyDescent="0.2">
      <c r="F1990" s="264"/>
    </row>
    <row r="1991" spans="6:6" x14ac:dyDescent="0.2">
      <c r="F1991" s="264"/>
    </row>
    <row r="1992" spans="6:6" x14ac:dyDescent="0.2">
      <c r="F1992" s="264"/>
    </row>
    <row r="1993" spans="6:6" x14ac:dyDescent="0.2">
      <c r="F1993" s="264"/>
    </row>
    <row r="1994" spans="6:6" x14ac:dyDescent="0.2">
      <c r="F1994" s="264"/>
    </row>
    <row r="1995" spans="6:6" x14ac:dyDescent="0.2">
      <c r="F1995" s="264"/>
    </row>
    <row r="1996" spans="6:6" x14ac:dyDescent="0.2">
      <c r="F1996" s="264"/>
    </row>
    <row r="1997" spans="6:6" x14ac:dyDescent="0.2">
      <c r="F1997" s="264"/>
    </row>
    <row r="1998" spans="6:6" x14ac:dyDescent="0.2">
      <c r="F1998" s="264"/>
    </row>
    <row r="1999" spans="6:6" x14ac:dyDescent="0.2">
      <c r="F1999" s="264"/>
    </row>
    <row r="2000" spans="6:6" x14ac:dyDescent="0.2">
      <c r="F2000" s="264"/>
    </row>
    <row r="2001" spans="6:6" x14ac:dyDescent="0.2">
      <c r="F2001" s="264"/>
    </row>
    <row r="2002" spans="6:6" x14ac:dyDescent="0.2">
      <c r="F2002" s="264"/>
    </row>
    <row r="2003" spans="6:6" x14ac:dyDescent="0.2">
      <c r="F2003" s="264"/>
    </row>
    <row r="2004" spans="6:6" x14ac:dyDescent="0.2">
      <c r="F2004" s="264"/>
    </row>
    <row r="2005" spans="6:6" x14ac:dyDescent="0.2">
      <c r="F2005" s="264"/>
    </row>
    <row r="2006" spans="6:6" x14ac:dyDescent="0.2">
      <c r="F2006" s="264"/>
    </row>
    <row r="2007" spans="6:6" x14ac:dyDescent="0.2">
      <c r="F2007" s="264"/>
    </row>
    <row r="2008" spans="6:6" x14ac:dyDescent="0.2">
      <c r="F2008" s="264"/>
    </row>
    <row r="2009" spans="6:6" x14ac:dyDescent="0.2">
      <c r="F2009" s="264"/>
    </row>
    <row r="2010" spans="6:6" x14ac:dyDescent="0.2">
      <c r="F2010" s="264"/>
    </row>
    <row r="2011" spans="6:6" x14ac:dyDescent="0.2">
      <c r="F2011" s="264"/>
    </row>
    <row r="2012" spans="6:6" x14ac:dyDescent="0.2">
      <c r="F2012" s="264"/>
    </row>
    <row r="2013" spans="6:6" x14ac:dyDescent="0.2">
      <c r="F2013" s="264"/>
    </row>
    <row r="2014" spans="6:6" x14ac:dyDescent="0.2">
      <c r="F2014" s="264"/>
    </row>
    <row r="2015" spans="6:6" x14ac:dyDescent="0.2">
      <c r="F2015" s="264"/>
    </row>
    <row r="2016" spans="6:6" x14ac:dyDescent="0.2">
      <c r="F2016" s="264"/>
    </row>
    <row r="2017" spans="6:6" x14ac:dyDescent="0.2">
      <c r="F2017" s="264"/>
    </row>
    <row r="2018" spans="6:6" x14ac:dyDescent="0.2">
      <c r="F2018" s="264"/>
    </row>
    <row r="2019" spans="6:6" x14ac:dyDescent="0.2">
      <c r="F2019" s="264"/>
    </row>
    <row r="2020" spans="6:6" x14ac:dyDescent="0.2">
      <c r="F2020" s="264"/>
    </row>
    <row r="2021" spans="6:6" x14ac:dyDescent="0.2">
      <c r="F2021" s="264"/>
    </row>
    <row r="2022" spans="6:6" x14ac:dyDescent="0.2">
      <c r="F2022" s="264"/>
    </row>
    <row r="2023" spans="6:6" x14ac:dyDescent="0.2">
      <c r="F2023" s="264"/>
    </row>
    <row r="2024" spans="6:6" x14ac:dyDescent="0.2">
      <c r="F2024" s="264"/>
    </row>
    <row r="2025" spans="6:6" x14ac:dyDescent="0.2">
      <c r="F2025" s="264"/>
    </row>
    <row r="2026" spans="6:6" x14ac:dyDescent="0.2">
      <c r="F2026" s="264"/>
    </row>
    <row r="2027" spans="6:6" x14ac:dyDescent="0.2">
      <c r="F2027" s="264"/>
    </row>
    <row r="2028" spans="6:6" x14ac:dyDescent="0.2">
      <c r="F2028" s="264"/>
    </row>
    <row r="2029" spans="6:6" x14ac:dyDescent="0.2">
      <c r="F2029" s="264"/>
    </row>
    <row r="2030" spans="6:6" x14ac:dyDescent="0.2">
      <c r="F2030" s="264"/>
    </row>
    <row r="2031" spans="6:6" x14ac:dyDescent="0.2">
      <c r="F2031" s="264"/>
    </row>
    <row r="2032" spans="6:6" x14ac:dyDescent="0.2">
      <c r="F2032" s="264"/>
    </row>
    <row r="2033" spans="6:6" x14ac:dyDescent="0.2">
      <c r="F2033" s="264"/>
    </row>
    <row r="2034" spans="6:6" x14ac:dyDescent="0.2">
      <c r="F2034" s="264"/>
    </row>
    <row r="2035" spans="6:6" x14ac:dyDescent="0.2">
      <c r="F2035" s="264"/>
    </row>
    <row r="2036" spans="6:6" x14ac:dyDescent="0.2">
      <c r="F2036" s="264"/>
    </row>
    <row r="2037" spans="6:6" x14ac:dyDescent="0.2">
      <c r="F2037" s="264"/>
    </row>
    <row r="2038" spans="6:6" x14ac:dyDescent="0.2">
      <c r="F2038" s="264"/>
    </row>
    <row r="2039" spans="6:6" x14ac:dyDescent="0.2">
      <c r="F2039" s="264"/>
    </row>
    <row r="2040" spans="6:6" x14ac:dyDescent="0.2">
      <c r="F2040" s="264"/>
    </row>
    <row r="2041" spans="6:6" x14ac:dyDescent="0.2">
      <c r="F2041" s="264"/>
    </row>
    <row r="2042" spans="6:6" x14ac:dyDescent="0.2">
      <c r="F2042" s="264"/>
    </row>
    <row r="2043" spans="6:6" x14ac:dyDescent="0.2">
      <c r="F2043" s="264"/>
    </row>
    <row r="2044" spans="6:6" x14ac:dyDescent="0.2">
      <c r="F2044" s="264"/>
    </row>
    <row r="2045" spans="6:6" x14ac:dyDescent="0.2">
      <c r="F2045" s="264"/>
    </row>
    <row r="2046" spans="6:6" x14ac:dyDescent="0.2">
      <c r="F2046" s="264"/>
    </row>
    <row r="2047" spans="6:6" x14ac:dyDescent="0.2">
      <c r="F2047" s="264"/>
    </row>
    <row r="2048" spans="6:6" x14ac:dyDescent="0.2">
      <c r="F2048" s="264"/>
    </row>
    <row r="2049" spans="6:6" x14ac:dyDescent="0.2">
      <c r="F2049" s="264"/>
    </row>
    <row r="2050" spans="6:6" x14ac:dyDescent="0.2">
      <c r="F2050" s="264"/>
    </row>
    <row r="2051" spans="6:6" x14ac:dyDescent="0.2">
      <c r="F2051" s="264"/>
    </row>
    <row r="2052" spans="6:6" x14ac:dyDescent="0.2">
      <c r="F2052" s="264"/>
    </row>
    <row r="2053" spans="6:6" x14ac:dyDescent="0.2">
      <c r="F2053" s="264"/>
    </row>
    <row r="2054" spans="6:6" x14ac:dyDescent="0.2">
      <c r="F2054" s="264"/>
    </row>
    <row r="2055" spans="6:6" x14ac:dyDescent="0.2">
      <c r="F2055" s="264"/>
    </row>
    <row r="2056" spans="6:6" x14ac:dyDescent="0.2">
      <c r="F2056" s="264"/>
    </row>
    <row r="2057" spans="6:6" x14ac:dyDescent="0.2">
      <c r="F2057" s="264"/>
    </row>
    <row r="2058" spans="6:6" x14ac:dyDescent="0.2">
      <c r="F2058" s="264"/>
    </row>
    <row r="2059" spans="6:6" x14ac:dyDescent="0.2">
      <c r="F2059" s="264"/>
    </row>
    <row r="2060" spans="6:6" x14ac:dyDescent="0.2">
      <c r="F2060" s="264"/>
    </row>
    <row r="2061" spans="6:6" x14ac:dyDescent="0.2">
      <c r="F2061" s="264"/>
    </row>
    <row r="2062" spans="6:6" x14ac:dyDescent="0.2">
      <c r="F2062" s="264"/>
    </row>
    <row r="2063" spans="6:6" x14ac:dyDescent="0.2">
      <c r="F2063" s="264"/>
    </row>
    <row r="2064" spans="6:6" x14ac:dyDescent="0.2">
      <c r="F2064" s="264"/>
    </row>
    <row r="2065" spans="6:6" x14ac:dyDescent="0.2">
      <c r="F2065" s="264"/>
    </row>
    <row r="2066" spans="6:6" x14ac:dyDescent="0.2">
      <c r="F2066" s="264"/>
    </row>
    <row r="2067" spans="6:6" x14ac:dyDescent="0.2">
      <c r="F2067" s="264"/>
    </row>
    <row r="2068" spans="6:6" x14ac:dyDescent="0.2">
      <c r="F2068" s="264"/>
    </row>
    <row r="2069" spans="6:6" x14ac:dyDescent="0.2">
      <c r="F2069" s="264"/>
    </row>
    <row r="2070" spans="6:6" x14ac:dyDescent="0.2">
      <c r="F2070" s="264"/>
    </row>
    <row r="2071" spans="6:6" x14ac:dyDescent="0.2">
      <c r="F2071" s="264"/>
    </row>
    <row r="2072" spans="6:6" x14ac:dyDescent="0.2">
      <c r="F2072" s="264"/>
    </row>
    <row r="2073" spans="6:6" x14ac:dyDescent="0.2">
      <c r="F2073" s="264"/>
    </row>
    <row r="2074" spans="6:6" x14ac:dyDescent="0.2">
      <c r="F2074" s="264"/>
    </row>
    <row r="2075" spans="6:6" x14ac:dyDescent="0.2">
      <c r="F2075" s="264"/>
    </row>
    <row r="2076" spans="6:6" x14ac:dyDescent="0.2">
      <c r="F2076" s="264"/>
    </row>
    <row r="2077" spans="6:6" x14ac:dyDescent="0.2">
      <c r="F2077" s="264"/>
    </row>
    <row r="2078" spans="6:6" x14ac:dyDescent="0.2">
      <c r="F2078" s="264"/>
    </row>
    <row r="2079" spans="6:6" x14ac:dyDescent="0.2">
      <c r="F2079" s="264"/>
    </row>
    <row r="2080" spans="6:6" x14ac:dyDescent="0.2">
      <c r="F2080" s="264"/>
    </row>
    <row r="2081" spans="6:6" x14ac:dyDescent="0.2">
      <c r="F2081" s="264"/>
    </row>
    <row r="2082" spans="6:6" x14ac:dyDescent="0.2">
      <c r="F2082" s="264"/>
    </row>
    <row r="2083" spans="6:6" x14ac:dyDescent="0.2">
      <c r="F2083" s="264"/>
    </row>
    <row r="2084" spans="6:6" x14ac:dyDescent="0.2">
      <c r="F2084" s="264"/>
    </row>
    <row r="2085" spans="6:6" x14ac:dyDescent="0.2">
      <c r="F2085" s="264"/>
    </row>
    <row r="2086" spans="6:6" x14ac:dyDescent="0.2">
      <c r="F2086" s="264"/>
    </row>
    <row r="2087" spans="6:6" x14ac:dyDescent="0.2">
      <c r="F2087" s="264"/>
    </row>
    <row r="2088" spans="6:6" x14ac:dyDescent="0.2">
      <c r="F2088" s="264"/>
    </row>
    <row r="2089" spans="6:6" x14ac:dyDescent="0.2">
      <c r="F2089" s="264"/>
    </row>
    <row r="2090" spans="6:6" x14ac:dyDescent="0.2">
      <c r="F2090" s="264"/>
    </row>
    <row r="2091" spans="6:6" x14ac:dyDescent="0.2">
      <c r="F2091" s="264"/>
    </row>
    <row r="2092" spans="6:6" x14ac:dyDescent="0.2">
      <c r="F2092" s="264"/>
    </row>
    <row r="2093" spans="6:6" x14ac:dyDescent="0.2">
      <c r="F2093" s="264"/>
    </row>
    <row r="2094" spans="6:6" x14ac:dyDescent="0.2">
      <c r="F2094" s="264"/>
    </row>
    <row r="2095" spans="6:6" x14ac:dyDescent="0.2">
      <c r="F2095" s="264"/>
    </row>
    <row r="2096" spans="6:6" x14ac:dyDescent="0.2">
      <c r="F2096" s="264"/>
    </row>
    <row r="2097" spans="6:6" x14ac:dyDescent="0.2">
      <c r="F2097" s="264"/>
    </row>
    <row r="2098" spans="6:6" x14ac:dyDescent="0.2">
      <c r="F2098" s="264"/>
    </row>
    <row r="2099" spans="6:6" x14ac:dyDescent="0.2">
      <c r="F2099" s="264"/>
    </row>
    <row r="2100" spans="6:6" x14ac:dyDescent="0.2">
      <c r="F2100" s="264"/>
    </row>
    <row r="2101" spans="6:6" x14ac:dyDescent="0.2">
      <c r="F2101" s="264"/>
    </row>
    <row r="2102" spans="6:6" x14ac:dyDescent="0.2">
      <c r="F2102" s="264"/>
    </row>
    <row r="2103" spans="6:6" x14ac:dyDescent="0.2">
      <c r="F2103" s="264"/>
    </row>
    <row r="2104" spans="6:6" x14ac:dyDescent="0.2">
      <c r="F2104" s="264"/>
    </row>
    <row r="2105" spans="6:6" x14ac:dyDescent="0.2">
      <c r="F2105" s="264"/>
    </row>
    <row r="2106" spans="6:6" x14ac:dyDescent="0.2">
      <c r="F2106" s="264"/>
    </row>
    <row r="2107" spans="6:6" x14ac:dyDescent="0.2">
      <c r="F2107" s="264"/>
    </row>
    <row r="2108" spans="6:6" x14ac:dyDescent="0.2">
      <c r="F2108" s="264"/>
    </row>
    <row r="2109" spans="6:6" x14ac:dyDescent="0.2">
      <c r="F2109" s="264"/>
    </row>
    <row r="2110" spans="6:6" x14ac:dyDescent="0.2">
      <c r="F2110" s="264"/>
    </row>
    <row r="2111" spans="6:6" x14ac:dyDescent="0.2">
      <c r="F2111" s="264"/>
    </row>
    <row r="2112" spans="6:6" x14ac:dyDescent="0.2">
      <c r="F2112" s="264"/>
    </row>
    <row r="2113" spans="6:6" x14ac:dyDescent="0.2">
      <c r="F2113" s="264"/>
    </row>
    <row r="2114" spans="6:6" x14ac:dyDescent="0.2">
      <c r="F2114" s="264"/>
    </row>
    <row r="2115" spans="6:6" x14ac:dyDescent="0.2">
      <c r="F2115" s="264"/>
    </row>
    <row r="2116" spans="6:6" x14ac:dyDescent="0.2">
      <c r="F2116" s="264"/>
    </row>
    <row r="2117" spans="6:6" x14ac:dyDescent="0.2">
      <c r="F2117" s="264"/>
    </row>
    <row r="2118" spans="6:6" x14ac:dyDescent="0.2">
      <c r="F2118" s="264"/>
    </row>
    <row r="2119" spans="6:6" x14ac:dyDescent="0.2">
      <c r="F2119" s="264"/>
    </row>
    <row r="2120" spans="6:6" x14ac:dyDescent="0.2">
      <c r="F2120" s="264"/>
    </row>
    <row r="2121" spans="6:6" x14ac:dyDescent="0.2">
      <c r="F2121" s="264"/>
    </row>
    <row r="2122" spans="6:6" x14ac:dyDescent="0.2">
      <c r="F2122" s="264"/>
    </row>
    <row r="2123" spans="6:6" x14ac:dyDescent="0.2">
      <c r="F2123" s="264"/>
    </row>
    <row r="2124" spans="6:6" x14ac:dyDescent="0.2">
      <c r="F2124" s="264"/>
    </row>
    <row r="2125" spans="6:6" x14ac:dyDescent="0.2">
      <c r="F2125" s="264"/>
    </row>
    <row r="2126" spans="6:6" x14ac:dyDescent="0.2">
      <c r="F2126" s="264"/>
    </row>
    <row r="2127" spans="6:6" x14ac:dyDescent="0.2">
      <c r="F2127" s="264"/>
    </row>
    <row r="2128" spans="6:6" x14ac:dyDescent="0.2">
      <c r="F2128" s="264"/>
    </row>
    <row r="2129" spans="6:6" x14ac:dyDescent="0.2">
      <c r="F2129" s="264"/>
    </row>
    <row r="2130" spans="6:6" x14ac:dyDescent="0.2">
      <c r="F2130" s="264"/>
    </row>
    <row r="2131" spans="6:6" x14ac:dyDescent="0.2">
      <c r="F2131" s="264"/>
    </row>
    <row r="2132" spans="6:6" x14ac:dyDescent="0.2">
      <c r="F2132" s="264"/>
    </row>
    <row r="2133" spans="6:6" x14ac:dyDescent="0.2">
      <c r="F2133" s="264"/>
    </row>
    <row r="2134" spans="6:6" x14ac:dyDescent="0.2">
      <c r="F2134" s="264"/>
    </row>
    <row r="2135" spans="6:6" x14ac:dyDescent="0.2">
      <c r="F2135" s="264"/>
    </row>
    <row r="2136" spans="6:6" x14ac:dyDescent="0.2">
      <c r="F2136" s="264"/>
    </row>
    <row r="2137" spans="6:6" x14ac:dyDescent="0.2">
      <c r="F2137" s="264"/>
    </row>
    <row r="2138" spans="6:6" x14ac:dyDescent="0.2">
      <c r="F2138" s="264"/>
    </row>
    <row r="2139" spans="6:6" x14ac:dyDescent="0.2">
      <c r="F2139" s="264"/>
    </row>
    <row r="2140" spans="6:6" x14ac:dyDescent="0.2">
      <c r="F2140" s="264"/>
    </row>
    <row r="2141" spans="6:6" x14ac:dyDescent="0.2">
      <c r="F2141" s="264"/>
    </row>
    <row r="2142" spans="6:6" x14ac:dyDescent="0.2">
      <c r="F2142" s="264"/>
    </row>
    <row r="2143" spans="6:6" x14ac:dyDescent="0.2">
      <c r="F2143" s="264"/>
    </row>
    <row r="2144" spans="6:6" x14ac:dyDescent="0.2">
      <c r="F2144" s="264"/>
    </row>
    <row r="2145" spans="6:6" x14ac:dyDescent="0.2">
      <c r="F2145" s="264"/>
    </row>
    <row r="2146" spans="6:6" x14ac:dyDescent="0.2">
      <c r="F2146" s="264"/>
    </row>
    <row r="2147" spans="6:6" x14ac:dyDescent="0.2">
      <c r="F2147" s="264"/>
    </row>
    <row r="2148" spans="6:6" x14ac:dyDescent="0.2">
      <c r="F2148" s="264"/>
    </row>
    <row r="2149" spans="6:6" x14ac:dyDescent="0.2">
      <c r="F2149" s="264"/>
    </row>
    <row r="2150" spans="6:6" x14ac:dyDescent="0.2">
      <c r="F2150" s="264"/>
    </row>
    <row r="2151" spans="6:6" x14ac:dyDescent="0.2">
      <c r="F2151" s="264"/>
    </row>
    <row r="2152" spans="6:6" x14ac:dyDescent="0.2">
      <c r="F2152" s="264"/>
    </row>
    <row r="2153" spans="6:6" x14ac:dyDescent="0.2">
      <c r="F2153" s="264"/>
    </row>
    <row r="2154" spans="6:6" x14ac:dyDescent="0.2">
      <c r="F2154" s="264"/>
    </row>
    <row r="2155" spans="6:6" x14ac:dyDescent="0.2">
      <c r="F2155" s="264"/>
    </row>
    <row r="2156" spans="6:6" x14ac:dyDescent="0.2">
      <c r="F2156" s="264"/>
    </row>
    <row r="2157" spans="6:6" x14ac:dyDescent="0.2">
      <c r="F2157" s="264"/>
    </row>
    <row r="2158" spans="6:6" x14ac:dyDescent="0.2">
      <c r="F2158" s="264"/>
    </row>
    <row r="2159" spans="6:6" x14ac:dyDescent="0.2">
      <c r="F2159" s="264"/>
    </row>
    <row r="2160" spans="6:6" x14ac:dyDescent="0.2">
      <c r="F2160" s="264"/>
    </row>
    <row r="2161" spans="6:6" x14ac:dyDescent="0.2">
      <c r="F2161" s="264"/>
    </row>
    <row r="2162" spans="6:6" x14ac:dyDescent="0.2">
      <c r="F2162" s="264"/>
    </row>
    <row r="2163" spans="6:6" x14ac:dyDescent="0.2">
      <c r="F2163" s="264"/>
    </row>
    <row r="2164" spans="6:6" x14ac:dyDescent="0.2">
      <c r="F2164" s="264"/>
    </row>
    <row r="2165" spans="6:6" x14ac:dyDescent="0.2">
      <c r="F2165" s="264"/>
    </row>
    <row r="2166" spans="6:6" x14ac:dyDescent="0.2">
      <c r="F2166" s="264"/>
    </row>
    <row r="2167" spans="6:6" x14ac:dyDescent="0.2">
      <c r="F2167" s="264"/>
    </row>
    <row r="2168" spans="6:6" x14ac:dyDescent="0.2">
      <c r="F2168" s="264"/>
    </row>
    <row r="2169" spans="6:6" x14ac:dyDescent="0.2">
      <c r="F2169" s="264"/>
    </row>
    <row r="2170" spans="6:6" x14ac:dyDescent="0.2">
      <c r="F2170" s="264"/>
    </row>
    <row r="2171" spans="6:6" x14ac:dyDescent="0.2">
      <c r="F2171" s="264"/>
    </row>
    <row r="2172" spans="6:6" x14ac:dyDescent="0.2">
      <c r="F2172" s="264"/>
    </row>
    <row r="2173" spans="6:6" x14ac:dyDescent="0.2">
      <c r="F2173" s="264"/>
    </row>
    <row r="2174" spans="6:6" x14ac:dyDescent="0.2">
      <c r="F2174" s="264"/>
    </row>
    <row r="2175" spans="6:6" x14ac:dyDescent="0.2">
      <c r="F2175" s="264"/>
    </row>
    <row r="2176" spans="6:6" x14ac:dyDescent="0.2">
      <c r="F2176" s="264"/>
    </row>
    <row r="2177" spans="6:6" x14ac:dyDescent="0.2">
      <c r="F2177" s="264"/>
    </row>
    <row r="2178" spans="6:6" x14ac:dyDescent="0.2">
      <c r="F2178" s="264"/>
    </row>
    <row r="2179" spans="6:6" x14ac:dyDescent="0.2">
      <c r="F2179" s="264"/>
    </row>
    <row r="2180" spans="6:6" x14ac:dyDescent="0.2">
      <c r="F2180" s="264"/>
    </row>
    <row r="2181" spans="6:6" x14ac:dyDescent="0.2">
      <c r="F2181" s="264"/>
    </row>
    <row r="2182" spans="6:6" x14ac:dyDescent="0.2">
      <c r="F2182" s="264"/>
    </row>
    <row r="2183" spans="6:6" x14ac:dyDescent="0.2">
      <c r="F2183" s="264"/>
    </row>
    <row r="2184" spans="6:6" x14ac:dyDescent="0.2">
      <c r="F2184" s="264"/>
    </row>
    <row r="2185" spans="6:6" x14ac:dyDescent="0.2">
      <c r="F2185" s="264"/>
    </row>
    <row r="2186" spans="6:6" x14ac:dyDescent="0.2">
      <c r="F2186" s="264"/>
    </row>
    <row r="2187" spans="6:6" x14ac:dyDescent="0.2">
      <c r="F2187" s="264"/>
    </row>
    <row r="2188" spans="6:6" x14ac:dyDescent="0.2">
      <c r="F2188" s="264"/>
    </row>
    <row r="2189" spans="6:6" x14ac:dyDescent="0.2">
      <c r="F2189" s="264"/>
    </row>
    <row r="2190" spans="6:6" x14ac:dyDescent="0.2">
      <c r="F2190" s="264"/>
    </row>
    <row r="2191" spans="6:6" x14ac:dyDescent="0.2">
      <c r="F2191" s="264"/>
    </row>
    <row r="2192" spans="6:6" x14ac:dyDescent="0.2">
      <c r="F2192" s="264"/>
    </row>
    <row r="2193" spans="6:6" x14ac:dyDescent="0.2">
      <c r="F2193" s="264"/>
    </row>
    <row r="2194" spans="6:6" x14ac:dyDescent="0.2">
      <c r="F2194" s="264"/>
    </row>
    <row r="2195" spans="6:6" x14ac:dyDescent="0.2">
      <c r="F2195" s="264"/>
    </row>
    <row r="2196" spans="6:6" x14ac:dyDescent="0.2">
      <c r="F2196" s="264"/>
    </row>
    <row r="2197" spans="6:6" x14ac:dyDescent="0.2">
      <c r="F2197" s="264"/>
    </row>
    <row r="2198" spans="6:6" x14ac:dyDescent="0.2">
      <c r="F2198" s="264"/>
    </row>
    <row r="2199" spans="6:6" x14ac:dyDescent="0.2">
      <c r="F2199" s="264"/>
    </row>
    <row r="2200" spans="6:6" x14ac:dyDescent="0.2">
      <c r="F2200" s="264"/>
    </row>
    <row r="2201" spans="6:6" x14ac:dyDescent="0.2">
      <c r="F2201" s="264"/>
    </row>
    <row r="2202" spans="6:6" x14ac:dyDescent="0.2">
      <c r="F2202" s="264"/>
    </row>
    <row r="2203" spans="6:6" x14ac:dyDescent="0.2">
      <c r="F2203" s="264"/>
    </row>
    <row r="2204" spans="6:6" x14ac:dyDescent="0.2">
      <c r="F2204" s="264"/>
    </row>
    <row r="2205" spans="6:6" x14ac:dyDescent="0.2">
      <c r="F2205" s="264"/>
    </row>
    <row r="2206" spans="6:6" x14ac:dyDescent="0.2">
      <c r="F2206" s="264"/>
    </row>
    <row r="2207" spans="6:6" x14ac:dyDescent="0.2">
      <c r="F2207" s="264"/>
    </row>
    <row r="2208" spans="6:6" x14ac:dyDescent="0.2">
      <c r="F2208" s="264"/>
    </row>
    <row r="2209" spans="6:6" x14ac:dyDescent="0.2">
      <c r="F2209" s="264"/>
    </row>
    <row r="2210" spans="6:6" x14ac:dyDescent="0.2">
      <c r="F2210" s="264"/>
    </row>
    <row r="2211" spans="6:6" x14ac:dyDescent="0.2">
      <c r="F2211" s="264"/>
    </row>
    <row r="2212" spans="6:6" x14ac:dyDescent="0.2">
      <c r="F2212" s="264"/>
    </row>
    <row r="2213" spans="6:6" x14ac:dyDescent="0.2">
      <c r="F2213" s="264"/>
    </row>
    <row r="2214" spans="6:6" x14ac:dyDescent="0.2">
      <c r="F2214" s="264"/>
    </row>
    <row r="2215" spans="6:6" x14ac:dyDescent="0.2">
      <c r="F2215" s="264"/>
    </row>
    <row r="2216" spans="6:6" x14ac:dyDescent="0.2">
      <c r="F2216" s="264"/>
    </row>
    <row r="2217" spans="6:6" x14ac:dyDescent="0.2">
      <c r="F2217" s="264"/>
    </row>
    <row r="2218" spans="6:6" x14ac:dyDescent="0.2">
      <c r="F2218" s="264"/>
    </row>
    <row r="2219" spans="6:6" x14ac:dyDescent="0.2">
      <c r="F2219" s="264"/>
    </row>
    <row r="2220" spans="6:6" x14ac:dyDescent="0.2">
      <c r="F2220" s="264"/>
    </row>
    <row r="2221" spans="6:6" x14ac:dyDescent="0.2">
      <c r="F2221" s="264"/>
    </row>
    <row r="2222" spans="6:6" x14ac:dyDescent="0.2">
      <c r="F2222" s="264"/>
    </row>
    <row r="2223" spans="6:6" x14ac:dyDescent="0.2">
      <c r="F2223" s="264"/>
    </row>
    <row r="2224" spans="6:6" x14ac:dyDescent="0.2">
      <c r="F2224" s="264"/>
    </row>
    <row r="2225" spans="6:6" x14ac:dyDescent="0.2">
      <c r="F2225" s="264"/>
    </row>
    <row r="2226" spans="6:6" x14ac:dyDescent="0.2">
      <c r="F2226" s="264"/>
    </row>
    <row r="2227" spans="6:6" x14ac:dyDescent="0.2">
      <c r="F2227" s="264"/>
    </row>
    <row r="2228" spans="6:6" x14ac:dyDescent="0.2">
      <c r="F2228" s="264"/>
    </row>
    <row r="2229" spans="6:6" x14ac:dyDescent="0.2">
      <c r="F2229" s="264"/>
    </row>
    <row r="2230" spans="6:6" x14ac:dyDescent="0.2">
      <c r="F2230" s="264"/>
    </row>
    <row r="2231" spans="6:6" x14ac:dyDescent="0.2">
      <c r="F2231" s="264"/>
    </row>
    <row r="2232" spans="6:6" x14ac:dyDescent="0.2">
      <c r="F2232" s="264"/>
    </row>
    <row r="2233" spans="6:6" x14ac:dyDescent="0.2">
      <c r="F2233" s="264"/>
    </row>
    <row r="2234" spans="6:6" x14ac:dyDescent="0.2">
      <c r="F2234" s="264"/>
    </row>
    <row r="2235" spans="6:6" x14ac:dyDescent="0.2">
      <c r="F2235" s="264"/>
    </row>
    <row r="2236" spans="6:6" x14ac:dyDescent="0.2">
      <c r="F2236" s="264"/>
    </row>
    <row r="2237" spans="6:6" x14ac:dyDescent="0.2">
      <c r="F2237" s="264"/>
    </row>
    <row r="2238" spans="6:6" x14ac:dyDescent="0.2">
      <c r="F2238" s="264"/>
    </row>
    <row r="2239" spans="6:6" x14ac:dyDescent="0.2">
      <c r="F2239" s="264"/>
    </row>
    <row r="2240" spans="6:6" x14ac:dyDescent="0.2">
      <c r="F2240" s="264"/>
    </row>
    <row r="2241" spans="6:6" x14ac:dyDescent="0.2">
      <c r="F2241" s="264"/>
    </row>
    <row r="2242" spans="6:6" x14ac:dyDescent="0.2">
      <c r="F2242" s="264"/>
    </row>
    <row r="2243" spans="6:6" x14ac:dyDescent="0.2">
      <c r="F2243" s="264"/>
    </row>
    <row r="2244" spans="6:6" x14ac:dyDescent="0.2">
      <c r="F2244" s="264"/>
    </row>
    <row r="2245" spans="6:6" x14ac:dyDescent="0.2">
      <c r="F2245" s="264"/>
    </row>
    <row r="2246" spans="6:6" x14ac:dyDescent="0.2">
      <c r="F2246" s="264"/>
    </row>
    <row r="2247" spans="6:6" x14ac:dyDescent="0.2">
      <c r="F2247" s="264"/>
    </row>
    <row r="2248" spans="6:6" x14ac:dyDescent="0.2">
      <c r="F2248" s="264"/>
    </row>
    <row r="2249" spans="6:6" x14ac:dyDescent="0.2">
      <c r="F2249" s="264"/>
    </row>
    <row r="2250" spans="6:6" x14ac:dyDescent="0.2">
      <c r="F2250" s="264"/>
    </row>
    <row r="2251" spans="6:6" x14ac:dyDescent="0.2">
      <c r="F2251" s="264"/>
    </row>
    <row r="2252" spans="6:6" x14ac:dyDescent="0.2">
      <c r="F2252" s="264"/>
    </row>
    <row r="2253" spans="6:6" x14ac:dyDescent="0.2">
      <c r="F2253" s="264"/>
    </row>
    <row r="2254" spans="6:6" x14ac:dyDescent="0.2">
      <c r="F2254" s="264"/>
    </row>
    <row r="2255" spans="6:6" x14ac:dyDescent="0.2">
      <c r="F2255" s="264"/>
    </row>
    <row r="2256" spans="6:6" x14ac:dyDescent="0.2">
      <c r="F2256" s="264"/>
    </row>
    <row r="2257" spans="6:6" x14ac:dyDescent="0.2">
      <c r="F2257" s="264"/>
    </row>
    <row r="2258" spans="6:6" x14ac:dyDescent="0.2">
      <c r="F2258" s="264"/>
    </row>
    <row r="2259" spans="6:6" x14ac:dyDescent="0.2">
      <c r="F2259" s="264"/>
    </row>
    <row r="2260" spans="6:6" x14ac:dyDescent="0.2">
      <c r="F2260" s="264"/>
    </row>
    <row r="2261" spans="6:6" x14ac:dyDescent="0.2">
      <c r="F2261" s="264"/>
    </row>
    <row r="2262" spans="6:6" x14ac:dyDescent="0.2">
      <c r="F2262" s="264"/>
    </row>
    <row r="2263" spans="6:6" x14ac:dyDescent="0.2">
      <c r="F2263" s="264"/>
    </row>
    <row r="2264" spans="6:6" x14ac:dyDescent="0.2">
      <c r="F2264" s="264"/>
    </row>
    <row r="2265" spans="6:6" x14ac:dyDescent="0.2">
      <c r="F2265" s="264"/>
    </row>
    <row r="2266" spans="6:6" x14ac:dyDescent="0.2">
      <c r="F2266" s="264"/>
    </row>
    <row r="2267" spans="6:6" x14ac:dyDescent="0.2">
      <c r="F2267" s="264"/>
    </row>
    <row r="2268" spans="6:6" x14ac:dyDescent="0.2">
      <c r="F2268" s="264"/>
    </row>
    <row r="2269" spans="6:6" x14ac:dyDescent="0.2">
      <c r="F2269" s="264"/>
    </row>
    <row r="2270" spans="6:6" x14ac:dyDescent="0.2">
      <c r="F2270" s="264"/>
    </row>
    <row r="2271" spans="6:6" x14ac:dyDescent="0.2">
      <c r="F2271" s="264"/>
    </row>
    <row r="2272" spans="6:6" x14ac:dyDescent="0.2">
      <c r="F2272" s="264"/>
    </row>
    <row r="2273" spans="6:6" x14ac:dyDescent="0.2">
      <c r="F2273" s="264"/>
    </row>
    <row r="2274" spans="6:6" x14ac:dyDescent="0.2">
      <c r="F2274" s="264"/>
    </row>
    <row r="2275" spans="6:6" x14ac:dyDescent="0.2">
      <c r="F2275" s="264"/>
    </row>
    <row r="2276" spans="6:6" x14ac:dyDescent="0.2">
      <c r="F2276" s="264"/>
    </row>
    <row r="2277" spans="6:6" x14ac:dyDescent="0.2">
      <c r="F2277" s="264"/>
    </row>
    <row r="2278" spans="6:6" x14ac:dyDescent="0.2">
      <c r="F2278" s="264"/>
    </row>
    <row r="2279" spans="6:6" x14ac:dyDescent="0.2">
      <c r="F2279" s="264"/>
    </row>
    <row r="2280" spans="6:6" x14ac:dyDescent="0.2">
      <c r="F2280" s="264"/>
    </row>
    <row r="2281" spans="6:6" x14ac:dyDescent="0.2">
      <c r="F2281" s="264"/>
    </row>
    <row r="2282" spans="6:6" x14ac:dyDescent="0.2">
      <c r="F2282" s="264"/>
    </row>
    <row r="2283" spans="6:6" x14ac:dyDescent="0.2">
      <c r="F2283" s="264"/>
    </row>
    <row r="2284" spans="6:6" x14ac:dyDescent="0.2">
      <c r="F2284" s="264"/>
    </row>
    <row r="2285" spans="6:6" x14ac:dyDescent="0.2">
      <c r="F2285" s="264"/>
    </row>
    <row r="2286" spans="6:6" x14ac:dyDescent="0.2">
      <c r="F2286" s="264"/>
    </row>
    <row r="2287" spans="6:6" x14ac:dyDescent="0.2">
      <c r="F2287" s="264"/>
    </row>
    <row r="2288" spans="6:6" x14ac:dyDescent="0.2">
      <c r="F2288" s="264"/>
    </row>
    <row r="2289" spans="6:6" x14ac:dyDescent="0.2">
      <c r="F2289" s="264"/>
    </row>
    <row r="2290" spans="6:6" x14ac:dyDescent="0.2">
      <c r="F2290" s="264"/>
    </row>
    <row r="2291" spans="6:6" x14ac:dyDescent="0.2">
      <c r="F2291" s="264"/>
    </row>
    <row r="2292" spans="6:6" x14ac:dyDescent="0.2">
      <c r="F2292" s="264"/>
    </row>
    <row r="2293" spans="6:6" x14ac:dyDescent="0.2">
      <c r="F2293" s="264"/>
    </row>
    <row r="2294" spans="6:6" x14ac:dyDescent="0.2">
      <c r="F2294" s="264"/>
    </row>
    <row r="2295" spans="6:6" x14ac:dyDescent="0.2">
      <c r="F2295" s="264"/>
    </row>
    <row r="2296" spans="6:6" x14ac:dyDescent="0.2">
      <c r="F2296" s="264"/>
    </row>
    <row r="2297" spans="6:6" x14ac:dyDescent="0.2">
      <c r="F2297" s="264"/>
    </row>
    <row r="2298" spans="6:6" x14ac:dyDescent="0.2">
      <c r="F2298" s="264"/>
    </row>
    <row r="2299" spans="6:6" x14ac:dyDescent="0.2">
      <c r="F2299" s="264"/>
    </row>
    <row r="2300" spans="6:6" x14ac:dyDescent="0.2">
      <c r="F2300" s="264"/>
    </row>
    <row r="2301" spans="6:6" x14ac:dyDescent="0.2">
      <c r="F2301" s="264"/>
    </row>
    <row r="2302" spans="6:6" x14ac:dyDescent="0.2">
      <c r="F2302" s="264"/>
    </row>
    <row r="2303" spans="6:6" x14ac:dyDescent="0.2">
      <c r="F2303" s="264"/>
    </row>
    <row r="2304" spans="6:6" x14ac:dyDescent="0.2">
      <c r="F2304" s="264"/>
    </row>
    <row r="2305" spans="6:6" x14ac:dyDescent="0.2">
      <c r="F2305" s="264"/>
    </row>
    <row r="2306" spans="6:6" x14ac:dyDescent="0.2">
      <c r="F2306" s="264"/>
    </row>
    <row r="2307" spans="6:6" x14ac:dyDescent="0.2">
      <c r="F2307" s="264"/>
    </row>
    <row r="2308" spans="6:6" x14ac:dyDescent="0.2">
      <c r="F2308" s="264"/>
    </row>
    <row r="2309" spans="6:6" x14ac:dyDescent="0.2">
      <c r="F2309" s="264"/>
    </row>
    <row r="2310" spans="6:6" x14ac:dyDescent="0.2">
      <c r="F2310" s="264"/>
    </row>
    <row r="2311" spans="6:6" x14ac:dyDescent="0.2">
      <c r="F2311" s="264"/>
    </row>
    <row r="2312" spans="6:6" x14ac:dyDescent="0.2">
      <c r="F2312" s="264"/>
    </row>
    <row r="2313" spans="6:6" x14ac:dyDescent="0.2">
      <c r="F2313" s="264"/>
    </row>
    <row r="2314" spans="6:6" x14ac:dyDescent="0.2">
      <c r="F2314" s="264"/>
    </row>
    <row r="2315" spans="6:6" x14ac:dyDescent="0.2">
      <c r="F2315" s="264"/>
    </row>
    <row r="2316" spans="6:6" x14ac:dyDescent="0.2">
      <c r="F2316" s="264"/>
    </row>
    <row r="2317" spans="6:6" x14ac:dyDescent="0.2">
      <c r="F2317" s="264"/>
    </row>
    <row r="2318" spans="6:6" x14ac:dyDescent="0.2">
      <c r="F2318" s="264"/>
    </row>
    <row r="2319" spans="6:6" x14ac:dyDescent="0.2">
      <c r="F2319" s="264"/>
    </row>
    <row r="2320" spans="6:6" x14ac:dyDescent="0.2">
      <c r="F2320" s="264"/>
    </row>
    <row r="2321" spans="6:6" x14ac:dyDescent="0.2">
      <c r="F2321" s="264"/>
    </row>
    <row r="2322" spans="6:6" x14ac:dyDescent="0.2">
      <c r="F2322" s="264"/>
    </row>
    <row r="2323" spans="6:6" x14ac:dyDescent="0.2">
      <c r="F2323" s="264"/>
    </row>
    <row r="2324" spans="6:6" x14ac:dyDescent="0.2">
      <c r="F2324" s="264"/>
    </row>
    <row r="2325" spans="6:6" x14ac:dyDescent="0.2">
      <c r="F2325" s="264"/>
    </row>
    <row r="2326" spans="6:6" x14ac:dyDescent="0.2">
      <c r="F2326" s="264"/>
    </row>
    <row r="2327" spans="6:6" x14ac:dyDescent="0.2">
      <c r="F2327" s="264"/>
    </row>
    <row r="2328" spans="6:6" x14ac:dyDescent="0.2">
      <c r="F2328" s="264"/>
    </row>
    <row r="2329" spans="6:6" x14ac:dyDescent="0.2">
      <c r="F2329" s="264"/>
    </row>
    <row r="2330" spans="6:6" x14ac:dyDescent="0.2">
      <c r="F2330" s="264"/>
    </row>
    <row r="2331" spans="6:6" x14ac:dyDescent="0.2">
      <c r="F2331" s="264"/>
    </row>
    <row r="2332" spans="6:6" x14ac:dyDescent="0.2">
      <c r="F2332" s="264"/>
    </row>
    <row r="2333" spans="6:6" x14ac:dyDescent="0.2">
      <c r="F2333" s="264"/>
    </row>
    <row r="2334" spans="6:6" x14ac:dyDescent="0.2">
      <c r="F2334" s="264"/>
    </row>
    <row r="2335" spans="6:6" x14ac:dyDescent="0.2">
      <c r="F2335" s="264"/>
    </row>
    <row r="2336" spans="6:6" x14ac:dyDescent="0.2">
      <c r="F2336" s="264"/>
    </row>
    <row r="2337" spans="6:6" x14ac:dyDescent="0.2">
      <c r="F2337" s="264"/>
    </row>
    <row r="2338" spans="6:6" x14ac:dyDescent="0.2">
      <c r="F2338" s="264"/>
    </row>
    <row r="2339" spans="6:6" x14ac:dyDescent="0.2">
      <c r="F2339" s="264"/>
    </row>
    <row r="2340" spans="6:6" x14ac:dyDescent="0.2">
      <c r="F2340" s="264"/>
    </row>
    <row r="2341" spans="6:6" x14ac:dyDescent="0.2">
      <c r="F2341" s="264"/>
    </row>
    <row r="2342" spans="6:6" x14ac:dyDescent="0.2">
      <c r="F2342" s="264"/>
    </row>
    <row r="2343" spans="6:6" x14ac:dyDescent="0.2">
      <c r="F2343" s="264"/>
    </row>
    <row r="2344" spans="6:6" x14ac:dyDescent="0.2">
      <c r="F2344" s="264"/>
    </row>
    <row r="2345" spans="6:6" x14ac:dyDescent="0.2">
      <c r="F2345" s="264"/>
    </row>
    <row r="2346" spans="6:6" x14ac:dyDescent="0.2">
      <c r="F2346" s="264"/>
    </row>
    <row r="2347" spans="6:6" x14ac:dyDescent="0.2">
      <c r="F2347" s="264"/>
    </row>
    <row r="2348" spans="6:6" x14ac:dyDescent="0.2">
      <c r="F2348" s="264"/>
    </row>
    <row r="2349" spans="6:6" x14ac:dyDescent="0.2">
      <c r="F2349" s="264"/>
    </row>
    <row r="2350" spans="6:6" x14ac:dyDescent="0.2">
      <c r="F2350" s="264"/>
    </row>
    <row r="2351" spans="6:6" x14ac:dyDescent="0.2">
      <c r="F2351" s="264"/>
    </row>
    <row r="2352" spans="6:6" x14ac:dyDescent="0.2">
      <c r="F2352" s="264"/>
    </row>
    <row r="2353" spans="6:6" x14ac:dyDescent="0.2">
      <c r="F2353" s="264"/>
    </row>
    <row r="2354" spans="6:6" x14ac:dyDescent="0.2">
      <c r="F2354" s="264"/>
    </row>
    <row r="2355" spans="6:6" x14ac:dyDescent="0.2">
      <c r="F2355" s="264"/>
    </row>
    <row r="2356" spans="6:6" x14ac:dyDescent="0.2">
      <c r="F2356" s="264"/>
    </row>
    <row r="2357" spans="6:6" x14ac:dyDescent="0.2">
      <c r="F2357" s="264"/>
    </row>
    <row r="2358" spans="6:6" x14ac:dyDescent="0.2">
      <c r="F2358" s="264"/>
    </row>
    <row r="2359" spans="6:6" x14ac:dyDescent="0.2">
      <c r="F2359" s="264"/>
    </row>
    <row r="2360" spans="6:6" x14ac:dyDescent="0.2">
      <c r="F2360" s="264"/>
    </row>
    <row r="2361" spans="6:6" x14ac:dyDescent="0.2">
      <c r="F2361" s="264"/>
    </row>
    <row r="2362" spans="6:6" x14ac:dyDescent="0.2">
      <c r="F2362" s="264"/>
    </row>
    <row r="2363" spans="6:6" x14ac:dyDescent="0.2">
      <c r="F2363" s="264"/>
    </row>
    <row r="2364" spans="6:6" x14ac:dyDescent="0.2">
      <c r="F2364" s="264"/>
    </row>
    <row r="2365" spans="6:6" x14ac:dyDescent="0.2">
      <c r="F2365" s="264"/>
    </row>
    <row r="2366" spans="6:6" x14ac:dyDescent="0.2">
      <c r="F2366" s="264"/>
    </row>
    <row r="2367" spans="6:6" x14ac:dyDescent="0.2">
      <c r="F2367" s="264"/>
    </row>
    <row r="2368" spans="6:6" x14ac:dyDescent="0.2">
      <c r="F2368" s="264"/>
    </row>
    <row r="2369" spans="6:6" x14ac:dyDescent="0.2">
      <c r="F2369" s="264"/>
    </row>
    <row r="2370" spans="6:6" x14ac:dyDescent="0.2">
      <c r="F2370" s="264"/>
    </row>
    <row r="2371" spans="6:6" x14ac:dyDescent="0.2">
      <c r="F2371" s="264"/>
    </row>
    <row r="2372" spans="6:6" x14ac:dyDescent="0.2">
      <c r="F2372" s="264"/>
    </row>
    <row r="2373" spans="6:6" x14ac:dyDescent="0.2">
      <c r="F2373" s="264"/>
    </row>
    <row r="2374" spans="6:6" x14ac:dyDescent="0.2">
      <c r="F2374" s="264"/>
    </row>
    <row r="2375" spans="6:6" x14ac:dyDescent="0.2">
      <c r="F2375" s="264"/>
    </row>
    <row r="2376" spans="6:6" x14ac:dyDescent="0.2">
      <c r="F2376" s="264"/>
    </row>
    <row r="2377" spans="6:6" x14ac:dyDescent="0.2">
      <c r="F2377" s="264"/>
    </row>
    <row r="2378" spans="6:6" x14ac:dyDescent="0.2">
      <c r="F2378" s="264"/>
    </row>
    <row r="2379" spans="6:6" x14ac:dyDescent="0.2">
      <c r="F2379" s="264"/>
    </row>
    <row r="2380" spans="6:6" x14ac:dyDescent="0.2">
      <c r="F2380" s="264"/>
    </row>
    <row r="2381" spans="6:6" x14ac:dyDescent="0.2">
      <c r="F2381" s="264"/>
    </row>
    <row r="2382" spans="6:6" x14ac:dyDescent="0.2">
      <c r="F2382" s="264"/>
    </row>
    <row r="2383" spans="6:6" x14ac:dyDescent="0.2">
      <c r="F2383" s="264"/>
    </row>
    <row r="2384" spans="6:6" x14ac:dyDescent="0.2">
      <c r="F2384" s="264"/>
    </row>
    <row r="2385" spans="6:6" x14ac:dyDescent="0.2">
      <c r="F2385" s="264"/>
    </row>
    <row r="2386" spans="6:6" x14ac:dyDescent="0.2">
      <c r="F2386" s="264"/>
    </row>
    <row r="2387" spans="6:6" x14ac:dyDescent="0.2">
      <c r="F2387" s="264"/>
    </row>
    <row r="2388" spans="6:6" x14ac:dyDescent="0.2">
      <c r="F2388" s="264"/>
    </row>
    <row r="2389" spans="6:6" x14ac:dyDescent="0.2">
      <c r="F2389" s="264"/>
    </row>
    <row r="2390" spans="6:6" x14ac:dyDescent="0.2">
      <c r="F2390" s="264"/>
    </row>
    <row r="2391" spans="6:6" x14ac:dyDescent="0.2">
      <c r="F2391" s="264"/>
    </row>
    <row r="2392" spans="6:6" x14ac:dyDescent="0.2">
      <c r="F2392" s="264"/>
    </row>
    <row r="2393" spans="6:6" x14ac:dyDescent="0.2">
      <c r="F2393" s="264"/>
    </row>
    <row r="2394" spans="6:6" x14ac:dyDescent="0.2">
      <c r="F2394" s="264"/>
    </row>
    <row r="2395" spans="6:6" x14ac:dyDescent="0.2">
      <c r="F2395" s="264"/>
    </row>
    <row r="2396" spans="6:6" x14ac:dyDescent="0.2">
      <c r="F2396" s="264"/>
    </row>
    <row r="2397" spans="6:6" x14ac:dyDescent="0.2">
      <c r="F2397" s="264"/>
    </row>
    <row r="2398" spans="6:6" x14ac:dyDescent="0.2">
      <c r="F2398" s="264"/>
    </row>
    <row r="2399" spans="6:6" x14ac:dyDescent="0.2">
      <c r="F2399" s="264"/>
    </row>
    <row r="2400" spans="6:6" x14ac:dyDescent="0.2">
      <c r="F2400" s="264"/>
    </row>
    <row r="2401" spans="6:6" x14ac:dyDescent="0.2">
      <c r="F2401" s="264"/>
    </row>
    <row r="2402" spans="6:6" x14ac:dyDescent="0.2">
      <c r="F2402" s="264"/>
    </row>
    <row r="2403" spans="6:6" x14ac:dyDescent="0.2">
      <c r="F2403" s="264"/>
    </row>
    <row r="2404" spans="6:6" x14ac:dyDescent="0.2">
      <c r="F2404" s="264"/>
    </row>
    <row r="2405" spans="6:6" x14ac:dyDescent="0.2">
      <c r="F2405" s="264"/>
    </row>
    <row r="2406" spans="6:6" x14ac:dyDescent="0.2">
      <c r="F2406" s="264"/>
    </row>
    <row r="2407" spans="6:6" x14ac:dyDescent="0.2">
      <c r="F2407" s="264"/>
    </row>
    <row r="2408" spans="6:6" x14ac:dyDescent="0.2">
      <c r="F2408" s="264"/>
    </row>
    <row r="2409" spans="6:6" x14ac:dyDescent="0.2">
      <c r="F2409" s="264"/>
    </row>
    <row r="2410" spans="6:6" x14ac:dyDescent="0.2">
      <c r="F2410" s="264"/>
    </row>
    <row r="2411" spans="6:6" x14ac:dyDescent="0.2">
      <c r="F2411" s="264"/>
    </row>
    <row r="2412" spans="6:6" x14ac:dyDescent="0.2">
      <c r="F2412" s="264"/>
    </row>
    <row r="2413" spans="6:6" x14ac:dyDescent="0.2">
      <c r="F2413" s="264"/>
    </row>
    <row r="2414" spans="6:6" x14ac:dyDescent="0.2">
      <c r="F2414" s="264"/>
    </row>
    <row r="2415" spans="6:6" x14ac:dyDescent="0.2">
      <c r="F2415" s="264"/>
    </row>
    <row r="2416" spans="6:6" x14ac:dyDescent="0.2">
      <c r="F2416" s="264"/>
    </row>
    <row r="2417" spans="6:6" x14ac:dyDescent="0.2">
      <c r="F2417" s="264"/>
    </row>
    <row r="2418" spans="6:6" x14ac:dyDescent="0.2">
      <c r="F2418" s="264"/>
    </row>
    <row r="2419" spans="6:6" x14ac:dyDescent="0.2">
      <c r="F2419" s="264"/>
    </row>
    <row r="2420" spans="6:6" x14ac:dyDescent="0.2">
      <c r="F2420" s="264"/>
    </row>
    <row r="2421" spans="6:6" x14ac:dyDescent="0.2">
      <c r="F2421" s="264"/>
    </row>
    <row r="2422" spans="6:6" x14ac:dyDescent="0.2">
      <c r="F2422" s="264"/>
    </row>
    <row r="2423" spans="6:6" x14ac:dyDescent="0.2">
      <c r="F2423" s="264"/>
    </row>
    <row r="2424" spans="6:6" x14ac:dyDescent="0.2">
      <c r="F2424" s="264"/>
    </row>
    <row r="2425" spans="6:6" x14ac:dyDescent="0.2">
      <c r="F2425" s="264"/>
    </row>
    <row r="2426" spans="6:6" x14ac:dyDescent="0.2">
      <c r="F2426" s="264"/>
    </row>
    <row r="2427" spans="6:6" x14ac:dyDescent="0.2">
      <c r="F2427" s="264"/>
    </row>
    <row r="2428" spans="6:6" x14ac:dyDescent="0.2">
      <c r="F2428" s="264"/>
    </row>
    <row r="2429" spans="6:6" x14ac:dyDescent="0.2">
      <c r="F2429" s="264"/>
    </row>
    <row r="2430" spans="6:6" x14ac:dyDescent="0.2">
      <c r="F2430" s="264"/>
    </row>
    <row r="2431" spans="6:6" x14ac:dyDescent="0.2">
      <c r="F2431" s="264"/>
    </row>
    <row r="2432" spans="6:6" x14ac:dyDescent="0.2">
      <c r="F2432" s="264"/>
    </row>
    <row r="2433" spans="6:6" x14ac:dyDescent="0.2">
      <c r="F2433" s="264"/>
    </row>
    <row r="2434" spans="6:6" x14ac:dyDescent="0.2">
      <c r="F2434" s="264"/>
    </row>
    <row r="2435" spans="6:6" x14ac:dyDescent="0.2">
      <c r="F2435" s="264"/>
    </row>
    <row r="2436" spans="6:6" x14ac:dyDescent="0.2">
      <c r="F2436" s="264"/>
    </row>
    <row r="2437" spans="6:6" x14ac:dyDescent="0.2">
      <c r="F2437" s="264"/>
    </row>
    <row r="2438" spans="6:6" x14ac:dyDescent="0.2">
      <c r="F2438" s="264"/>
    </row>
    <row r="2439" spans="6:6" x14ac:dyDescent="0.2">
      <c r="F2439" s="264"/>
    </row>
    <row r="2440" spans="6:6" x14ac:dyDescent="0.2">
      <c r="F2440" s="264"/>
    </row>
    <row r="2441" spans="6:6" x14ac:dyDescent="0.2">
      <c r="F2441" s="264"/>
    </row>
    <row r="2442" spans="6:6" x14ac:dyDescent="0.2">
      <c r="F2442" s="264"/>
    </row>
    <row r="2443" spans="6:6" x14ac:dyDescent="0.2">
      <c r="F2443" s="264"/>
    </row>
    <row r="2444" spans="6:6" x14ac:dyDescent="0.2">
      <c r="F2444" s="264"/>
    </row>
    <row r="2445" spans="6:6" x14ac:dyDescent="0.2">
      <c r="F2445" s="264"/>
    </row>
    <row r="2446" spans="6:6" x14ac:dyDescent="0.2">
      <c r="F2446" s="264"/>
    </row>
    <row r="2447" spans="6:6" x14ac:dyDescent="0.2">
      <c r="F2447" s="264"/>
    </row>
    <row r="2448" spans="6:6" x14ac:dyDescent="0.2">
      <c r="F2448" s="264"/>
    </row>
    <row r="2449" spans="6:6" x14ac:dyDescent="0.2">
      <c r="F2449" s="264"/>
    </row>
    <row r="2450" spans="6:6" x14ac:dyDescent="0.2">
      <c r="F2450" s="264"/>
    </row>
    <row r="2451" spans="6:6" x14ac:dyDescent="0.2">
      <c r="F2451" s="264"/>
    </row>
    <row r="2452" spans="6:6" x14ac:dyDescent="0.2">
      <c r="F2452" s="264"/>
    </row>
    <row r="2453" spans="6:6" x14ac:dyDescent="0.2">
      <c r="F2453" s="264"/>
    </row>
    <row r="2454" spans="6:6" x14ac:dyDescent="0.2">
      <c r="F2454" s="264"/>
    </row>
    <row r="2455" spans="6:6" x14ac:dyDescent="0.2">
      <c r="F2455" s="264"/>
    </row>
    <row r="2456" spans="6:6" x14ac:dyDescent="0.2">
      <c r="F2456" s="264"/>
    </row>
    <row r="2457" spans="6:6" x14ac:dyDescent="0.2">
      <c r="F2457" s="264"/>
    </row>
    <row r="2458" spans="6:6" x14ac:dyDescent="0.2">
      <c r="F2458" s="264"/>
    </row>
    <row r="2459" spans="6:6" x14ac:dyDescent="0.2">
      <c r="F2459" s="264"/>
    </row>
    <row r="2460" spans="6:6" x14ac:dyDescent="0.2">
      <c r="F2460" s="264"/>
    </row>
    <row r="2461" spans="6:6" x14ac:dyDescent="0.2">
      <c r="F2461" s="264"/>
    </row>
    <row r="2462" spans="6:6" x14ac:dyDescent="0.2">
      <c r="F2462" s="264"/>
    </row>
    <row r="2463" spans="6:6" x14ac:dyDescent="0.2">
      <c r="F2463" s="264"/>
    </row>
    <row r="2464" spans="6:6" x14ac:dyDescent="0.2">
      <c r="F2464" s="264"/>
    </row>
    <row r="2465" spans="6:6" x14ac:dyDescent="0.2">
      <c r="F2465" s="264"/>
    </row>
    <row r="2466" spans="6:6" x14ac:dyDescent="0.2">
      <c r="F2466" s="264"/>
    </row>
    <row r="2467" spans="6:6" x14ac:dyDescent="0.2">
      <c r="F2467" s="264"/>
    </row>
    <row r="2468" spans="6:6" x14ac:dyDescent="0.2">
      <c r="F2468" s="264"/>
    </row>
    <row r="2469" spans="6:6" x14ac:dyDescent="0.2">
      <c r="F2469" s="264"/>
    </row>
    <row r="2470" spans="6:6" x14ac:dyDescent="0.2">
      <c r="F2470" s="264"/>
    </row>
    <row r="2471" spans="6:6" x14ac:dyDescent="0.2">
      <c r="F2471" s="264"/>
    </row>
    <row r="2472" spans="6:6" x14ac:dyDescent="0.2">
      <c r="F2472" s="264"/>
    </row>
    <row r="2473" spans="6:6" x14ac:dyDescent="0.2">
      <c r="F2473" s="264"/>
    </row>
    <row r="2474" spans="6:6" x14ac:dyDescent="0.2">
      <c r="F2474" s="264"/>
    </row>
    <row r="2475" spans="6:6" x14ac:dyDescent="0.2">
      <c r="F2475" s="264"/>
    </row>
    <row r="2476" spans="6:6" x14ac:dyDescent="0.2">
      <c r="F2476" s="264"/>
    </row>
    <row r="2477" spans="6:6" x14ac:dyDescent="0.2">
      <c r="F2477" s="264"/>
    </row>
    <row r="2478" spans="6:6" x14ac:dyDescent="0.2">
      <c r="F2478" s="264"/>
    </row>
    <row r="2479" spans="6:6" x14ac:dyDescent="0.2">
      <c r="F2479" s="264"/>
    </row>
    <row r="2480" spans="6:6" x14ac:dyDescent="0.2">
      <c r="F2480" s="264"/>
    </row>
    <row r="2481" spans="6:6" x14ac:dyDescent="0.2">
      <c r="F2481" s="264"/>
    </row>
    <row r="2482" spans="6:6" x14ac:dyDescent="0.2">
      <c r="F2482" s="264"/>
    </row>
    <row r="2483" spans="6:6" x14ac:dyDescent="0.2">
      <c r="F2483" s="264"/>
    </row>
    <row r="2484" spans="6:6" x14ac:dyDescent="0.2">
      <c r="F2484" s="264"/>
    </row>
    <row r="2485" spans="6:6" x14ac:dyDescent="0.2">
      <c r="F2485" s="264"/>
    </row>
    <row r="2486" spans="6:6" x14ac:dyDescent="0.2">
      <c r="F2486" s="264"/>
    </row>
    <row r="2487" spans="6:6" x14ac:dyDescent="0.2">
      <c r="F2487" s="264"/>
    </row>
    <row r="2488" spans="6:6" x14ac:dyDescent="0.2">
      <c r="F2488" s="264"/>
    </row>
    <row r="2489" spans="6:6" x14ac:dyDescent="0.2">
      <c r="F2489" s="264"/>
    </row>
    <row r="2490" spans="6:6" x14ac:dyDescent="0.2">
      <c r="F2490" s="264"/>
    </row>
    <row r="2491" spans="6:6" x14ac:dyDescent="0.2">
      <c r="F2491" s="264"/>
    </row>
    <row r="2492" spans="6:6" x14ac:dyDescent="0.2">
      <c r="F2492" s="264"/>
    </row>
    <row r="2493" spans="6:6" x14ac:dyDescent="0.2">
      <c r="F2493" s="264"/>
    </row>
    <row r="2494" spans="6:6" x14ac:dyDescent="0.2">
      <c r="F2494" s="264"/>
    </row>
    <row r="2495" spans="6:6" x14ac:dyDescent="0.2">
      <c r="F2495" s="264"/>
    </row>
    <row r="2496" spans="6:6" x14ac:dyDescent="0.2">
      <c r="F2496" s="264"/>
    </row>
    <row r="2497" spans="6:6" x14ac:dyDescent="0.2">
      <c r="F2497" s="264"/>
    </row>
    <row r="2498" spans="6:6" x14ac:dyDescent="0.2">
      <c r="F2498" s="264"/>
    </row>
    <row r="2499" spans="6:6" x14ac:dyDescent="0.2">
      <c r="F2499" s="264"/>
    </row>
    <row r="2500" spans="6:6" x14ac:dyDescent="0.2">
      <c r="F2500" s="264"/>
    </row>
    <row r="2501" spans="6:6" x14ac:dyDescent="0.2">
      <c r="F2501" s="264"/>
    </row>
    <row r="2502" spans="6:6" x14ac:dyDescent="0.2">
      <c r="F2502" s="264"/>
    </row>
    <row r="2503" spans="6:6" x14ac:dyDescent="0.2">
      <c r="F2503" s="264"/>
    </row>
    <row r="2504" spans="6:6" x14ac:dyDescent="0.2">
      <c r="F2504" s="264"/>
    </row>
    <row r="2505" spans="6:6" x14ac:dyDescent="0.2">
      <c r="F2505" s="264"/>
    </row>
    <row r="2506" spans="6:6" x14ac:dyDescent="0.2">
      <c r="F2506" s="264"/>
    </row>
    <row r="2507" spans="6:6" x14ac:dyDescent="0.2">
      <c r="F2507" s="264"/>
    </row>
    <row r="2508" spans="6:6" x14ac:dyDescent="0.2">
      <c r="F2508" s="264"/>
    </row>
    <row r="2509" spans="6:6" x14ac:dyDescent="0.2">
      <c r="F2509" s="264"/>
    </row>
    <row r="2510" spans="6:6" x14ac:dyDescent="0.2">
      <c r="F2510" s="264"/>
    </row>
    <row r="2511" spans="6:6" x14ac:dyDescent="0.2">
      <c r="F2511" s="264"/>
    </row>
    <row r="2512" spans="6:6" x14ac:dyDescent="0.2">
      <c r="F2512" s="264"/>
    </row>
    <row r="2513" spans="6:6" x14ac:dyDescent="0.2">
      <c r="F2513" s="264"/>
    </row>
    <row r="2514" spans="6:6" x14ac:dyDescent="0.2">
      <c r="F2514" s="264"/>
    </row>
    <row r="2515" spans="6:6" x14ac:dyDescent="0.2">
      <c r="F2515" s="264"/>
    </row>
    <row r="2516" spans="6:6" x14ac:dyDescent="0.2">
      <c r="F2516" s="264"/>
    </row>
    <row r="2517" spans="6:6" x14ac:dyDescent="0.2">
      <c r="F2517" s="264"/>
    </row>
    <row r="2518" spans="6:6" x14ac:dyDescent="0.2">
      <c r="F2518" s="264"/>
    </row>
    <row r="2519" spans="6:6" x14ac:dyDescent="0.2">
      <c r="F2519" s="264"/>
    </row>
    <row r="2520" spans="6:6" x14ac:dyDescent="0.2">
      <c r="F2520" s="264"/>
    </row>
    <row r="2521" spans="6:6" x14ac:dyDescent="0.2">
      <c r="F2521" s="264"/>
    </row>
    <row r="2522" spans="6:6" x14ac:dyDescent="0.2">
      <c r="F2522" s="264"/>
    </row>
    <row r="2523" spans="6:6" x14ac:dyDescent="0.2">
      <c r="F2523" s="264"/>
    </row>
    <row r="2524" spans="6:6" x14ac:dyDescent="0.2">
      <c r="F2524" s="264"/>
    </row>
    <row r="2525" spans="6:6" x14ac:dyDescent="0.2">
      <c r="F2525" s="264"/>
    </row>
    <row r="2526" spans="6:6" x14ac:dyDescent="0.2">
      <c r="F2526" s="264"/>
    </row>
    <row r="2527" spans="6:6" x14ac:dyDescent="0.2">
      <c r="F2527" s="264"/>
    </row>
    <row r="2528" spans="6:6" x14ac:dyDescent="0.2">
      <c r="F2528" s="264"/>
    </row>
    <row r="2529" spans="6:6" x14ac:dyDescent="0.2">
      <c r="F2529" s="264"/>
    </row>
    <row r="2530" spans="6:6" x14ac:dyDescent="0.2">
      <c r="F2530" s="264"/>
    </row>
    <row r="2531" spans="6:6" x14ac:dyDescent="0.2">
      <c r="F2531" s="264"/>
    </row>
    <row r="2532" spans="6:6" x14ac:dyDescent="0.2">
      <c r="F2532" s="264"/>
    </row>
    <row r="2533" spans="6:6" x14ac:dyDescent="0.2">
      <c r="F2533" s="264"/>
    </row>
    <row r="2534" spans="6:6" x14ac:dyDescent="0.2">
      <c r="F2534" s="264"/>
    </row>
    <row r="2535" spans="6:6" x14ac:dyDescent="0.2">
      <c r="F2535" s="264"/>
    </row>
    <row r="2536" spans="6:6" x14ac:dyDescent="0.2">
      <c r="F2536" s="264"/>
    </row>
    <row r="2537" spans="6:6" x14ac:dyDescent="0.2">
      <c r="F2537" s="264"/>
    </row>
    <row r="2538" spans="6:6" x14ac:dyDescent="0.2">
      <c r="F2538" s="264"/>
    </row>
    <row r="2539" spans="6:6" x14ac:dyDescent="0.2">
      <c r="F2539" s="264"/>
    </row>
    <row r="2540" spans="6:6" x14ac:dyDescent="0.2">
      <c r="F2540" s="264"/>
    </row>
    <row r="2541" spans="6:6" x14ac:dyDescent="0.2">
      <c r="F2541" s="264"/>
    </row>
    <row r="2542" spans="6:6" x14ac:dyDescent="0.2">
      <c r="F2542" s="264"/>
    </row>
    <row r="2543" spans="6:6" x14ac:dyDescent="0.2">
      <c r="F2543" s="264"/>
    </row>
    <row r="2544" spans="6:6" x14ac:dyDescent="0.2">
      <c r="F2544" s="264"/>
    </row>
    <row r="2545" spans="6:6" x14ac:dyDescent="0.2">
      <c r="F2545" s="264"/>
    </row>
    <row r="2546" spans="6:6" x14ac:dyDescent="0.2">
      <c r="F2546" s="264"/>
    </row>
    <row r="2547" spans="6:6" x14ac:dyDescent="0.2">
      <c r="F2547" s="264"/>
    </row>
    <row r="2548" spans="6:6" x14ac:dyDescent="0.2">
      <c r="F2548" s="264"/>
    </row>
    <row r="2549" spans="6:6" x14ac:dyDescent="0.2">
      <c r="F2549" s="264"/>
    </row>
    <row r="2550" spans="6:6" x14ac:dyDescent="0.2">
      <c r="F2550" s="264"/>
    </row>
    <row r="2551" spans="6:6" x14ac:dyDescent="0.2">
      <c r="F2551" s="264"/>
    </row>
    <row r="2552" spans="6:6" x14ac:dyDescent="0.2">
      <c r="F2552" s="264"/>
    </row>
    <row r="2553" spans="6:6" x14ac:dyDescent="0.2">
      <c r="F2553" s="264"/>
    </row>
    <row r="2554" spans="6:6" x14ac:dyDescent="0.2">
      <c r="F2554" s="264"/>
    </row>
    <row r="2555" spans="6:6" x14ac:dyDescent="0.2">
      <c r="F2555" s="264"/>
    </row>
    <row r="2556" spans="6:6" x14ac:dyDescent="0.2">
      <c r="F2556" s="264"/>
    </row>
    <row r="2557" spans="6:6" x14ac:dyDescent="0.2">
      <c r="F2557" s="264"/>
    </row>
    <row r="2558" spans="6:6" x14ac:dyDescent="0.2">
      <c r="F2558" s="264"/>
    </row>
    <row r="2559" spans="6:6" x14ac:dyDescent="0.2">
      <c r="F2559" s="264"/>
    </row>
    <row r="2560" spans="6:6" x14ac:dyDescent="0.2">
      <c r="F2560" s="264"/>
    </row>
    <row r="2561" spans="6:6" x14ac:dyDescent="0.2">
      <c r="F2561" s="264"/>
    </row>
    <row r="2562" spans="6:6" x14ac:dyDescent="0.2">
      <c r="F2562" s="264"/>
    </row>
    <row r="2563" spans="6:6" x14ac:dyDescent="0.2">
      <c r="F2563" s="264"/>
    </row>
    <row r="2564" spans="6:6" x14ac:dyDescent="0.2">
      <c r="F2564" s="264"/>
    </row>
    <row r="2565" spans="6:6" x14ac:dyDescent="0.2">
      <c r="F2565" s="264"/>
    </row>
    <row r="2566" spans="6:6" x14ac:dyDescent="0.2">
      <c r="F2566" s="264"/>
    </row>
    <row r="2567" spans="6:6" x14ac:dyDescent="0.2">
      <c r="F2567" s="264"/>
    </row>
    <row r="2568" spans="6:6" x14ac:dyDescent="0.2">
      <c r="F2568" s="264"/>
    </row>
    <row r="2569" spans="6:6" x14ac:dyDescent="0.2">
      <c r="F2569" s="264"/>
    </row>
    <row r="2570" spans="6:6" x14ac:dyDescent="0.2">
      <c r="F2570" s="264"/>
    </row>
    <row r="2571" spans="6:6" x14ac:dyDescent="0.2">
      <c r="F2571" s="264"/>
    </row>
    <row r="2572" spans="6:6" x14ac:dyDescent="0.2">
      <c r="F2572" s="264"/>
    </row>
    <row r="2573" spans="6:6" x14ac:dyDescent="0.2">
      <c r="F2573" s="264"/>
    </row>
    <row r="2574" spans="6:6" x14ac:dyDescent="0.2">
      <c r="F2574" s="264"/>
    </row>
    <row r="2575" spans="6:6" x14ac:dyDescent="0.2">
      <c r="F2575" s="264"/>
    </row>
    <row r="2576" spans="6:6" x14ac:dyDescent="0.2">
      <c r="F2576" s="264"/>
    </row>
    <row r="2577" spans="6:6" x14ac:dyDescent="0.2">
      <c r="F2577" s="264"/>
    </row>
    <row r="2578" spans="6:6" x14ac:dyDescent="0.2">
      <c r="F2578" s="264"/>
    </row>
    <row r="2579" spans="6:6" x14ac:dyDescent="0.2">
      <c r="F2579" s="264"/>
    </row>
    <row r="2580" spans="6:6" x14ac:dyDescent="0.2">
      <c r="F2580" s="264"/>
    </row>
    <row r="2581" spans="6:6" x14ac:dyDescent="0.2">
      <c r="F2581" s="264"/>
    </row>
    <row r="2582" spans="6:6" x14ac:dyDescent="0.2">
      <c r="F2582" s="264"/>
    </row>
    <row r="2583" spans="6:6" x14ac:dyDescent="0.2">
      <c r="F2583" s="264"/>
    </row>
    <row r="2584" spans="6:6" x14ac:dyDescent="0.2">
      <c r="F2584" s="264"/>
    </row>
    <row r="2585" spans="6:6" x14ac:dyDescent="0.2">
      <c r="F2585" s="264"/>
    </row>
    <row r="2586" spans="6:6" x14ac:dyDescent="0.2">
      <c r="F2586" s="264"/>
    </row>
    <row r="2587" spans="6:6" x14ac:dyDescent="0.2">
      <c r="F2587" s="264"/>
    </row>
    <row r="2588" spans="6:6" x14ac:dyDescent="0.2">
      <c r="F2588" s="264"/>
    </row>
    <row r="2589" spans="6:6" x14ac:dyDescent="0.2">
      <c r="F2589" s="264"/>
    </row>
    <row r="2590" spans="6:6" x14ac:dyDescent="0.2">
      <c r="F2590" s="264"/>
    </row>
    <row r="2591" spans="6:6" x14ac:dyDescent="0.2">
      <c r="F2591" s="264"/>
    </row>
    <row r="2592" spans="6:6" x14ac:dyDescent="0.2">
      <c r="F2592" s="264"/>
    </row>
    <row r="2593" spans="6:6" x14ac:dyDescent="0.2">
      <c r="F2593" s="264"/>
    </row>
    <row r="2594" spans="6:6" x14ac:dyDescent="0.2">
      <c r="F2594" s="264"/>
    </row>
    <row r="2595" spans="6:6" x14ac:dyDescent="0.2">
      <c r="F2595" s="264"/>
    </row>
    <row r="2596" spans="6:6" x14ac:dyDescent="0.2">
      <c r="F2596" s="264"/>
    </row>
    <row r="2597" spans="6:6" x14ac:dyDescent="0.2">
      <c r="F2597" s="264"/>
    </row>
    <row r="2598" spans="6:6" x14ac:dyDescent="0.2">
      <c r="F2598" s="264"/>
    </row>
    <row r="2599" spans="6:6" x14ac:dyDescent="0.2">
      <c r="F2599" s="264"/>
    </row>
    <row r="2600" spans="6:6" x14ac:dyDescent="0.2">
      <c r="F2600" s="264"/>
    </row>
    <row r="2601" spans="6:6" x14ac:dyDescent="0.2">
      <c r="F2601" s="264"/>
    </row>
    <row r="2602" spans="6:6" x14ac:dyDescent="0.2">
      <c r="F2602" s="264"/>
    </row>
    <row r="2603" spans="6:6" x14ac:dyDescent="0.2">
      <c r="F2603" s="264"/>
    </row>
    <row r="2604" spans="6:6" x14ac:dyDescent="0.2">
      <c r="F2604" s="264"/>
    </row>
    <row r="2605" spans="6:6" x14ac:dyDescent="0.2">
      <c r="F2605" s="264"/>
    </row>
    <row r="2606" spans="6:6" x14ac:dyDescent="0.2">
      <c r="F2606" s="264"/>
    </row>
    <row r="2607" spans="6:6" x14ac:dyDescent="0.2">
      <c r="F2607" s="264"/>
    </row>
    <row r="2608" spans="6:6" x14ac:dyDescent="0.2">
      <c r="F2608" s="264"/>
    </row>
    <row r="2609" spans="6:6" x14ac:dyDescent="0.2">
      <c r="F2609" s="264"/>
    </row>
    <row r="2610" spans="6:6" x14ac:dyDescent="0.2">
      <c r="F2610" s="264"/>
    </row>
    <row r="2611" spans="6:6" x14ac:dyDescent="0.2">
      <c r="F2611" s="264"/>
    </row>
    <row r="2612" spans="6:6" x14ac:dyDescent="0.2">
      <c r="F2612" s="264"/>
    </row>
    <row r="2613" spans="6:6" x14ac:dyDescent="0.2">
      <c r="F2613" s="264"/>
    </row>
    <row r="2614" spans="6:6" x14ac:dyDescent="0.2">
      <c r="F2614" s="264"/>
    </row>
    <row r="2615" spans="6:6" x14ac:dyDescent="0.2">
      <c r="F2615" s="264"/>
    </row>
    <row r="2616" spans="6:6" x14ac:dyDescent="0.2">
      <c r="F2616" s="264"/>
    </row>
    <row r="2617" spans="6:6" x14ac:dyDescent="0.2">
      <c r="F2617" s="264"/>
    </row>
    <row r="2618" spans="6:6" x14ac:dyDescent="0.2">
      <c r="F2618" s="264"/>
    </row>
    <row r="2619" spans="6:6" x14ac:dyDescent="0.2">
      <c r="F2619" s="264"/>
    </row>
    <row r="2620" spans="6:6" x14ac:dyDescent="0.2">
      <c r="F2620" s="264"/>
    </row>
    <row r="2621" spans="6:6" x14ac:dyDescent="0.2">
      <c r="F2621" s="264"/>
    </row>
    <row r="2622" spans="6:6" x14ac:dyDescent="0.2">
      <c r="F2622" s="264"/>
    </row>
    <row r="2623" spans="6:6" x14ac:dyDescent="0.2">
      <c r="F2623" s="264"/>
    </row>
    <row r="2624" spans="6:6" x14ac:dyDescent="0.2">
      <c r="F2624" s="264"/>
    </row>
    <row r="2625" spans="6:6" x14ac:dyDescent="0.2">
      <c r="F2625" s="264"/>
    </row>
    <row r="2626" spans="6:6" x14ac:dyDescent="0.2">
      <c r="F2626" s="264"/>
    </row>
    <row r="2627" spans="6:6" x14ac:dyDescent="0.2">
      <c r="F2627" s="264"/>
    </row>
    <row r="2628" spans="6:6" x14ac:dyDescent="0.2">
      <c r="F2628" s="264"/>
    </row>
    <row r="2629" spans="6:6" x14ac:dyDescent="0.2">
      <c r="F2629" s="264"/>
    </row>
    <row r="2630" spans="6:6" x14ac:dyDescent="0.2">
      <c r="F2630" s="264"/>
    </row>
    <row r="2631" spans="6:6" x14ac:dyDescent="0.2">
      <c r="F2631" s="264"/>
    </row>
    <row r="2632" spans="6:6" x14ac:dyDescent="0.2">
      <c r="F2632" s="264"/>
    </row>
    <row r="2633" spans="6:6" x14ac:dyDescent="0.2">
      <c r="F2633" s="264"/>
    </row>
    <row r="2634" spans="6:6" x14ac:dyDescent="0.2">
      <c r="F2634" s="264"/>
    </row>
    <row r="2635" spans="6:6" x14ac:dyDescent="0.2">
      <c r="F2635" s="264"/>
    </row>
    <row r="2636" spans="6:6" x14ac:dyDescent="0.2">
      <c r="F2636" s="264"/>
    </row>
    <row r="2637" spans="6:6" x14ac:dyDescent="0.2">
      <c r="F2637" s="264"/>
    </row>
    <row r="2638" spans="6:6" x14ac:dyDescent="0.2">
      <c r="F2638" s="264"/>
    </row>
    <row r="2639" spans="6:6" x14ac:dyDescent="0.2">
      <c r="F2639" s="264"/>
    </row>
    <row r="2640" spans="6:6" x14ac:dyDescent="0.2">
      <c r="F2640" s="264"/>
    </row>
    <row r="2641" spans="6:6" x14ac:dyDescent="0.2">
      <c r="F2641" s="264"/>
    </row>
    <row r="2642" spans="6:6" x14ac:dyDescent="0.2">
      <c r="F2642" s="264"/>
    </row>
    <row r="2643" spans="6:6" x14ac:dyDescent="0.2">
      <c r="F2643" s="264"/>
    </row>
    <row r="2644" spans="6:6" x14ac:dyDescent="0.2">
      <c r="F2644" s="264"/>
    </row>
    <row r="2645" spans="6:6" x14ac:dyDescent="0.2">
      <c r="F2645" s="264"/>
    </row>
    <row r="2646" spans="6:6" x14ac:dyDescent="0.2">
      <c r="F2646" s="264"/>
    </row>
    <row r="2647" spans="6:6" x14ac:dyDescent="0.2">
      <c r="F2647" s="264"/>
    </row>
    <row r="2648" spans="6:6" x14ac:dyDescent="0.2">
      <c r="F2648" s="264"/>
    </row>
    <row r="2649" spans="6:6" x14ac:dyDescent="0.2">
      <c r="F2649" s="264"/>
    </row>
    <row r="2650" spans="6:6" x14ac:dyDescent="0.2">
      <c r="F2650" s="264"/>
    </row>
    <row r="2651" spans="6:6" x14ac:dyDescent="0.2">
      <c r="F2651" s="264"/>
    </row>
    <row r="2652" spans="6:6" x14ac:dyDescent="0.2">
      <c r="F2652" s="264"/>
    </row>
    <row r="2653" spans="6:6" x14ac:dyDescent="0.2">
      <c r="F2653" s="264"/>
    </row>
    <row r="2654" spans="6:6" x14ac:dyDescent="0.2">
      <c r="F2654" s="264"/>
    </row>
    <row r="2655" spans="6:6" x14ac:dyDescent="0.2">
      <c r="F2655" s="264"/>
    </row>
    <row r="2656" spans="6:6" x14ac:dyDescent="0.2">
      <c r="F2656" s="264"/>
    </row>
    <row r="2657" spans="6:6" x14ac:dyDescent="0.2">
      <c r="F2657" s="264"/>
    </row>
    <row r="2658" spans="6:6" x14ac:dyDescent="0.2">
      <c r="F2658" s="264"/>
    </row>
    <row r="2659" spans="6:6" x14ac:dyDescent="0.2">
      <c r="F2659" s="264"/>
    </row>
    <row r="2660" spans="6:6" x14ac:dyDescent="0.2">
      <c r="F2660" s="264"/>
    </row>
    <row r="2661" spans="6:6" x14ac:dyDescent="0.2">
      <c r="F2661" s="264"/>
    </row>
    <row r="2662" spans="6:6" x14ac:dyDescent="0.2">
      <c r="F2662" s="264"/>
    </row>
    <row r="2663" spans="6:6" x14ac:dyDescent="0.2">
      <c r="F2663" s="264"/>
    </row>
    <row r="2664" spans="6:6" x14ac:dyDescent="0.2">
      <c r="F2664" s="264"/>
    </row>
    <row r="2665" spans="6:6" x14ac:dyDescent="0.2">
      <c r="F2665" s="264"/>
    </row>
    <row r="2666" spans="6:6" x14ac:dyDescent="0.2">
      <c r="F2666" s="264"/>
    </row>
    <row r="2667" spans="6:6" x14ac:dyDescent="0.2">
      <c r="F2667" s="264"/>
    </row>
    <row r="2668" spans="6:6" x14ac:dyDescent="0.2">
      <c r="F2668" s="264"/>
    </row>
    <row r="2669" spans="6:6" x14ac:dyDescent="0.2">
      <c r="F2669" s="264"/>
    </row>
    <row r="2670" spans="6:6" x14ac:dyDescent="0.2">
      <c r="F2670" s="264"/>
    </row>
    <row r="2671" spans="6:6" x14ac:dyDescent="0.2">
      <c r="F2671" s="264"/>
    </row>
    <row r="2672" spans="6:6" x14ac:dyDescent="0.2">
      <c r="F2672" s="264"/>
    </row>
    <row r="2673" spans="6:6" x14ac:dyDescent="0.2">
      <c r="F2673" s="264"/>
    </row>
    <row r="2674" spans="6:6" x14ac:dyDescent="0.2">
      <c r="F2674" s="264"/>
    </row>
    <row r="2675" spans="6:6" x14ac:dyDescent="0.2">
      <c r="F2675" s="264"/>
    </row>
    <row r="2676" spans="6:6" x14ac:dyDescent="0.2">
      <c r="F2676" s="264"/>
    </row>
    <row r="2677" spans="6:6" x14ac:dyDescent="0.2">
      <c r="F2677" s="264"/>
    </row>
    <row r="2678" spans="6:6" x14ac:dyDescent="0.2">
      <c r="F2678" s="264"/>
    </row>
    <row r="2679" spans="6:6" x14ac:dyDescent="0.2">
      <c r="F2679" s="264"/>
    </row>
    <row r="2680" spans="6:6" x14ac:dyDescent="0.2">
      <c r="F2680" s="264"/>
    </row>
    <row r="2681" spans="6:6" x14ac:dyDescent="0.2">
      <c r="F2681" s="264"/>
    </row>
    <row r="2682" spans="6:6" x14ac:dyDescent="0.2">
      <c r="F2682" s="264"/>
    </row>
    <row r="2683" spans="6:6" x14ac:dyDescent="0.2">
      <c r="F2683" s="264"/>
    </row>
    <row r="2684" spans="6:6" x14ac:dyDescent="0.2">
      <c r="F2684" s="264"/>
    </row>
    <row r="2685" spans="6:6" x14ac:dyDescent="0.2">
      <c r="F2685" s="264"/>
    </row>
    <row r="2686" spans="6:6" x14ac:dyDescent="0.2">
      <c r="F2686" s="264"/>
    </row>
    <row r="2687" spans="6:6" x14ac:dyDescent="0.2">
      <c r="F2687" s="264"/>
    </row>
    <row r="2688" spans="6:6" x14ac:dyDescent="0.2">
      <c r="F2688" s="264"/>
    </row>
    <row r="2689" spans="6:6" x14ac:dyDescent="0.2">
      <c r="F2689" s="264"/>
    </row>
    <row r="2690" spans="6:6" x14ac:dyDescent="0.2">
      <c r="F2690" s="264"/>
    </row>
    <row r="2691" spans="6:6" x14ac:dyDescent="0.2">
      <c r="F2691" s="264"/>
    </row>
    <row r="2692" spans="6:6" x14ac:dyDescent="0.2">
      <c r="F2692" s="264"/>
    </row>
    <row r="2693" spans="6:6" x14ac:dyDescent="0.2">
      <c r="F2693" s="264"/>
    </row>
    <row r="2694" spans="6:6" x14ac:dyDescent="0.2">
      <c r="F2694" s="264"/>
    </row>
    <row r="2695" spans="6:6" x14ac:dyDescent="0.2">
      <c r="F2695" s="264"/>
    </row>
    <row r="2696" spans="6:6" x14ac:dyDescent="0.2">
      <c r="F2696" s="264"/>
    </row>
    <row r="2697" spans="6:6" x14ac:dyDescent="0.2">
      <c r="F2697" s="264"/>
    </row>
    <row r="2698" spans="6:6" x14ac:dyDescent="0.2">
      <c r="F2698" s="264"/>
    </row>
    <row r="2699" spans="6:6" x14ac:dyDescent="0.2">
      <c r="F2699" s="264"/>
    </row>
    <row r="2700" spans="6:6" x14ac:dyDescent="0.2">
      <c r="F2700" s="264"/>
    </row>
    <row r="2701" spans="6:6" x14ac:dyDescent="0.2">
      <c r="F2701" s="264"/>
    </row>
    <row r="2702" spans="6:6" x14ac:dyDescent="0.2">
      <c r="F2702" s="264"/>
    </row>
    <row r="2703" spans="6:6" x14ac:dyDescent="0.2">
      <c r="F2703" s="264"/>
    </row>
    <row r="2704" spans="6:6" x14ac:dyDescent="0.2">
      <c r="F2704" s="264"/>
    </row>
    <row r="2705" spans="6:6" x14ac:dyDescent="0.2">
      <c r="F2705" s="264"/>
    </row>
    <row r="2706" spans="6:6" x14ac:dyDescent="0.2">
      <c r="F2706" s="264"/>
    </row>
    <row r="2707" spans="6:6" x14ac:dyDescent="0.2">
      <c r="F2707" s="264"/>
    </row>
    <row r="2708" spans="6:6" x14ac:dyDescent="0.2">
      <c r="F2708" s="264"/>
    </row>
    <row r="2709" spans="6:6" x14ac:dyDescent="0.2">
      <c r="F2709" s="264"/>
    </row>
    <row r="2710" spans="6:6" x14ac:dyDescent="0.2">
      <c r="F2710" s="264"/>
    </row>
    <row r="2711" spans="6:6" x14ac:dyDescent="0.2">
      <c r="F2711" s="264"/>
    </row>
    <row r="2712" spans="6:6" x14ac:dyDescent="0.2">
      <c r="F2712" s="264"/>
    </row>
    <row r="2713" spans="6:6" x14ac:dyDescent="0.2">
      <c r="F2713" s="264"/>
    </row>
    <row r="2714" spans="6:6" x14ac:dyDescent="0.2">
      <c r="F2714" s="264"/>
    </row>
    <row r="2715" spans="6:6" x14ac:dyDescent="0.2">
      <c r="F2715" s="264"/>
    </row>
    <row r="2716" spans="6:6" x14ac:dyDescent="0.2">
      <c r="F2716" s="264"/>
    </row>
    <row r="2717" spans="6:6" x14ac:dyDescent="0.2">
      <c r="F2717" s="264"/>
    </row>
    <row r="2718" spans="6:6" x14ac:dyDescent="0.2">
      <c r="F2718" s="264"/>
    </row>
    <row r="2719" spans="6:6" x14ac:dyDescent="0.2">
      <c r="F2719" s="264"/>
    </row>
    <row r="2720" spans="6:6" x14ac:dyDescent="0.2">
      <c r="F2720" s="264"/>
    </row>
    <row r="2721" spans="6:6" x14ac:dyDescent="0.2">
      <c r="F2721" s="264"/>
    </row>
    <row r="2722" spans="6:6" x14ac:dyDescent="0.2">
      <c r="F2722" s="264"/>
    </row>
    <row r="2723" spans="6:6" x14ac:dyDescent="0.2">
      <c r="F2723" s="264"/>
    </row>
    <row r="2724" spans="6:6" x14ac:dyDescent="0.2">
      <c r="F2724" s="264"/>
    </row>
    <row r="2725" spans="6:6" x14ac:dyDescent="0.2">
      <c r="F2725" s="264"/>
    </row>
    <row r="2726" spans="6:6" x14ac:dyDescent="0.2">
      <c r="F2726" s="264"/>
    </row>
    <row r="2727" spans="6:6" x14ac:dyDescent="0.2">
      <c r="F2727" s="264"/>
    </row>
    <row r="2728" spans="6:6" x14ac:dyDescent="0.2">
      <c r="F2728" s="264"/>
    </row>
    <row r="2729" spans="6:6" x14ac:dyDescent="0.2">
      <c r="F2729" s="264"/>
    </row>
    <row r="2730" spans="6:6" x14ac:dyDescent="0.2">
      <c r="F2730" s="264"/>
    </row>
    <row r="2731" spans="6:6" x14ac:dyDescent="0.2">
      <c r="F2731" s="264"/>
    </row>
    <row r="2732" spans="6:6" x14ac:dyDescent="0.2">
      <c r="F2732" s="264"/>
    </row>
    <row r="2733" spans="6:6" x14ac:dyDescent="0.2">
      <c r="F2733" s="264"/>
    </row>
    <row r="2734" spans="6:6" x14ac:dyDescent="0.2">
      <c r="F2734" s="264"/>
    </row>
    <row r="2735" spans="6:6" x14ac:dyDescent="0.2">
      <c r="F2735" s="264"/>
    </row>
    <row r="2736" spans="6:6" x14ac:dyDescent="0.2">
      <c r="F2736" s="264"/>
    </row>
    <row r="2737" spans="6:6" x14ac:dyDescent="0.2">
      <c r="F2737" s="264"/>
    </row>
    <row r="2738" spans="6:6" x14ac:dyDescent="0.2">
      <c r="F2738" s="264"/>
    </row>
    <row r="2739" spans="6:6" x14ac:dyDescent="0.2">
      <c r="F2739" s="264"/>
    </row>
    <row r="2740" spans="6:6" x14ac:dyDescent="0.2">
      <c r="F2740" s="264"/>
    </row>
    <row r="2741" spans="6:6" x14ac:dyDescent="0.2">
      <c r="F2741" s="264"/>
    </row>
    <row r="2742" spans="6:6" x14ac:dyDescent="0.2">
      <c r="F2742" s="264"/>
    </row>
    <row r="2743" spans="6:6" x14ac:dyDescent="0.2">
      <c r="F2743" s="264"/>
    </row>
    <row r="2744" spans="6:6" x14ac:dyDescent="0.2">
      <c r="F2744" s="264"/>
    </row>
    <row r="2745" spans="6:6" x14ac:dyDescent="0.2">
      <c r="F2745" s="264"/>
    </row>
    <row r="2746" spans="6:6" x14ac:dyDescent="0.2">
      <c r="F2746" s="264"/>
    </row>
    <row r="2747" spans="6:6" x14ac:dyDescent="0.2">
      <c r="F2747" s="264"/>
    </row>
    <row r="2748" spans="6:6" x14ac:dyDescent="0.2">
      <c r="F2748" s="264"/>
    </row>
    <row r="2749" spans="6:6" x14ac:dyDescent="0.2">
      <c r="F2749" s="264"/>
    </row>
    <row r="2750" spans="6:6" x14ac:dyDescent="0.2">
      <c r="F2750" s="264"/>
    </row>
    <row r="2751" spans="6:6" x14ac:dyDescent="0.2">
      <c r="F2751" s="264"/>
    </row>
    <row r="2752" spans="6:6" x14ac:dyDescent="0.2">
      <c r="F2752" s="264"/>
    </row>
    <row r="2753" spans="6:6" x14ac:dyDescent="0.2">
      <c r="F2753" s="264"/>
    </row>
    <row r="2754" spans="6:6" x14ac:dyDescent="0.2">
      <c r="F2754" s="264"/>
    </row>
    <row r="2755" spans="6:6" x14ac:dyDescent="0.2">
      <c r="F2755" s="264"/>
    </row>
    <row r="2756" spans="6:6" x14ac:dyDescent="0.2">
      <c r="F2756" s="264"/>
    </row>
    <row r="2757" spans="6:6" x14ac:dyDescent="0.2">
      <c r="F2757" s="264"/>
    </row>
    <row r="2758" spans="6:6" x14ac:dyDescent="0.2">
      <c r="F2758" s="264"/>
    </row>
    <row r="2759" spans="6:6" x14ac:dyDescent="0.2">
      <c r="F2759" s="264"/>
    </row>
    <row r="2760" spans="6:6" x14ac:dyDescent="0.2">
      <c r="F2760" s="264"/>
    </row>
    <row r="2761" spans="6:6" x14ac:dyDescent="0.2">
      <c r="F2761" s="264"/>
    </row>
    <row r="2762" spans="6:6" x14ac:dyDescent="0.2">
      <c r="F2762" s="264"/>
    </row>
    <row r="2763" spans="6:6" x14ac:dyDescent="0.2">
      <c r="F2763" s="264"/>
    </row>
    <row r="2764" spans="6:6" x14ac:dyDescent="0.2">
      <c r="F2764" s="264"/>
    </row>
    <row r="2765" spans="6:6" x14ac:dyDescent="0.2">
      <c r="F2765" s="264"/>
    </row>
    <row r="2766" spans="6:6" x14ac:dyDescent="0.2">
      <c r="F2766" s="264"/>
    </row>
    <row r="2767" spans="6:6" x14ac:dyDescent="0.2">
      <c r="F2767" s="264"/>
    </row>
    <row r="2768" spans="6:6" x14ac:dyDescent="0.2">
      <c r="F2768" s="264"/>
    </row>
    <row r="2769" spans="6:6" x14ac:dyDescent="0.2">
      <c r="F2769" s="264"/>
    </row>
    <row r="2770" spans="6:6" x14ac:dyDescent="0.2">
      <c r="F2770" s="264"/>
    </row>
    <row r="2771" spans="6:6" x14ac:dyDescent="0.2">
      <c r="F2771" s="264"/>
    </row>
    <row r="2772" spans="6:6" x14ac:dyDescent="0.2">
      <c r="F2772" s="264"/>
    </row>
    <row r="2773" spans="6:6" x14ac:dyDescent="0.2">
      <c r="F2773" s="264"/>
    </row>
    <row r="2774" spans="6:6" x14ac:dyDescent="0.2">
      <c r="F2774" s="264"/>
    </row>
    <row r="2775" spans="6:6" x14ac:dyDescent="0.2">
      <c r="F2775" s="264"/>
    </row>
    <row r="2776" spans="6:6" x14ac:dyDescent="0.2">
      <c r="F2776" s="264"/>
    </row>
    <row r="2777" spans="6:6" x14ac:dyDescent="0.2">
      <c r="F2777" s="264"/>
    </row>
    <row r="2778" spans="6:6" x14ac:dyDescent="0.2">
      <c r="F2778" s="264"/>
    </row>
    <row r="2779" spans="6:6" x14ac:dyDescent="0.2">
      <c r="F2779" s="264"/>
    </row>
    <row r="2780" spans="6:6" x14ac:dyDescent="0.2">
      <c r="F2780" s="264"/>
    </row>
    <row r="2781" spans="6:6" x14ac:dyDescent="0.2">
      <c r="F2781" s="264"/>
    </row>
    <row r="2782" spans="6:6" x14ac:dyDescent="0.2">
      <c r="F2782" s="264"/>
    </row>
    <row r="2783" spans="6:6" x14ac:dyDescent="0.2">
      <c r="F2783" s="264"/>
    </row>
    <row r="2784" spans="6:6" x14ac:dyDescent="0.2">
      <c r="F2784" s="264"/>
    </row>
    <row r="2785" spans="6:6" x14ac:dyDescent="0.2">
      <c r="F2785" s="264"/>
    </row>
    <row r="2786" spans="6:6" x14ac:dyDescent="0.2">
      <c r="F2786" s="264"/>
    </row>
    <row r="2787" spans="6:6" x14ac:dyDescent="0.2">
      <c r="F2787" s="264"/>
    </row>
    <row r="2788" spans="6:6" x14ac:dyDescent="0.2">
      <c r="F2788" s="264"/>
    </row>
    <row r="2789" spans="6:6" x14ac:dyDescent="0.2">
      <c r="F2789" s="264"/>
    </row>
    <row r="2790" spans="6:6" x14ac:dyDescent="0.2">
      <c r="F2790" s="264"/>
    </row>
    <row r="2791" spans="6:6" x14ac:dyDescent="0.2">
      <c r="F2791" s="264"/>
    </row>
    <row r="2792" spans="6:6" x14ac:dyDescent="0.2">
      <c r="F2792" s="264"/>
    </row>
    <row r="2793" spans="6:6" x14ac:dyDescent="0.2">
      <c r="F2793" s="264"/>
    </row>
    <row r="2794" spans="6:6" x14ac:dyDescent="0.2">
      <c r="F2794" s="264"/>
    </row>
    <row r="2795" spans="6:6" x14ac:dyDescent="0.2">
      <c r="F2795" s="264"/>
    </row>
    <row r="2796" spans="6:6" x14ac:dyDescent="0.2">
      <c r="F2796" s="264"/>
    </row>
    <row r="2797" spans="6:6" x14ac:dyDescent="0.2">
      <c r="F2797" s="264"/>
    </row>
    <row r="2798" spans="6:6" x14ac:dyDescent="0.2">
      <c r="F2798" s="264"/>
    </row>
    <row r="2799" spans="6:6" x14ac:dyDescent="0.2">
      <c r="F2799" s="264"/>
    </row>
    <row r="2800" spans="6:6" x14ac:dyDescent="0.2">
      <c r="F2800" s="264"/>
    </row>
    <row r="2801" spans="6:6" x14ac:dyDescent="0.2">
      <c r="F2801" s="264"/>
    </row>
    <row r="2802" spans="6:6" x14ac:dyDescent="0.2">
      <c r="F2802" s="264"/>
    </row>
    <row r="2803" spans="6:6" x14ac:dyDescent="0.2">
      <c r="F2803" s="264"/>
    </row>
    <row r="2804" spans="6:6" x14ac:dyDescent="0.2">
      <c r="F2804" s="264"/>
    </row>
    <row r="2805" spans="6:6" x14ac:dyDescent="0.2">
      <c r="F2805" s="264"/>
    </row>
    <row r="2806" spans="6:6" x14ac:dyDescent="0.2">
      <c r="F2806" s="264"/>
    </row>
    <row r="2807" spans="6:6" x14ac:dyDescent="0.2">
      <c r="F2807" s="264"/>
    </row>
    <row r="2808" spans="6:6" x14ac:dyDescent="0.2">
      <c r="F2808" s="264"/>
    </row>
    <row r="2809" spans="6:6" x14ac:dyDescent="0.2">
      <c r="F2809" s="264"/>
    </row>
    <row r="2810" spans="6:6" x14ac:dyDescent="0.2">
      <c r="F2810" s="264"/>
    </row>
    <row r="2811" spans="6:6" x14ac:dyDescent="0.2">
      <c r="F2811" s="264"/>
    </row>
    <row r="2812" spans="6:6" x14ac:dyDescent="0.2">
      <c r="F2812" s="264"/>
    </row>
    <row r="2813" spans="6:6" x14ac:dyDescent="0.2">
      <c r="F2813" s="264"/>
    </row>
    <row r="2814" spans="6:6" x14ac:dyDescent="0.2">
      <c r="F2814" s="264"/>
    </row>
    <row r="2815" spans="6:6" x14ac:dyDescent="0.2">
      <c r="F2815" s="264"/>
    </row>
    <row r="2816" spans="6:6" x14ac:dyDescent="0.2">
      <c r="F2816" s="264"/>
    </row>
    <row r="2817" spans="6:6" x14ac:dyDescent="0.2">
      <c r="F2817" s="264"/>
    </row>
    <row r="2818" spans="6:6" x14ac:dyDescent="0.2">
      <c r="F2818" s="264"/>
    </row>
    <row r="2819" spans="6:6" x14ac:dyDescent="0.2">
      <c r="F2819" s="264"/>
    </row>
    <row r="2820" spans="6:6" x14ac:dyDescent="0.2">
      <c r="F2820" s="264"/>
    </row>
    <row r="2821" spans="6:6" x14ac:dyDescent="0.2">
      <c r="F2821" s="264"/>
    </row>
    <row r="2822" spans="6:6" x14ac:dyDescent="0.2">
      <c r="F2822" s="264"/>
    </row>
    <row r="2823" spans="6:6" x14ac:dyDescent="0.2">
      <c r="F2823" s="264"/>
    </row>
    <row r="2824" spans="6:6" x14ac:dyDescent="0.2">
      <c r="F2824" s="264"/>
    </row>
    <row r="2825" spans="6:6" x14ac:dyDescent="0.2">
      <c r="F2825" s="264"/>
    </row>
    <row r="2826" spans="6:6" x14ac:dyDescent="0.2">
      <c r="F2826" s="264"/>
    </row>
    <row r="2827" spans="6:6" x14ac:dyDescent="0.2">
      <c r="F2827" s="264"/>
    </row>
    <row r="2828" spans="6:6" x14ac:dyDescent="0.2">
      <c r="F2828" s="264"/>
    </row>
    <row r="2829" spans="6:6" x14ac:dyDescent="0.2">
      <c r="F2829" s="264"/>
    </row>
    <row r="2830" spans="6:6" x14ac:dyDescent="0.2">
      <c r="F2830" s="264"/>
    </row>
    <row r="2831" spans="6:6" x14ac:dyDescent="0.2">
      <c r="F2831" s="264"/>
    </row>
    <row r="2832" spans="6:6" x14ac:dyDescent="0.2">
      <c r="F2832" s="264"/>
    </row>
    <row r="2833" spans="6:6" x14ac:dyDescent="0.2">
      <c r="F2833" s="264"/>
    </row>
    <row r="2834" spans="6:6" x14ac:dyDescent="0.2">
      <c r="F2834" s="264"/>
    </row>
    <row r="2835" spans="6:6" x14ac:dyDescent="0.2">
      <c r="F2835" s="264"/>
    </row>
    <row r="2836" spans="6:6" x14ac:dyDescent="0.2">
      <c r="F2836" s="264"/>
    </row>
    <row r="2837" spans="6:6" x14ac:dyDescent="0.2">
      <c r="F2837" s="264"/>
    </row>
    <row r="2838" spans="6:6" x14ac:dyDescent="0.2">
      <c r="F2838" s="264"/>
    </row>
    <row r="2839" spans="6:6" x14ac:dyDescent="0.2">
      <c r="F2839" s="264"/>
    </row>
    <row r="2840" spans="6:6" x14ac:dyDescent="0.2">
      <c r="F2840" s="264"/>
    </row>
    <row r="2841" spans="6:6" x14ac:dyDescent="0.2">
      <c r="F2841" s="264"/>
    </row>
    <row r="2842" spans="6:6" x14ac:dyDescent="0.2">
      <c r="F2842" s="264"/>
    </row>
    <row r="2843" spans="6:6" x14ac:dyDescent="0.2">
      <c r="F2843" s="264"/>
    </row>
    <row r="2844" spans="6:6" x14ac:dyDescent="0.2">
      <c r="F2844" s="264"/>
    </row>
    <row r="2845" spans="6:6" x14ac:dyDescent="0.2">
      <c r="F2845" s="264"/>
    </row>
    <row r="2846" spans="6:6" x14ac:dyDescent="0.2">
      <c r="F2846" s="264"/>
    </row>
    <row r="2847" spans="6:6" x14ac:dyDescent="0.2">
      <c r="F2847" s="264"/>
    </row>
    <row r="2848" spans="6:6" x14ac:dyDescent="0.2">
      <c r="F2848" s="264"/>
    </row>
    <row r="2849" spans="6:6" x14ac:dyDescent="0.2">
      <c r="F2849" s="264"/>
    </row>
    <row r="2850" spans="6:6" x14ac:dyDescent="0.2">
      <c r="F2850" s="264"/>
    </row>
    <row r="2851" spans="6:6" x14ac:dyDescent="0.2">
      <c r="F2851" s="264"/>
    </row>
    <row r="2852" spans="6:6" x14ac:dyDescent="0.2">
      <c r="F2852" s="264"/>
    </row>
    <row r="2853" spans="6:6" x14ac:dyDescent="0.2">
      <c r="F2853" s="264"/>
    </row>
    <row r="2854" spans="6:6" x14ac:dyDescent="0.2">
      <c r="F2854" s="264"/>
    </row>
    <row r="2855" spans="6:6" x14ac:dyDescent="0.2">
      <c r="F2855" s="264"/>
    </row>
    <row r="2856" spans="6:6" x14ac:dyDescent="0.2">
      <c r="F2856" s="264"/>
    </row>
    <row r="2857" spans="6:6" x14ac:dyDescent="0.2">
      <c r="F2857" s="264"/>
    </row>
    <row r="2858" spans="6:6" x14ac:dyDescent="0.2">
      <c r="F2858" s="264"/>
    </row>
    <row r="2859" spans="6:6" x14ac:dyDescent="0.2">
      <c r="F2859" s="264"/>
    </row>
    <row r="2860" spans="6:6" x14ac:dyDescent="0.2">
      <c r="F2860" s="264"/>
    </row>
    <row r="2861" spans="6:6" x14ac:dyDescent="0.2">
      <c r="F2861" s="264"/>
    </row>
    <row r="2862" spans="6:6" x14ac:dyDescent="0.2">
      <c r="F2862" s="264"/>
    </row>
    <row r="2863" spans="6:6" x14ac:dyDescent="0.2">
      <c r="F2863" s="264"/>
    </row>
    <row r="2864" spans="6:6" x14ac:dyDescent="0.2">
      <c r="F2864" s="264"/>
    </row>
    <row r="2865" spans="6:6" x14ac:dyDescent="0.2">
      <c r="F2865" s="264"/>
    </row>
    <row r="2866" spans="6:6" x14ac:dyDescent="0.2">
      <c r="F2866" s="264"/>
    </row>
    <row r="2867" spans="6:6" x14ac:dyDescent="0.2">
      <c r="F2867" s="264"/>
    </row>
    <row r="2868" spans="6:6" x14ac:dyDescent="0.2">
      <c r="F2868" s="264"/>
    </row>
    <row r="2869" spans="6:6" x14ac:dyDescent="0.2">
      <c r="F2869" s="264"/>
    </row>
    <row r="2870" spans="6:6" x14ac:dyDescent="0.2">
      <c r="F2870" s="264"/>
    </row>
    <row r="2871" spans="6:6" x14ac:dyDescent="0.2">
      <c r="F2871" s="264"/>
    </row>
    <row r="2872" spans="6:6" x14ac:dyDescent="0.2">
      <c r="F2872" s="264"/>
    </row>
    <row r="2873" spans="6:6" x14ac:dyDescent="0.2">
      <c r="F2873" s="264"/>
    </row>
    <row r="2874" spans="6:6" x14ac:dyDescent="0.2">
      <c r="F2874" s="264"/>
    </row>
    <row r="2875" spans="6:6" x14ac:dyDescent="0.2">
      <c r="F2875" s="264"/>
    </row>
    <row r="2876" spans="6:6" x14ac:dyDescent="0.2">
      <c r="F2876" s="264"/>
    </row>
    <row r="2877" spans="6:6" x14ac:dyDescent="0.2">
      <c r="F2877" s="264"/>
    </row>
    <row r="2878" spans="6:6" x14ac:dyDescent="0.2">
      <c r="F2878" s="264"/>
    </row>
    <row r="2879" spans="6:6" x14ac:dyDescent="0.2">
      <c r="F2879" s="264"/>
    </row>
    <row r="2880" spans="6:6" x14ac:dyDescent="0.2">
      <c r="F2880" s="264"/>
    </row>
    <row r="2881" spans="6:6" x14ac:dyDescent="0.2">
      <c r="F2881" s="264"/>
    </row>
    <row r="2882" spans="6:6" x14ac:dyDescent="0.2">
      <c r="F2882" s="264"/>
    </row>
    <row r="2883" spans="6:6" x14ac:dyDescent="0.2">
      <c r="F2883" s="264"/>
    </row>
    <row r="2884" spans="6:6" x14ac:dyDescent="0.2">
      <c r="F2884" s="264"/>
    </row>
    <row r="2885" spans="6:6" x14ac:dyDescent="0.2">
      <c r="F2885" s="264"/>
    </row>
    <row r="2886" spans="6:6" x14ac:dyDescent="0.2">
      <c r="F2886" s="264"/>
    </row>
    <row r="2887" spans="6:6" x14ac:dyDescent="0.2">
      <c r="F2887" s="264"/>
    </row>
    <row r="2888" spans="6:6" x14ac:dyDescent="0.2">
      <c r="F2888" s="264"/>
    </row>
    <row r="2889" spans="6:6" x14ac:dyDescent="0.2">
      <c r="F2889" s="264"/>
    </row>
    <row r="2890" spans="6:6" x14ac:dyDescent="0.2">
      <c r="F2890" s="264"/>
    </row>
    <row r="2891" spans="6:6" x14ac:dyDescent="0.2">
      <c r="F2891" s="264"/>
    </row>
    <row r="2892" spans="6:6" x14ac:dyDescent="0.2">
      <c r="F2892" s="264"/>
    </row>
    <row r="2893" spans="6:6" x14ac:dyDescent="0.2">
      <c r="F2893" s="264"/>
    </row>
    <row r="2894" spans="6:6" x14ac:dyDescent="0.2">
      <c r="F2894" s="264"/>
    </row>
    <row r="2895" spans="6:6" x14ac:dyDescent="0.2">
      <c r="F2895" s="264"/>
    </row>
    <row r="2896" spans="6:6" x14ac:dyDescent="0.2">
      <c r="F2896" s="264"/>
    </row>
    <row r="2897" spans="6:6" x14ac:dyDescent="0.2">
      <c r="F2897" s="264"/>
    </row>
    <row r="2898" spans="6:6" x14ac:dyDescent="0.2">
      <c r="F2898" s="264"/>
    </row>
    <row r="2899" spans="6:6" x14ac:dyDescent="0.2">
      <c r="F2899" s="264"/>
    </row>
    <row r="2900" spans="6:6" x14ac:dyDescent="0.2">
      <c r="F2900" s="264"/>
    </row>
    <row r="2901" spans="6:6" x14ac:dyDescent="0.2">
      <c r="F2901" s="264"/>
    </row>
    <row r="2902" spans="6:6" x14ac:dyDescent="0.2">
      <c r="F2902" s="264"/>
    </row>
    <row r="2903" spans="6:6" x14ac:dyDescent="0.2">
      <c r="F2903" s="264"/>
    </row>
    <row r="2904" spans="6:6" x14ac:dyDescent="0.2">
      <c r="F2904" s="264"/>
    </row>
    <row r="2905" spans="6:6" x14ac:dyDescent="0.2">
      <c r="F2905" s="264"/>
    </row>
    <row r="2906" spans="6:6" x14ac:dyDescent="0.2">
      <c r="F2906" s="264"/>
    </row>
    <row r="2907" spans="6:6" x14ac:dyDescent="0.2">
      <c r="F2907" s="264"/>
    </row>
    <row r="2908" spans="6:6" x14ac:dyDescent="0.2">
      <c r="F2908" s="264"/>
    </row>
    <row r="2909" spans="6:6" x14ac:dyDescent="0.2">
      <c r="F2909" s="264"/>
    </row>
    <row r="2910" spans="6:6" x14ac:dyDescent="0.2">
      <c r="F2910" s="264"/>
    </row>
    <row r="2911" spans="6:6" x14ac:dyDescent="0.2">
      <c r="F2911" s="264"/>
    </row>
    <row r="2912" spans="6:6" x14ac:dyDescent="0.2">
      <c r="F2912" s="264"/>
    </row>
    <row r="2913" spans="6:6" x14ac:dyDescent="0.2">
      <c r="F2913" s="264"/>
    </row>
    <row r="2914" spans="6:6" x14ac:dyDescent="0.2">
      <c r="F2914" s="264"/>
    </row>
    <row r="2915" spans="6:6" x14ac:dyDescent="0.2">
      <c r="F2915" s="264"/>
    </row>
    <row r="2916" spans="6:6" x14ac:dyDescent="0.2">
      <c r="F2916" s="264"/>
    </row>
    <row r="2917" spans="6:6" x14ac:dyDescent="0.2">
      <c r="F2917" s="264"/>
    </row>
    <row r="2918" spans="6:6" x14ac:dyDescent="0.2">
      <c r="F2918" s="264"/>
    </row>
    <row r="2919" spans="6:6" x14ac:dyDescent="0.2">
      <c r="F2919" s="264"/>
    </row>
    <row r="2920" spans="6:6" x14ac:dyDescent="0.2">
      <c r="F2920" s="264"/>
    </row>
    <row r="2921" spans="6:6" x14ac:dyDescent="0.2">
      <c r="F2921" s="264"/>
    </row>
    <row r="2922" spans="6:6" x14ac:dyDescent="0.2">
      <c r="F2922" s="264"/>
    </row>
    <row r="2923" spans="6:6" x14ac:dyDescent="0.2">
      <c r="F2923" s="264"/>
    </row>
    <row r="2924" spans="6:6" x14ac:dyDescent="0.2">
      <c r="F2924" s="264"/>
    </row>
    <row r="2925" spans="6:6" x14ac:dyDescent="0.2">
      <c r="F2925" s="264"/>
    </row>
    <row r="2926" spans="6:6" x14ac:dyDescent="0.2">
      <c r="F2926" s="264"/>
    </row>
    <row r="2927" spans="6:6" x14ac:dyDescent="0.2">
      <c r="F2927" s="264"/>
    </row>
    <row r="2928" spans="6:6" x14ac:dyDescent="0.2">
      <c r="F2928" s="264"/>
    </row>
    <row r="2929" spans="6:6" x14ac:dyDescent="0.2">
      <c r="F2929" s="264"/>
    </row>
    <row r="2930" spans="6:6" x14ac:dyDescent="0.2">
      <c r="F2930" s="264"/>
    </row>
    <row r="2931" spans="6:6" x14ac:dyDescent="0.2">
      <c r="F2931" s="264"/>
    </row>
    <row r="2932" spans="6:6" x14ac:dyDescent="0.2">
      <c r="F2932" s="264"/>
    </row>
    <row r="2933" spans="6:6" x14ac:dyDescent="0.2">
      <c r="F2933" s="264"/>
    </row>
    <row r="2934" spans="6:6" x14ac:dyDescent="0.2">
      <c r="F2934" s="264"/>
    </row>
    <row r="2935" spans="6:6" x14ac:dyDescent="0.2">
      <c r="F2935" s="264"/>
    </row>
    <row r="2936" spans="6:6" x14ac:dyDescent="0.2">
      <c r="F2936" s="264"/>
    </row>
    <row r="2937" spans="6:6" x14ac:dyDescent="0.2">
      <c r="F2937" s="264"/>
    </row>
    <row r="2938" spans="6:6" x14ac:dyDescent="0.2">
      <c r="F2938" s="264"/>
    </row>
    <row r="2939" spans="6:6" x14ac:dyDescent="0.2">
      <c r="F2939" s="264"/>
    </row>
    <row r="2940" spans="6:6" x14ac:dyDescent="0.2">
      <c r="F2940" s="264"/>
    </row>
    <row r="2941" spans="6:6" x14ac:dyDescent="0.2">
      <c r="F2941" s="264"/>
    </row>
    <row r="2942" spans="6:6" x14ac:dyDescent="0.2">
      <c r="F2942" s="264"/>
    </row>
    <row r="2943" spans="6:6" x14ac:dyDescent="0.2">
      <c r="F2943" s="264"/>
    </row>
    <row r="2944" spans="6:6" x14ac:dyDescent="0.2">
      <c r="F2944" s="264"/>
    </row>
    <row r="2945" spans="6:6" x14ac:dyDescent="0.2">
      <c r="F2945" s="264"/>
    </row>
    <row r="2946" spans="6:6" x14ac:dyDescent="0.2">
      <c r="F2946" s="264"/>
    </row>
    <row r="2947" spans="6:6" x14ac:dyDescent="0.2">
      <c r="F2947" s="264"/>
    </row>
    <row r="2948" spans="6:6" x14ac:dyDescent="0.2">
      <c r="F2948" s="264"/>
    </row>
    <row r="2949" spans="6:6" x14ac:dyDescent="0.2">
      <c r="F2949" s="264"/>
    </row>
    <row r="2950" spans="6:6" x14ac:dyDescent="0.2">
      <c r="F2950" s="264"/>
    </row>
    <row r="2951" spans="6:6" x14ac:dyDescent="0.2">
      <c r="F2951" s="264"/>
    </row>
    <row r="2952" spans="6:6" x14ac:dyDescent="0.2">
      <c r="F2952" s="264"/>
    </row>
    <row r="2953" spans="6:6" x14ac:dyDescent="0.2">
      <c r="F2953" s="264"/>
    </row>
    <row r="2954" spans="6:6" x14ac:dyDescent="0.2">
      <c r="F2954" s="264"/>
    </row>
    <row r="2955" spans="6:6" x14ac:dyDescent="0.2">
      <c r="F2955" s="264"/>
    </row>
    <row r="2956" spans="6:6" x14ac:dyDescent="0.2">
      <c r="F2956" s="264"/>
    </row>
    <row r="2957" spans="6:6" x14ac:dyDescent="0.2">
      <c r="F2957" s="264"/>
    </row>
    <row r="2958" spans="6:6" x14ac:dyDescent="0.2">
      <c r="F2958" s="264"/>
    </row>
    <row r="2959" spans="6:6" x14ac:dyDescent="0.2">
      <c r="F2959" s="264"/>
    </row>
    <row r="2960" spans="6:6" x14ac:dyDescent="0.2">
      <c r="F2960" s="264"/>
    </row>
    <row r="2961" spans="6:6" x14ac:dyDescent="0.2">
      <c r="F2961" s="264"/>
    </row>
    <row r="2962" spans="6:6" x14ac:dyDescent="0.2">
      <c r="F2962" s="264"/>
    </row>
    <row r="2963" spans="6:6" x14ac:dyDescent="0.2">
      <c r="F2963" s="264"/>
    </row>
    <row r="2964" spans="6:6" x14ac:dyDescent="0.2">
      <c r="F2964" s="264"/>
    </row>
    <row r="2965" spans="6:6" x14ac:dyDescent="0.2">
      <c r="F2965" s="264"/>
    </row>
    <row r="2966" spans="6:6" x14ac:dyDescent="0.2">
      <c r="F2966" s="264"/>
    </row>
    <row r="2967" spans="6:6" x14ac:dyDescent="0.2">
      <c r="F2967" s="264"/>
    </row>
    <row r="2968" spans="6:6" x14ac:dyDescent="0.2">
      <c r="F2968" s="264"/>
    </row>
    <row r="2969" spans="6:6" x14ac:dyDescent="0.2">
      <c r="F2969" s="264"/>
    </row>
    <row r="2970" spans="6:6" x14ac:dyDescent="0.2">
      <c r="F2970" s="264"/>
    </row>
    <row r="2971" spans="6:6" x14ac:dyDescent="0.2">
      <c r="F2971" s="264"/>
    </row>
    <row r="2972" spans="6:6" x14ac:dyDescent="0.2">
      <c r="F2972" s="264"/>
    </row>
    <row r="2973" spans="6:6" x14ac:dyDescent="0.2">
      <c r="F2973" s="264"/>
    </row>
    <row r="2974" spans="6:6" x14ac:dyDescent="0.2">
      <c r="F2974" s="264"/>
    </row>
    <row r="2975" spans="6:6" x14ac:dyDescent="0.2">
      <c r="F2975" s="264"/>
    </row>
    <row r="2976" spans="6:6" x14ac:dyDescent="0.2">
      <c r="F2976" s="264"/>
    </row>
    <row r="2977" spans="6:6" x14ac:dyDescent="0.2">
      <c r="F2977" s="264"/>
    </row>
    <row r="2978" spans="6:6" x14ac:dyDescent="0.2">
      <c r="F2978" s="264"/>
    </row>
    <row r="2979" spans="6:6" x14ac:dyDescent="0.2">
      <c r="F2979" s="264"/>
    </row>
    <row r="2980" spans="6:6" x14ac:dyDescent="0.2">
      <c r="F2980" s="264"/>
    </row>
    <row r="2981" spans="6:6" x14ac:dyDescent="0.2">
      <c r="F2981" s="264"/>
    </row>
    <row r="2982" spans="6:6" x14ac:dyDescent="0.2">
      <c r="F2982" s="264"/>
    </row>
    <row r="2983" spans="6:6" x14ac:dyDescent="0.2">
      <c r="F2983" s="264"/>
    </row>
    <row r="2984" spans="6:6" x14ac:dyDescent="0.2">
      <c r="F2984" s="264"/>
    </row>
    <row r="2985" spans="6:6" x14ac:dyDescent="0.2">
      <c r="F2985" s="264"/>
    </row>
    <row r="2986" spans="6:6" x14ac:dyDescent="0.2">
      <c r="F2986" s="264"/>
    </row>
    <row r="2987" spans="6:6" x14ac:dyDescent="0.2">
      <c r="F2987" s="264"/>
    </row>
    <row r="2988" spans="6:6" x14ac:dyDescent="0.2">
      <c r="F2988" s="264"/>
    </row>
    <row r="2989" spans="6:6" x14ac:dyDescent="0.2">
      <c r="F2989" s="264"/>
    </row>
    <row r="2990" spans="6:6" x14ac:dyDescent="0.2">
      <c r="F2990" s="264"/>
    </row>
    <row r="2991" spans="6:6" x14ac:dyDescent="0.2">
      <c r="F2991" s="264"/>
    </row>
    <row r="2992" spans="6:6" x14ac:dyDescent="0.2">
      <c r="F2992" s="264"/>
    </row>
    <row r="2993" spans="6:6" x14ac:dyDescent="0.2">
      <c r="F2993" s="264"/>
    </row>
    <row r="2994" spans="6:6" x14ac:dyDescent="0.2">
      <c r="F2994" s="264"/>
    </row>
    <row r="2995" spans="6:6" x14ac:dyDescent="0.2">
      <c r="F2995" s="264"/>
    </row>
    <row r="2996" spans="6:6" x14ac:dyDescent="0.2">
      <c r="F2996" s="264"/>
    </row>
    <row r="2997" spans="6:6" x14ac:dyDescent="0.2">
      <c r="F2997" s="264"/>
    </row>
    <row r="2998" spans="6:6" x14ac:dyDescent="0.2">
      <c r="F2998" s="264"/>
    </row>
    <row r="2999" spans="6:6" x14ac:dyDescent="0.2">
      <c r="F2999" s="264"/>
    </row>
    <row r="3000" spans="6:6" x14ac:dyDescent="0.2">
      <c r="F3000" s="264"/>
    </row>
    <row r="3001" spans="6:6" x14ac:dyDescent="0.2">
      <c r="F3001" s="264"/>
    </row>
    <row r="3002" spans="6:6" x14ac:dyDescent="0.2">
      <c r="F3002" s="264"/>
    </row>
    <row r="3003" spans="6:6" x14ac:dyDescent="0.2">
      <c r="F3003" s="264"/>
    </row>
    <row r="3004" spans="6:6" x14ac:dyDescent="0.2">
      <c r="F3004" s="264"/>
    </row>
    <row r="3005" spans="6:6" x14ac:dyDescent="0.2">
      <c r="F3005" s="264"/>
    </row>
    <row r="3006" spans="6:6" x14ac:dyDescent="0.2">
      <c r="F3006" s="264"/>
    </row>
    <row r="3007" spans="6:6" x14ac:dyDescent="0.2">
      <c r="F3007" s="264"/>
    </row>
    <row r="3008" spans="6:6" x14ac:dyDescent="0.2">
      <c r="F3008" s="264"/>
    </row>
    <row r="3009" spans="6:6" x14ac:dyDescent="0.2">
      <c r="F3009" s="264"/>
    </row>
    <row r="3010" spans="6:6" x14ac:dyDescent="0.2">
      <c r="F3010" s="264"/>
    </row>
    <row r="3011" spans="6:6" x14ac:dyDescent="0.2">
      <c r="F3011" s="264"/>
    </row>
    <row r="3012" spans="6:6" x14ac:dyDescent="0.2">
      <c r="F3012" s="264"/>
    </row>
    <row r="3013" spans="6:6" x14ac:dyDescent="0.2">
      <c r="F3013" s="264"/>
    </row>
    <row r="3014" spans="6:6" x14ac:dyDescent="0.2">
      <c r="F3014" s="264"/>
    </row>
    <row r="3015" spans="6:6" x14ac:dyDescent="0.2">
      <c r="F3015" s="264"/>
    </row>
    <row r="3016" spans="6:6" x14ac:dyDescent="0.2">
      <c r="F3016" s="264"/>
    </row>
    <row r="3017" spans="6:6" x14ac:dyDescent="0.2">
      <c r="F3017" s="264"/>
    </row>
    <row r="3018" spans="6:6" x14ac:dyDescent="0.2">
      <c r="F3018" s="264"/>
    </row>
    <row r="3019" spans="6:6" x14ac:dyDescent="0.2">
      <c r="F3019" s="264"/>
    </row>
    <row r="3020" spans="6:6" x14ac:dyDescent="0.2">
      <c r="F3020" s="264"/>
    </row>
    <row r="3021" spans="6:6" x14ac:dyDescent="0.2">
      <c r="F3021" s="264"/>
    </row>
    <row r="3022" spans="6:6" x14ac:dyDescent="0.2">
      <c r="F3022" s="264"/>
    </row>
    <row r="3023" spans="6:6" x14ac:dyDescent="0.2">
      <c r="F3023" s="264"/>
    </row>
    <row r="3024" spans="6:6" x14ac:dyDescent="0.2">
      <c r="F3024" s="264"/>
    </row>
    <row r="3025" spans="6:6" x14ac:dyDescent="0.2">
      <c r="F3025" s="264"/>
    </row>
    <row r="3026" spans="6:6" x14ac:dyDescent="0.2">
      <c r="F3026" s="264"/>
    </row>
    <row r="3027" spans="6:6" x14ac:dyDescent="0.2">
      <c r="F3027" s="264"/>
    </row>
    <row r="3028" spans="6:6" x14ac:dyDescent="0.2">
      <c r="F3028" s="264"/>
    </row>
    <row r="3029" spans="6:6" x14ac:dyDescent="0.2">
      <c r="F3029" s="264"/>
    </row>
    <row r="3030" spans="6:6" x14ac:dyDescent="0.2">
      <c r="F3030" s="264"/>
    </row>
    <row r="3031" spans="6:6" x14ac:dyDescent="0.2">
      <c r="F3031" s="264"/>
    </row>
    <row r="3032" spans="6:6" x14ac:dyDescent="0.2">
      <c r="F3032" s="264"/>
    </row>
    <row r="3033" spans="6:6" x14ac:dyDescent="0.2">
      <c r="F3033" s="264"/>
    </row>
    <row r="3034" spans="6:6" x14ac:dyDescent="0.2">
      <c r="F3034" s="264"/>
    </row>
    <row r="3035" spans="6:6" x14ac:dyDescent="0.2">
      <c r="F3035" s="264"/>
    </row>
    <row r="3036" spans="6:6" x14ac:dyDescent="0.2">
      <c r="F3036" s="264"/>
    </row>
    <row r="3037" spans="6:6" x14ac:dyDescent="0.2">
      <c r="F3037" s="264"/>
    </row>
    <row r="3038" spans="6:6" x14ac:dyDescent="0.2">
      <c r="F3038" s="264"/>
    </row>
    <row r="3039" spans="6:6" x14ac:dyDescent="0.2">
      <c r="F3039" s="264"/>
    </row>
    <row r="3040" spans="6:6" x14ac:dyDescent="0.2">
      <c r="F3040" s="264"/>
    </row>
    <row r="3041" spans="6:6" x14ac:dyDescent="0.2">
      <c r="F3041" s="264"/>
    </row>
    <row r="3042" spans="6:6" x14ac:dyDescent="0.2">
      <c r="F3042" s="264"/>
    </row>
    <row r="3043" spans="6:6" x14ac:dyDescent="0.2">
      <c r="F3043" s="264"/>
    </row>
    <row r="3044" spans="6:6" x14ac:dyDescent="0.2">
      <c r="F3044" s="264"/>
    </row>
    <row r="3045" spans="6:6" x14ac:dyDescent="0.2">
      <c r="F3045" s="264"/>
    </row>
    <row r="3046" spans="6:6" x14ac:dyDescent="0.2">
      <c r="F3046" s="264"/>
    </row>
    <row r="3047" spans="6:6" x14ac:dyDescent="0.2">
      <c r="F3047" s="264"/>
    </row>
    <row r="3048" spans="6:6" x14ac:dyDescent="0.2">
      <c r="F3048" s="264"/>
    </row>
    <row r="3049" spans="6:6" x14ac:dyDescent="0.2">
      <c r="F3049" s="264"/>
    </row>
    <row r="3050" spans="6:6" x14ac:dyDescent="0.2">
      <c r="F3050" s="264"/>
    </row>
    <row r="3051" spans="6:6" x14ac:dyDescent="0.2">
      <c r="F3051" s="264"/>
    </row>
    <row r="3052" spans="6:6" x14ac:dyDescent="0.2">
      <c r="F3052" s="264"/>
    </row>
    <row r="3053" spans="6:6" x14ac:dyDescent="0.2">
      <c r="F3053" s="264"/>
    </row>
    <row r="3054" spans="6:6" x14ac:dyDescent="0.2">
      <c r="F3054" s="264"/>
    </row>
    <row r="3055" spans="6:6" x14ac:dyDescent="0.2">
      <c r="F3055" s="264"/>
    </row>
    <row r="3056" spans="6:6" x14ac:dyDescent="0.2">
      <c r="F3056" s="264"/>
    </row>
    <row r="3057" spans="6:6" x14ac:dyDescent="0.2">
      <c r="F3057" s="264"/>
    </row>
    <row r="3058" spans="6:6" x14ac:dyDescent="0.2">
      <c r="F3058" s="264"/>
    </row>
    <row r="3059" spans="6:6" x14ac:dyDescent="0.2">
      <c r="F3059" s="264"/>
    </row>
    <row r="3060" spans="6:6" x14ac:dyDescent="0.2">
      <c r="F3060" s="264"/>
    </row>
    <row r="3061" spans="6:6" x14ac:dyDescent="0.2">
      <c r="F3061" s="264"/>
    </row>
    <row r="3062" spans="6:6" x14ac:dyDescent="0.2">
      <c r="F3062" s="264"/>
    </row>
    <row r="3063" spans="6:6" x14ac:dyDescent="0.2">
      <c r="F3063" s="264"/>
    </row>
    <row r="3064" spans="6:6" x14ac:dyDescent="0.2">
      <c r="F3064" s="264"/>
    </row>
    <row r="3065" spans="6:6" x14ac:dyDescent="0.2">
      <c r="F3065" s="264"/>
    </row>
    <row r="3066" spans="6:6" x14ac:dyDescent="0.2">
      <c r="F3066" s="264"/>
    </row>
    <row r="3067" spans="6:6" x14ac:dyDescent="0.2">
      <c r="F3067" s="264"/>
    </row>
    <row r="3068" spans="6:6" x14ac:dyDescent="0.2">
      <c r="F3068" s="264"/>
    </row>
    <row r="3069" spans="6:6" x14ac:dyDescent="0.2">
      <c r="F3069" s="264"/>
    </row>
    <row r="3070" spans="6:6" x14ac:dyDescent="0.2">
      <c r="F3070" s="264"/>
    </row>
    <row r="3071" spans="6:6" x14ac:dyDescent="0.2">
      <c r="F3071" s="264"/>
    </row>
    <row r="3072" spans="6:6" x14ac:dyDescent="0.2">
      <c r="F3072" s="264"/>
    </row>
    <row r="3073" spans="6:6" x14ac:dyDescent="0.2">
      <c r="F3073" s="264"/>
    </row>
    <row r="3074" spans="6:6" x14ac:dyDescent="0.2">
      <c r="F3074" s="264"/>
    </row>
    <row r="3075" spans="6:6" x14ac:dyDescent="0.2">
      <c r="F3075" s="264"/>
    </row>
    <row r="3076" spans="6:6" x14ac:dyDescent="0.2">
      <c r="F3076" s="264"/>
    </row>
    <row r="3077" spans="6:6" x14ac:dyDescent="0.2">
      <c r="F3077" s="264"/>
    </row>
    <row r="3078" spans="6:6" x14ac:dyDescent="0.2">
      <c r="F3078" s="264"/>
    </row>
    <row r="3079" spans="6:6" x14ac:dyDescent="0.2">
      <c r="F3079" s="264"/>
    </row>
    <row r="3080" spans="6:6" x14ac:dyDescent="0.2">
      <c r="F3080" s="264"/>
    </row>
    <row r="3081" spans="6:6" x14ac:dyDescent="0.2">
      <c r="F3081" s="264"/>
    </row>
    <row r="3082" spans="6:6" x14ac:dyDescent="0.2">
      <c r="F3082" s="264"/>
    </row>
    <row r="3083" spans="6:6" x14ac:dyDescent="0.2">
      <c r="F3083" s="264"/>
    </row>
    <row r="3084" spans="6:6" x14ac:dyDescent="0.2">
      <c r="F3084" s="264"/>
    </row>
    <row r="3085" spans="6:6" x14ac:dyDescent="0.2">
      <c r="F3085" s="264"/>
    </row>
    <row r="3086" spans="6:6" x14ac:dyDescent="0.2">
      <c r="F3086" s="264"/>
    </row>
    <row r="3087" spans="6:6" x14ac:dyDescent="0.2">
      <c r="F3087" s="264"/>
    </row>
    <row r="3088" spans="6:6" x14ac:dyDescent="0.2">
      <c r="F3088" s="264"/>
    </row>
    <row r="3089" spans="6:6" x14ac:dyDescent="0.2">
      <c r="F3089" s="264"/>
    </row>
    <row r="3090" spans="6:6" x14ac:dyDescent="0.2">
      <c r="F3090" s="264"/>
    </row>
    <row r="3091" spans="6:6" x14ac:dyDescent="0.2">
      <c r="F3091" s="264"/>
    </row>
    <row r="3092" spans="6:6" x14ac:dyDescent="0.2">
      <c r="F3092" s="264"/>
    </row>
    <row r="3093" spans="6:6" x14ac:dyDescent="0.2">
      <c r="F3093" s="264"/>
    </row>
    <row r="3094" spans="6:6" x14ac:dyDescent="0.2">
      <c r="F3094" s="264"/>
    </row>
    <row r="3095" spans="6:6" x14ac:dyDescent="0.2">
      <c r="F3095" s="264"/>
    </row>
    <row r="3096" spans="6:6" x14ac:dyDescent="0.2">
      <c r="F3096" s="264"/>
    </row>
    <row r="3097" spans="6:6" x14ac:dyDescent="0.2">
      <c r="F3097" s="264"/>
    </row>
    <row r="3098" spans="6:6" x14ac:dyDescent="0.2">
      <c r="F3098" s="264"/>
    </row>
    <row r="3099" spans="6:6" x14ac:dyDescent="0.2">
      <c r="F3099" s="264"/>
    </row>
    <row r="3100" spans="6:6" x14ac:dyDescent="0.2">
      <c r="F3100" s="264"/>
    </row>
    <row r="3101" spans="6:6" x14ac:dyDescent="0.2">
      <c r="F3101" s="264"/>
    </row>
    <row r="3102" spans="6:6" x14ac:dyDescent="0.2">
      <c r="F3102" s="264"/>
    </row>
    <row r="3103" spans="6:6" x14ac:dyDescent="0.2">
      <c r="F3103" s="264"/>
    </row>
    <row r="3104" spans="6:6" x14ac:dyDescent="0.2">
      <c r="F3104" s="264"/>
    </row>
    <row r="3105" spans="6:6" x14ac:dyDescent="0.2">
      <c r="F3105" s="264"/>
    </row>
    <row r="3106" spans="6:6" x14ac:dyDescent="0.2">
      <c r="F3106" s="264"/>
    </row>
    <row r="3107" spans="6:6" x14ac:dyDescent="0.2">
      <c r="F3107" s="264"/>
    </row>
    <row r="3108" spans="6:6" x14ac:dyDescent="0.2">
      <c r="F3108" s="264"/>
    </row>
    <row r="3109" spans="6:6" x14ac:dyDescent="0.2">
      <c r="F3109" s="264"/>
    </row>
    <row r="3110" spans="6:6" x14ac:dyDescent="0.2">
      <c r="F3110" s="264"/>
    </row>
    <row r="3111" spans="6:6" x14ac:dyDescent="0.2">
      <c r="F3111" s="264"/>
    </row>
    <row r="3112" spans="6:6" x14ac:dyDescent="0.2">
      <c r="F3112" s="264"/>
    </row>
    <row r="3113" spans="6:6" x14ac:dyDescent="0.2">
      <c r="F3113" s="264"/>
    </row>
    <row r="3114" spans="6:6" x14ac:dyDescent="0.2">
      <c r="F3114" s="264"/>
    </row>
    <row r="3115" spans="6:6" x14ac:dyDescent="0.2">
      <c r="F3115" s="264"/>
    </row>
    <row r="3116" spans="6:6" x14ac:dyDescent="0.2">
      <c r="F3116" s="264"/>
    </row>
    <row r="3117" spans="6:6" x14ac:dyDescent="0.2">
      <c r="F3117" s="264"/>
    </row>
    <row r="3118" spans="6:6" x14ac:dyDescent="0.2">
      <c r="F3118" s="264"/>
    </row>
    <row r="3119" spans="6:6" x14ac:dyDescent="0.2">
      <c r="F3119" s="264"/>
    </row>
    <row r="3120" spans="6:6" x14ac:dyDescent="0.2">
      <c r="F3120" s="264"/>
    </row>
    <row r="3121" spans="6:6" x14ac:dyDescent="0.2">
      <c r="F3121" s="264"/>
    </row>
    <row r="3122" spans="6:6" x14ac:dyDescent="0.2">
      <c r="F3122" s="264"/>
    </row>
    <row r="3123" spans="6:6" x14ac:dyDescent="0.2">
      <c r="F3123" s="264"/>
    </row>
    <row r="3124" spans="6:6" x14ac:dyDescent="0.2">
      <c r="F3124" s="264"/>
    </row>
    <row r="3125" spans="6:6" x14ac:dyDescent="0.2">
      <c r="F3125" s="264"/>
    </row>
    <row r="3126" spans="6:6" x14ac:dyDescent="0.2">
      <c r="F3126" s="264"/>
    </row>
    <row r="3127" spans="6:6" x14ac:dyDescent="0.2">
      <c r="F3127" s="264"/>
    </row>
    <row r="3128" spans="6:6" x14ac:dyDescent="0.2">
      <c r="F3128" s="264"/>
    </row>
    <row r="3129" spans="6:6" x14ac:dyDescent="0.2">
      <c r="F3129" s="264"/>
    </row>
    <row r="3130" spans="6:6" x14ac:dyDescent="0.2">
      <c r="F3130" s="264"/>
    </row>
    <row r="3131" spans="6:6" x14ac:dyDescent="0.2">
      <c r="F3131" s="264"/>
    </row>
    <row r="3132" spans="6:6" x14ac:dyDescent="0.2">
      <c r="F3132" s="264"/>
    </row>
    <row r="3133" spans="6:6" x14ac:dyDescent="0.2">
      <c r="F3133" s="264"/>
    </row>
    <row r="3134" spans="6:6" x14ac:dyDescent="0.2">
      <c r="F3134" s="264"/>
    </row>
    <row r="3135" spans="6:6" x14ac:dyDescent="0.2">
      <c r="F3135" s="264"/>
    </row>
    <row r="3136" spans="6:6" x14ac:dyDescent="0.2">
      <c r="F3136" s="264"/>
    </row>
    <row r="3137" spans="6:6" x14ac:dyDescent="0.2">
      <c r="F3137" s="264"/>
    </row>
    <row r="3138" spans="6:6" x14ac:dyDescent="0.2">
      <c r="F3138" s="264"/>
    </row>
    <row r="3139" spans="6:6" x14ac:dyDescent="0.2">
      <c r="F3139" s="264"/>
    </row>
    <row r="3140" spans="6:6" x14ac:dyDescent="0.2">
      <c r="F3140" s="264"/>
    </row>
    <row r="3141" spans="6:6" x14ac:dyDescent="0.2">
      <c r="F3141" s="264"/>
    </row>
    <row r="3142" spans="6:6" x14ac:dyDescent="0.2">
      <c r="F3142" s="264"/>
    </row>
    <row r="3143" spans="6:6" x14ac:dyDescent="0.2">
      <c r="F3143" s="264"/>
    </row>
    <row r="3144" spans="6:6" x14ac:dyDescent="0.2">
      <c r="F3144" s="264"/>
    </row>
    <row r="3145" spans="6:6" x14ac:dyDescent="0.2">
      <c r="F3145" s="264"/>
    </row>
    <row r="3146" spans="6:6" x14ac:dyDescent="0.2">
      <c r="F3146" s="264"/>
    </row>
    <row r="3147" spans="6:6" x14ac:dyDescent="0.2">
      <c r="F3147" s="264"/>
    </row>
    <row r="3148" spans="6:6" x14ac:dyDescent="0.2">
      <c r="F3148" s="264"/>
    </row>
    <row r="3149" spans="6:6" x14ac:dyDescent="0.2">
      <c r="F3149" s="264"/>
    </row>
    <row r="3150" spans="6:6" x14ac:dyDescent="0.2">
      <c r="F3150" s="264"/>
    </row>
    <row r="3151" spans="6:6" x14ac:dyDescent="0.2">
      <c r="F3151" s="264"/>
    </row>
    <row r="3152" spans="6:6" x14ac:dyDescent="0.2">
      <c r="F3152" s="264"/>
    </row>
    <row r="3153" spans="6:6" x14ac:dyDescent="0.2">
      <c r="F3153" s="264"/>
    </row>
    <row r="3154" spans="6:6" x14ac:dyDescent="0.2">
      <c r="F3154" s="264"/>
    </row>
    <row r="3155" spans="6:6" x14ac:dyDescent="0.2">
      <c r="F3155" s="264"/>
    </row>
    <row r="3156" spans="6:6" x14ac:dyDescent="0.2">
      <c r="F3156" s="264"/>
    </row>
    <row r="3157" spans="6:6" x14ac:dyDescent="0.2">
      <c r="F3157" s="264"/>
    </row>
    <row r="3158" spans="6:6" x14ac:dyDescent="0.2">
      <c r="F3158" s="264"/>
    </row>
    <row r="3159" spans="6:6" x14ac:dyDescent="0.2">
      <c r="F3159" s="264"/>
    </row>
    <row r="3160" spans="6:6" x14ac:dyDescent="0.2">
      <c r="F3160" s="264"/>
    </row>
    <row r="3161" spans="6:6" x14ac:dyDescent="0.2">
      <c r="F3161" s="264"/>
    </row>
    <row r="3162" spans="6:6" x14ac:dyDescent="0.2">
      <c r="F3162" s="264"/>
    </row>
    <row r="3163" spans="6:6" x14ac:dyDescent="0.2">
      <c r="F3163" s="264"/>
    </row>
    <row r="3164" spans="6:6" x14ac:dyDescent="0.2">
      <c r="F3164" s="264"/>
    </row>
    <row r="3165" spans="6:6" x14ac:dyDescent="0.2">
      <c r="F3165" s="264"/>
    </row>
    <row r="3166" spans="6:6" x14ac:dyDescent="0.2">
      <c r="F3166" s="264"/>
    </row>
    <row r="3167" spans="6:6" x14ac:dyDescent="0.2">
      <c r="F3167" s="264"/>
    </row>
    <row r="3168" spans="6:6" x14ac:dyDescent="0.2">
      <c r="F3168" s="264"/>
    </row>
    <row r="3169" spans="6:6" x14ac:dyDescent="0.2">
      <c r="F3169" s="264"/>
    </row>
    <row r="3170" spans="6:6" x14ac:dyDescent="0.2">
      <c r="F3170" s="264"/>
    </row>
    <row r="3171" spans="6:6" x14ac:dyDescent="0.2">
      <c r="F3171" s="264"/>
    </row>
    <row r="3172" spans="6:6" x14ac:dyDescent="0.2">
      <c r="F3172" s="264"/>
    </row>
    <row r="3173" spans="6:6" x14ac:dyDescent="0.2">
      <c r="F3173" s="264"/>
    </row>
    <row r="3174" spans="6:6" x14ac:dyDescent="0.2">
      <c r="F3174" s="264"/>
    </row>
    <row r="3175" spans="6:6" x14ac:dyDescent="0.2">
      <c r="F3175" s="264"/>
    </row>
    <row r="3176" spans="6:6" x14ac:dyDescent="0.2">
      <c r="F3176" s="264"/>
    </row>
    <row r="3177" spans="6:6" x14ac:dyDescent="0.2">
      <c r="F3177" s="264"/>
    </row>
    <row r="3178" spans="6:6" x14ac:dyDescent="0.2">
      <c r="F3178" s="264"/>
    </row>
    <row r="3179" spans="6:6" x14ac:dyDescent="0.2">
      <c r="F3179" s="264"/>
    </row>
    <row r="3180" spans="6:6" x14ac:dyDescent="0.2">
      <c r="F3180" s="264"/>
    </row>
    <row r="3181" spans="6:6" x14ac:dyDescent="0.2">
      <c r="F3181" s="264"/>
    </row>
    <row r="3182" spans="6:6" x14ac:dyDescent="0.2">
      <c r="F3182" s="264"/>
    </row>
    <row r="3183" spans="6:6" x14ac:dyDescent="0.2">
      <c r="F3183" s="264"/>
    </row>
    <row r="3184" spans="6:6" x14ac:dyDescent="0.2">
      <c r="F3184" s="264"/>
    </row>
    <row r="3185" spans="6:6" x14ac:dyDescent="0.2">
      <c r="F3185" s="264"/>
    </row>
    <row r="3186" spans="6:6" x14ac:dyDescent="0.2">
      <c r="F3186" s="264"/>
    </row>
    <row r="3187" spans="6:6" x14ac:dyDescent="0.2">
      <c r="F3187" s="264"/>
    </row>
    <row r="3188" spans="6:6" x14ac:dyDescent="0.2">
      <c r="F3188" s="264"/>
    </row>
    <row r="3189" spans="6:6" x14ac:dyDescent="0.2">
      <c r="F3189" s="264"/>
    </row>
    <row r="3190" spans="6:6" x14ac:dyDescent="0.2">
      <c r="F3190" s="264"/>
    </row>
    <row r="3191" spans="6:6" x14ac:dyDescent="0.2">
      <c r="F3191" s="264"/>
    </row>
    <row r="3192" spans="6:6" x14ac:dyDescent="0.2">
      <c r="F3192" s="264"/>
    </row>
    <row r="3193" spans="6:6" x14ac:dyDescent="0.2">
      <c r="F3193" s="264"/>
    </row>
    <row r="3194" spans="6:6" x14ac:dyDescent="0.2">
      <c r="F3194" s="264"/>
    </row>
    <row r="3195" spans="6:6" x14ac:dyDescent="0.2">
      <c r="F3195" s="264"/>
    </row>
    <row r="3196" spans="6:6" x14ac:dyDescent="0.2">
      <c r="F3196" s="264"/>
    </row>
    <row r="3197" spans="6:6" x14ac:dyDescent="0.2">
      <c r="F3197" s="264"/>
    </row>
    <row r="3198" spans="6:6" x14ac:dyDescent="0.2">
      <c r="F3198" s="264"/>
    </row>
    <row r="3199" spans="6:6" x14ac:dyDescent="0.2">
      <c r="F3199" s="264"/>
    </row>
    <row r="3200" spans="6:6" x14ac:dyDescent="0.2">
      <c r="F3200" s="264"/>
    </row>
    <row r="3201" spans="6:6" x14ac:dyDescent="0.2">
      <c r="F3201" s="264"/>
    </row>
    <row r="3202" spans="6:6" x14ac:dyDescent="0.2">
      <c r="F3202" s="264"/>
    </row>
    <row r="3203" spans="6:6" x14ac:dyDescent="0.2">
      <c r="F3203" s="264"/>
    </row>
    <row r="3204" spans="6:6" x14ac:dyDescent="0.2">
      <c r="F3204" s="264"/>
    </row>
    <row r="3205" spans="6:6" x14ac:dyDescent="0.2">
      <c r="F3205" s="264"/>
    </row>
    <row r="3206" spans="6:6" x14ac:dyDescent="0.2">
      <c r="F3206" s="264"/>
    </row>
    <row r="3207" spans="6:6" x14ac:dyDescent="0.2">
      <c r="F3207" s="264"/>
    </row>
    <row r="3208" spans="6:6" x14ac:dyDescent="0.2">
      <c r="F3208" s="264"/>
    </row>
    <row r="3209" spans="6:6" x14ac:dyDescent="0.2">
      <c r="F3209" s="264"/>
    </row>
    <row r="3210" spans="6:6" x14ac:dyDescent="0.2">
      <c r="F3210" s="264"/>
    </row>
    <row r="3211" spans="6:6" x14ac:dyDescent="0.2">
      <c r="F3211" s="264"/>
    </row>
    <row r="3212" spans="6:6" x14ac:dyDescent="0.2">
      <c r="F3212" s="264"/>
    </row>
    <row r="3213" spans="6:6" x14ac:dyDescent="0.2">
      <c r="F3213" s="264"/>
    </row>
    <row r="3214" spans="6:6" x14ac:dyDescent="0.2">
      <c r="F3214" s="264"/>
    </row>
    <row r="3215" spans="6:6" x14ac:dyDescent="0.2">
      <c r="F3215" s="264"/>
    </row>
    <row r="3216" spans="6:6" x14ac:dyDescent="0.2">
      <c r="F3216" s="264"/>
    </row>
    <row r="3217" spans="6:6" x14ac:dyDescent="0.2">
      <c r="F3217" s="264"/>
    </row>
    <row r="3218" spans="6:6" x14ac:dyDescent="0.2">
      <c r="F3218" s="264"/>
    </row>
    <row r="3219" spans="6:6" x14ac:dyDescent="0.2">
      <c r="F3219" s="264"/>
    </row>
    <row r="3220" spans="6:6" x14ac:dyDescent="0.2">
      <c r="F3220" s="264"/>
    </row>
    <row r="3221" spans="6:6" x14ac:dyDescent="0.2">
      <c r="F3221" s="264"/>
    </row>
    <row r="3222" spans="6:6" x14ac:dyDescent="0.2">
      <c r="F3222" s="264"/>
    </row>
    <row r="3223" spans="6:6" x14ac:dyDescent="0.2">
      <c r="F3223" s="264"/>
    </row>
    <row r="3224" spans="6:6" x14ac:dyDescent="0.2">
      <c r="F3224" s="264"/>
    </row>
    <row r="3225" spans="6:6" x14ac:dyDescent="0.2">
      <c r="F3225" s="264"/>
    </row>
    <row r="3226" spans="6:6" x14ac:dyDescent="0.2">
      <c r="F3226" s="264"/>
    </row>
    <row r="3227" spans="6:6" x14ac:dyDescent="0.2">
      <c r="F3227" s="264"/>
    </row>
    <row r="3228" spans="6:6" x14ac:dyDescent="0.2">
      <c r="F3228" s="264"/>
    </row>
    <row r="3229" spans="6:6" x14ac:dyDescent="0.2">
      <c r="F3229" s="264"/>
    </row>
    <row r="3230" spans="6:6" x14ac:dyDescent="0.2">
      <c r="F3230" s="264"/>
    </row>
    <row r="3231" spans="6:6" x14ac:dyDescent="0.2">
      <c r="F3231" s="264"/>
    </row>
    <row r="3232" spans="6:6" x14ac:dyDescent="0.2">
      <c r="F3232" s="264"/>
    </row>
    <row r="3233" spans="6:6" x14ac:dyDescent="0.2">
      <c r="F3233" s="264"/>
    </row>
    <row r="3234" spans="6:6" x14ac:dyDescent="0.2">
      <c r="F3234" s="264"/>
    </row>
    <row r="3235" spans="6:6" x14ac:dyDescent="0.2">
      <c r="F3235" s="264"/>
    </row>
    <row r="3236" spans="6:6" x14ac:dyDescent="0.2">
      <c r="F3236" s="264"/>
    </row>
    <row r="3237" spans="6:6" x14ac:dyDescent="0.2">
      <c r="F3237" s="264"/>
    </row>
    <row r="3238" spans="6:6" x14ac:dyDescent="0.2">
      <c r="F3238" s="264"/>
    </row>
    <row r="3239" spans="6:6" x14ac:dyDescent="0.2">
      <c r="F3239" s="264"/>
    </row>
    <row r="3240" spans="6:6" x14ac:dyDescent="0.2">
      <c r="F3240" s="264"/>
    </row>
    <row r="3241" spans="6:6" x14ac:dyDescent="0.2">
      <c r="F3241" s="264"/>
    </row>
    <row r="3242" spans="6:6" x14ac:dyDescent="0.2">
      <c r="F3242" s="264"/>
    </row>
    <row r="3243" spans="6:6" x14ac:dyDescent="0.2">
      <c r="F3243" s="264"/>
    </row>
    <row r="3244" spans="6:6" x14ac:dyDescent="0.2">
      <c r="F3244" s="264"/>
    </row>
    <row r="3245" spans="6:6" x14ac:dyDescent="0.2">
      <c r="F3245" s="264"/>
    </row>
    <row r="3246" spans="6:6" x14ac:dyDescent="0.2">
      <c r="F3246" s="264"/>
    </row>
    <row r="3247" spans="6:6" x14ac:dyDescent="0.2">
      <c r="F3247" s="264"/>
    </row>
    <row r="3248" spans="6:6" x14ac:dyDescent="0.2">
      <c r="F3248" s="264"/>
    </row>
    <row r="3249" spans="6:6" x14ac:dyDescent="0.2">
      <c r="F3249" s="264"/>
    </row>
    <row r="3250" spans="6:6" x14ac:dyDescent="0.2">
      <c r="F3250" s="264"/>
    </row>
    <row r="3251" spans="6:6" x14ac:dyDescent="0.2">
      <c r="F3251" s="264"/>
    </row>
    <row r="3252" spans="6:6" x14ac:dyDescent="0.2">
      <c r="F3252" s="264"/>
    </row>
    <row r="3253" spans="6:6" x14ac:dyDescent="0.2">
      <c r="F3253" s="264"/>
    </row>
    <row r="3254" spans="6:6" x14ac:dyDescent="0.2">
      <c r="F3254" s="264"/>
    </row>
    <row r="3255" spans="6:6" x14ac:dyDescent="0.2">
      <c r="F3255" s="264"/>
    </row>
    <row r="3256" spans="6:6" x14ac:dyDescent="0.2">
      <c r="F3256" s="264"/>
    </row>
    <row r="3257" spans="6:6" x14ac:dyDescent="0.2">
      <c r="F3257" s="264"/>
    </row>
    <row r="3258" spans="6:6" x14ac:dyDescent="0.2">
      <c r="F3258" s="264"/>
    </row>
    <row r="3259" spans="6:6" x14ac:dyDescent="0.2">
      <c r="F3259" s="264"/>
    </row>
    <row r="3260" spans="6:6" x14ac:dyDescent="0.2">
      <c r="F3260" s="264"/>
    </row>
    <row r="3261" spans="6:6" x14ac:dyDescent="0.2">
      <c r="F3261" s="264"/>
    </row>
    <row r="3262" spans="6:6" x14ac:dyDescent="0.2">
      <c r="F3262" s="264"/>
    </row>
    <row r="3263" spans="6:6" x14ac:dyDescent="0.2">
      <c r="F3263" s="264"/>
    </row>
    <row r="3264" spans="6:6" x14ac:dyDescent="0.2">
      <c r="F3264" s="264"/>
    </row>
    <row r="3265" spans="6:6" x14ac:dyDescent="0.2">
      <c r="F3265" s="264"/>
    </row>
    <row r="3266" spans="6:6" x14ac:dyDescent="0.2">
      <c r="F3266" s="264"/>
    </row>
    <row r="3267" spans="6:6" x14ac:dyDescent="0.2">
      <c r="F3267" s="264"/>
    </row>
    <row r="3268" spans="6:6" x14ac:dyDescent="0.2">
      <c r="F3268" s="264"/>
    </row>
    <row r="3269" spans="6:6" x14ac:dyDescent="0.2">
      <c r="F3269" s="264"/>
    </row>
    <row r="3270" spans="6:6" x14ac:dyDescent="0.2">
      <c r="F3270" s="264"/>
    </row>
    <row r="3271" spans="6:6" x14ac:dyDescent="0.2">
      <c r="F3271" s="264"/>
    </row>
    <row r="3272" spans="6:6" x14ac:dyDescent="0.2">
      <c r="F3272" s="264"/>
    </row>
    <row r="3273" spans="6:6" x14ac:dyDescent="0.2">
      <c r="F3273" s="264"/>
    </row>
    <row r="3274" spans="6:6" x14ac:dyDescent="0.2">
      <c r="F3274" s="264"/>
    </row>
    <row r="3275" spans="6:6" x14ac:dyDescent="0.2">
      <c r="F3275" s="264"/>
    </row>
    <row r="3276" spans="6:6" x14ac:dyDescent="0.2">
      <c r="F3276" s="264"/>
    </row>
    <row r="3277" spans="6:6" x14ac:dyDescent="0.2">
      <c r="F3277" s="264"/>
    </row>
    <row r="3278" spans="6:6" x14ac:dyDescent="0.2">
      <c r="F3278" s="264"/>
    </row>
    <row r="3279" spans="6:6" x14ac:dyDescent="0.2">
      <c r="F3279" s="264"/>
    </row>
    <row r="3280" spans="6:6" x14ac:dyDescent="0.2">
      <c r="F3280" s="264"/>
    </row>
    <row r="3281" spans="6:6" x14ac:dyDescent="0.2">
      <c r="F3281" s="264"/>
    </row>
    <row r="3282" spans="6:6" x14ac:dyDescent="0.2">
      <c r="F3282" s="264"/>
    </row>
    <row r="3283" spans="6:6" x14ac:dyDescent="0.2">
      <c r="F3283" s="264"/>
    </row>
    <row r="3284" spans="6:6" x14ac:dyDescent="0.2">
      <c r="F3284" s="264"/>
    </row>
    <row r="3285" spans="6:6" x14ac:dyDescent="0.2">
      <c r="F3285" s="264"/>
    </row>
    <row r="3286" spans="6:6" x14ac:dyDescent="0.2">
      <c r="F3286" s="264"/>
    </row>
    <row r="3287" spans="6:6" x14ac:dyDescent="0.2">
      <c r="F3287" s="264"/>
    </row>
    <row r="3288" spans="6:6" x14ac:dyDescent="0.2">
      <c r="F3288" s="264"/>
    </row>
    <row r="3289" spans="6:6" x14ac:dyDescent="0.2">
      <c r="F3289" s="264"/>
    </row>
    <row r="3290" spans="6:6" x14ac:dyDescent="0.2">
      <c r="F3290" s="264"/>
    </row>
    <row r="3291" spans="6:6" x14ac:dyDescent="0.2">
      <c r="F3291" s="264"/>
    </row>
    <row r="3292" spans="6:6" x14ac:dyDescent="0.2">
      <c r="F3292" s="264"/>
    </row>
    <row r="3293" spans="6:6" x14ac:dyDescent="0.2">
      <c r="F3293" s="264"/>
    </row>
    <row r="3294" spans="6:6" x14ac:dyDescent="0.2">
      <c r="F3294" s="264"/>
    </row>
    <row r="3295" spans="6:6" x14ac:dyDescent="0.2">
      <c r="F3295" s="264"/>
    </row>
    <row r="3296" spans="6:6" x14ac:dyDescent="0.2">
      <c r="F3296" s="264"/>
    </row>
    <row r="3297" spans="6:6" x14ac:dyDescent="0.2">
      <c r="F3297" s="264"/>
    </row>
    <row r="3298" spans="6:6" x14ac:dyDescent="0.2">
      <c r="F3298" s="264"/>
    </row>
    <row r="3299" spans="6:6" x14ac:dyDescent="0.2">
      <c r="F3299" s="264"/>
    </row>
    <row r="3300" spans="6:6" x14ac:dyDescent="0.2">
      <c r="F3300" s="264"/>
    </row>
    <row r="3301" spans="6:6" x14ac:dyDescent="0.2">
      <c r="F3301" s="264"/>
    </row>
    <row r="3302" spans="6:6" x14ac:dyDescent="0.2">
      <c r="F3302" s="264"/>
    </row>
    <row r="3303" spans="6:6" x14ac:dyDescent="0.2">
      <c r="F3303" s="264"/>
    </row>
    <row r="3304" spans="6:6" x14ac:dyDescent="0.2">
      <c r="F3304" s="264"/>
    </row>
    <row r="3305" spans="6:6" x14ac:dyDescent="0.2">
      <c r="F3305" s="264"/>
    </row>
    <row r="3306" spans="6:6" x14ac:dyDescent="0.2">
      <c r="F3306" s="264"/>
    </row>
    <row r="3307" spans="6:6" x14ac:dyDescent="0.2">
      <c r="F3307" s="264"/>
    </row>
    <row r="3308" spans="6:6" x14ac:dyDescent="0.2">
      <c r="F3308" s="264"/>
    </row>
    <row r="3309" spans="6:6" x14ac:dyDescent="0.2">
      <c r="F3309" s="264"/>
    </row>
    <row r="3310" spans="6:6" x14ac:dyDescent="0.2">
      <c r="F3310" s="264"/>
    </row>
    <row r="3311" spans="6:6" x14ac:dyDescent="0.2">
      <c r="F3311" s="264"/>
    </row>
    <row r="3312" spans="6:6" x14ac:dyDescent="0.2">
      <c r="F3312" s="264"/>
    </row>
    <row r="3313" spans="6:6" x14ac:dyDescent="0.2">
      <c r="F3313" s="264"/>
    </row>
    <row r="3314" spans="6:6" x14ac:dyDescent="0.2">
      <c r="F3314" s="264"/>
    </row>
    <row r="3315" spans="6:6" x14ac:dyDescent="0.2">
      <c r="F3315" s="264"/>
    </row>
    <row r="3316" spans="6:6" x14ac:dyDescent="0.2">
      <c r="F3316" s="264"/>
    </row>
    <row r="3317" spans="6:6" x14ac:dyDescent="0.2">
      <c r="F3317" s="264"/>
    </row>
    <row r="3318" spans="6:6" x14ac:dyDescent="0.2">
      <c r="F3318" s="264"/>
    </row>
    <row r="3319" spans="6:6" x14ac:dyDescent="0.2">
      <c r="F3319" s="264"/>
    </row>
    <row r="3320" spans="6:6" x14ac:dyDescent="0.2">
      <c r="F3320" s="264"/>
    </row>
    <row r="3321" spans="6:6" x14ac:dyDescent="0.2">
      <c r="F3321" s="264"/>
    </row>
    <row r="3322" spans="6:6" x14ac:dyDescent="0.2">
      <c r="F3322" s="264"/>
    </row>
    <row r="3323" spans="6:6" x14ac:dyDescent="0.2">
      <c r="F3323" s="264"/>
    </row>
    <row r="3324" spans="6:6" x14ac:dyDescent="0.2">
      <c r="F3324" s="264"/>
    </row>
    <row r="3325" spans="6:6" x14ac:dyDescent="0.2">
      <c r="F3325" s="264"/>
    </row>
    <row r="3326" spans="6:6" x14ac:dyDescent="0.2">
      <c r="F3326" s="264"/>
    </row>
    <row r="3327" spans="6:6" x14ac:dyDescent="0.2">
      <c r="F3327" s="264"/>
    </row>
    <row r="3328" spans="6:6" x14ac:dyDescent="0.2">
      <c r="F3328" s="264"/>
    </row>
    <row r="3329" spans="6:6" x14ac:dyDescent="0.2">
      <c r="F3329" s="264"/>
    </row>
    <row r="3330" spans="6:6" x14ac:dyDescent="0.2">
      <c r="F3330" s="264"/>
    </row>
    <row r="3331" spans="6:6" x14ac:dyDescent="0.2">
      <c r="F3331" s="264"/>
    </row>
    <row r="3332" spans="6:6" x14ac:dyDescent="0.2">
      <c r="F3332" s="264"/>
    </row>
    <row r="3333" spans="6:6" x14ac:dyDescent="0.2">
      <c r="F3333" s="264"/>
    </row>
    <row r="3334" spans="6:6" x14ac:dyDescent="0.2">
      <c r="F3334" s="264"/>
    </row>
    <row r="3335" spans="6:6" x14ac:dyDescent="0.2">
      <c r="F3335" s="264"/>
    </row>
    <row r="3336" spans="6:6" x14ac:dyDescent="0.2">
      <c r="F3336" s="264"/>
    </row>
    <row r="3337" spans="6:6" x14ac:dyDescent="0.2">
      <c r="F3337" s="264"/>
    </row>
    <row r="3338" spans="6:6" x14ac:dyDescent="0.2">
      <c r="F3338" s="264"/>
    </row>
    <row r="3339" spans="6:6" x14ac:dyDescent="0.2">
      <c r="F3339" s="264"/>
    </row>
    <row r="3340" spans="6:6" x14ac:dyDescent="0.2">
      <c r="F3340" s="264"/>
    </row>
    <row r="3341" spans="6:6" x14ac:dyDescent="0.2">
      <c r="F3341" s="264"/>
    </row>
    <row r="3342" spans="6:6" x14ac:dyDescent="0.2">
      <c r="F3342" s="264"/>
    </row>
    <row r="3343" spans="6:6" x14ac:dyDescent="0.2">
      <c r="F3343" s="264"/>
    </row>
    <row r="3344" spans="6:6" x14ac:dyDescent="0.2">
      <c r="F3344" s="264"/>
    </row>
    <row r="3345" spans="6:6" x14ac:dyDescent="0.2">
      <c r="F3345" s="264"/>
    </row>
    <row r="3346" spans="6:6" x14ac:dyDescent="0.2">
      <c r="F3346" s="264"/>
    </row>
    <row r="3347" spans="6:6" x14ac:dyDescent="0.2">
      <c r="F3347" s="264"/>
    </row>
    <row r="3348" spans="6:6" x14ac:dyDescent="0.2">
      <c r="F3348" s="264"/>
    </row>
    <row r="3349" spans="6:6" x14ac:dyDescent="0.2">
      <c r="F3349" s="264"/>
    </row>
    <row r="3350" spans="6:6" x14ac:dyDescent="0.2">
      <c r="F3350" s="264"/>
    </row>
    <row r="3351" spans="6:6" x14ac:dyDescent="0.2">
      <c r="F3351" s="264"/>
    </row>
    <row r="3352" spans="6:6" x14ac:dyDescent="0.2">
      <c r="F3352" s="264"/>
    </row>
    <row r="3353" spans="6:6" x14ac:dyDescent="0.2">
      <c r="F3353" s="264"/>
    </row>
    <row r="3354" spans="6:6" x14ac:dyDescent="0.2">
      <c r="F3354" s="264"/>
    </row>
    <row r="3355" spans="6:6" x14ac:dyDescent="0.2">
      <c r="F3355" s="264"/>
    </row>
    <row r="3356" spans="6:6" x14ac:dyDescent="0.2">
      <c r="F3356" s="264"/>
    </row>
    <row r="3357" spans="6:6" x14ac:dyDescent="0.2">
      <c r="F3357" s="264"/>
    </row>
    <row r="3358" spans="6:6" x14ac:dyDescent="0.2">
      <c r="F3358" s="264"/>
    </row>
    <row r="3359" spans="6:6" x14ac:dyDescent="0.2">
      <c r="F3359" s="264"/>
    </row>
    <row r="3360" spans="6:6" x14ac:dyDescent="0.2">
      <c r="F3360" s="264"/>
    </row>
    <row r="3361" spans="6:6" x14ac:dyDescent="0.2">
      <c r="F3361" s="264"/>
    </row>
    <row r="3362" spans="6:6" x14ac:dyDescent="0.2">
      <c r="F3362" s="264"/>
    </row>
    <row r="3363" spans="6:6" x14ac:dyDescent="0.2">
      <c r="F3363" s="264"/>
    </row>
    <row r="3364" spans="6:6" x14ac:dyDescent="0.2">
      <c r="F3364" s="264"/>
    </row>
    <row r="3365" spans="6:6" x14ac:dyDescent="0.2">
      <c r="F3365" s="264"/>
    </row>
    <row r="3366" spans="6:6" x14ac:dyDescent="0.2">
      <c r="F3366" s="264"/>
    </row>
    <row r="3367" spans="6:6" x14ac:dyDescent="0.2">
      <c r="F3367" s="264"/>
    </row>
    <row r="3368" spans="6:6" x14ac:dyDescent="0.2">
      <c r="F3368" s="264"/>
    </row>
    <row r="3369" spans="6:6" x14ac:dyDescent="0.2">
      <c r="F3369" s="264"/>
    </row>
    <row r="3370" spans="6:6" x14ac:dyDescent="0.2">
      <c r="F3370" s="264"/>
    </row>
    <row r="3371" spans="6:6" x14ac:dyDescent="0.2">
      <c r="F3371" s="264"/>
    </row>
    <row r="3372" spans="6:6" x14ac:dyDescent="0.2">
      <c r="F3372" s="264"/>
    </row>
    <row r="3373" spans="6:6" x14ac:dyDescent="0.2">
      <c r="F3373" s="264"/>
    </row>
    <row r="3374" spans="6:6" x14ac:dyDescent="0.2">
      <c r="F3374" s="264"/>
    </row>
    <row r="3375" spans="6:6" x14ac:dyDescent="0.2">
      <c r="F3375" s="264"/>
    </row>
    <row r="3376" spans="6:6" x14ac:dyDescent="0.2">
      <c r="F3376" s="264"/>
    </row>
    <row r="3377" spans="6:6" x14ac:dyDescent="0.2">
      <c r="F3377" s="264"/>
    </row>
    <row r="3378" spans="6:6" x14ac:dyDescent="0.2">
      <c r="F3378" s="264"/>
    </row>
    <row r="3379" spans="6:6" x14ac:dyDescent="0.2">
      <c r="F3379" s="264"/>
    </row>
    <row r="3380" spans="6:6" x14ac:dyDescent="0.2">
      <c r="F3380" s="264"/>
    </row>
    <row r="3381" spans="6:6" x14ac:dyDescent="0.2">
      <c r="F3381" s="264"/>
    </row>
    <row r="3382" spans="6:6" x14ac:dyDescent="0.2">
      <c r="F3382" s="264"/>
    </row>
    <row r="3383" spans="6:6" x14ac:dyDescent="0.2">
      <c r="F3383" s="264"/>
    </row>
    <row r="3384" spans="6:6" x14ac:dyDescent="0.2">
      <c r="F3384" s="264"/>
    </row>
    <row r="3385" spans="6:6" x14ac:dyDescent="0.2">
      <c r="F3385" s="264"/>
    </row>
    <row r="3386" spans="6:6" x14ac:dyDescent="0.2">
      <c r="F3386" s="264"/>
    </row>
    <row r="3387" spans="6:6" x14ac:dyDescent="0.2">
      <c r="F3387" s="264"/>
    </row>
    <row r="3388" spans="6:6" x14ac:dyDescent="0.2">
      <c r="F3388" s="264"/>
    </row>
    <row r="3389" spans="6:6" x14ac:dyDescent="0.2">
      <c r="F3389" s="264"/>
    </row>
    <row r="3390" spans="6:6" x14ac:dyDescent="0.2">
      <c r="F3390" s="264"/>
    </row>
    <row r="3391" spans="6:6" x14ac:dyDescent="0.2">
      <c r="F3391" s="264"/>
    </row>
    <row r="3392" spans="6:6" x14ac:dyDescent="0.2">
      <c r="F3392" s="264"/>
    </row>
    <row r="3393" spans="6:6" x14ac:dyDescent="0.2">
      <c r="F3393" s="264"/>
    </row>
    <row r="3394" spans="6:6" x14ac:dyDescent="0.2">
      <c r="F3394" s="264"/>
    </row>
    <row r="3395" spans="6:6" x14ac:dyDescent="0.2">
      <c r="F3395" s="264"/>
    </row>
    <row r="3396" spans="6:6" x14ac:dyDescent="0.2">
      <c r="F3396" s="264"/>
    </row>
    <row r="3397" spans="6:6" x14ac:dyDescent="0.2">
      <c r="F3397" s="264"/>
    </row>
    <row r="3398" spans="6:6" x14ac:dyDescent="0.2">
      <c r="F3398" s="264"/>
    </row>
    <row r="3399" spans="6:6" x14ac:dyDescent="0.2">
      <c r="F3399" s="264"/>
    </row>
    <row r="3400" spans="6:6" x14ac:dyDescent="0.2">
      <c r="F3400" s="264"/>
    </row>
    <row r="3401" spans="6:6" x14ac:dyDescent="0.2">
      <c r="F3401" s="264"/>
    </row>
    <row r="3402" spans="6:6" x14ac:dyDescent="0.2">
      <c r="F3402" s="264"/>
    </row>
    <row r="3403" spans="6:6" x14ac:dyDescent="0.2">
      <c r="F3403" s="264"/>
    </row>
    <row r="3404" spans="6:6" x14ac:dyDescent="0.2">
      <c r="F3404" s="264"/>
    </row>
    <row r="3405" spans="6:6" x14ac:dyDescent="0.2">
      <c r="F3405" s="264"/>
    </row>
    <row r="3406" spans="6:6" x14ac:dyDescent="0.2">
      <c r="F3406" s="264"/>
    </row>
    <row r="3407" spans="6:6" x14ac:dyDescent="0.2">
      <c r="F3407" s="264"/>
    </row>
    <row r="3408" spans="6:6" x14ac:dyDescent="0.2">
      <c r="F3408" s="264"/>
    </row>
    <row r="3409" spans="6:6" x14ac:dyDescent="0.2">
      <c r="F3409" s="264"/>
    </row>
    <row r="3410" spans="6:6" x14ac:dyDescent="0.2">
      <c r="F3410" s="264"/>
    </row>
    <row r="3411" spans="6:6" x14ac:dyDescent="0.2">
      <c r="F3411" s="264"/>
    </row>
    <row r="3412" spans="6:6" x14ac:dyDescent="0.2">
      <c r="F3412" s="264"/>
    </row>
    <row r="3413" spans="6:6" x14ac:dyDescent="0.2">
      <c r="F3413" s="264"/>
    </row>
    <row r="3414" spans="6:6" x14ac:dyDescent="0.2">
      <c r="F3414" s="264"/>
    </row>
    <row r="3415" spans="6:6" x14ac:dyDescent="0.2">
      <c r="F3415" s="264"/>
    </row>
    <row r="3416" spans="6:6" x14ac:dyDescent="0.2">
      <c r="F3416" s="264"/>
    </row>
    <row r="3417" spans="6:6" x14ac:dyDescent="0.2">
      <c r="F3417" s="264"/>
    </row>
    <row r="3418" spans="6:6" x14ac:dyDescent="0.2">
      <c r="F3418" s="264"/>
    </row>
    <row r="3419" spans="6:6" x14ac:dyDescent="0.2">
      <c r="F3419" s="264"/>
    </row>
    <row r="3420" spans="6:6" x14ac:dyDescent="0.2">
      <c r="F3420" s="264"/>
    </row>
    <row r="3421" spans="6:6" x14ac:dyDescent="0.2">
      <c r="F3421" s="264"/>
    </row>
    <row r="3422" spans="6:6" x14ac:dyDescent="0.2">
      <c r="F3422" s="264"/>
    </row>
    <row r="3423" spans="6:6" x14ac:dyDescent="0.2">
      <c r="F3423" s="264"/>
    </row>
    <row r="3424" spans="6:6" x14ac:dyDescent="0.2">
      <c r="F3424" s="264"/>
    </row>
    <row r="3425" spans="6:6" x14ac:dyDescent="0.2">
      <c r="F3425" s="264"/>
    </row>
    <row r="3426" spans="6:6" x14ac:dyDescent="0.2">
      <c r="F3426" s="264"/>
    </row>
    <row r="3427" spans="6:6" x14ac:dyDescent="0.2">
      <c r="F3427" s="264"/>
    </row>
    <row r="3428" spans="6:6" x14ac:dyDescent="0.2">
      <c r="F3428" s="264"/>
    </row>
    <row r="3429" spans="6:6" x14ac:dyDescent="0.2">
      <c r="F3429" s="264"/>
    </row>
    <row r="3430" spans="6:6" x14ac:dyDescent="0.2">
      <c r="F3430" s="264"/>
    </row>
    <row r="3431" spans="6:6" x14ac:dyDescent="0.2">
      <c r="F3431" s="264"/>
    </row>
    <row r="3432" spans="6:6" x14ac:dyDescent="0.2">
      <c r="F3432" s="264"/>
    </row>
    <row r="3433" spans="6:6" x14ac:dyDescent="0.2">
      <c r="F3433" s="264"/>
    </row>
    <row r="3434" spans="6:6" x14ac:dyDescent="0.2">
      <c r="F3434" s="264"/>
    </row>
    <row r="3435" spans="6:6" x14ac:dyDescent="0.2">
      <c r="F3435" s="264"/>
    </row>
    <row r="3436" spans="6:6" x14ac:dyDescent="0.2">
      <c r="F3436" s="264"/>
    </row>
    <row r="3437" spans="6:6" x14ac:dyDescent="0.2">
      <c r="F3437" s="264"/>
    </row>
    <row r="3438" spans="6:6" x14ac:dyDescent="0.2">
      <c r="F3438" s="264"/>
    </row>
    <row r="3439" spans="6:6" x14ac:dyDescent="0.2">
      <c r="F3439" s="264"/>
    </row>
    <row r="3440" spans="6:6" x14ac:dyDescent="0.2">
      <c r="F3440" s="264"/>
    </row>
    <row r="3441" spans="6:6" x14ac:dyDescent="0.2">
      <c r="F3441" s="264"/>
    </row>
    <row r="3442" spans="6:6" x14ac:dyDescent="0.2">
      <c r="F3442" s="264"/>
    </row>
    <row r="3443" spans="6:6" x14ac:dyDescent="0.2">
      <c r="F3443" s="264"/>
    </row>
    <row r="3444" spans="6:6" x14ac:dyDescent="0.2">
      <c r="F3444" s="264"/>
    </row>
    <row r="3445" spans="6:6" x14ac:dyDescent="0.2">
      <c r="F3445" s="264"/>
    </row>
    <row r="3446" spans="6:6" x14ac:dyDescent="0.2">
      <c r="F3446" s="264"/>
    </row>
    <row r="3447" spans="6:6" x14ac:dyDescent="0.2">
      <c r="F3447" s="264"/>
    </row>
    <row r="3448" spans="6:6" x14ac:dyDescent="0.2">
      <c r="F3448" s="264"/>
    </row>
    <row r="3449" spans="6:6" x14ac:dyDescent="0.2">
      <c r="F3449" s="264"/>
    </row>
    <row r="3450" spans="6:6" x14ac:dyDescent="0.2">
      <c r="F3450" s="264"/>
    </row>
    <row r="3451" spans="6:6" x14ac:dyDescent="0.2">
      <c r="F3451" s="264"/>
    </row>
    <row r="3452" spans="6:6" x14ac:dyDescent="0.2">
      <c r="F3452" s="264"/>
    </row>
    <row r="3453" spans="6:6" x14ac:dyDescent="0.2">
      <c r="F3453" s="264"/>
    </row>
    <row r="3454" spans="6:6" x14ac:dyDescent="0.2">
      <c r="F3454" s="264"/>
    </row>
    <row r="3455" spans="6:6" x14ac:dyDescent="0.2">
      <c r="F3455" s="264"/>
    </row>
    <row r="3456" spans="6:6" x14ac:dyDescent="0.2">
      <c r="F3456" s="264"/>
    </row>
    <row r="3457" spans="6:6" x14ac:dyDescent="0.2">
      <c r="F3457" s="264"/>
    </row>
    <row r="3458" spans="6:6" x14ac:dyDescent="0.2">
      <c r="F3458" s="264"/>
    </row>
    <row r="3459" spans="6:6" x14ac:dyDescent="0.2">
      <c r="F3459" s="264"/>
    </row>
    <row r="3460" spans="6:6" x14ac:dyDescent="0.2">
      <c r="F3460" s="264"/>
    </row>
    <row r="3461" spans="6:6" x14ac:dyDescent="0.2">
      <c r="F3461" s="264"/>
    </row>
    <row r="3462" spans="6:6" x14ac:dyDescent="0.2">
      <c r="F3462" s="264"/>
    </row>
    <row r="3463" spans="6:6" x14ac:dyDescent="0.2">
      <c r="F3463" s="264"/>
    </row>
    <row r="3464" spans="6:6" x14ac:dyDescent="0.2">
      <c r="F3464" s="264"/>
    </row>
    <row r="3465" spans="6:6" x14ac:dyDescent="0.2">
      <c r="F3465" s="264"/>
    </row>
    <row r="3466" spans="6:6" x14ac:dyDescent="0.2">
      <c r="F3466" s="264"/>
    </row>
    <row r="3467" spans="6:6" x14ac:dyDescent="0.2">
      <c r="F3467" s="264"/>
    </row>
    <row r="3468" spans="6:6" x14ac:dyDescent="0.2">
      <c r="F3468" s="264"/>
    </row>
    <row r="3469" spans="6:6" x14ac:dyDescent="0.2">
      <c r="F3469" s="264"/>
    </row>
    <row r="3470" spans="6:6" x14ac:dyDescent="0.2">
      <c r="F3470" s="264"/>
    </row>
    <row r="3471" spans="6:6" x14ac:dyDescent="0.2">
      <c r="F3471" s="264"/>
    </row>
    <row r="3472" spans="6:6" x14ac:dyDescent="0.2">
      <c r="F3472" s="264"/>
    </row>
    <row r="3473" spans="6:6" x14ac:dyDescent="0.2">
      <c r="F3473" s="264"/>
    </row>
    <row r="3474" spans="6:6" x14ac:dyDescent="0.2">
      <c r="F3474" s="264"/>
    </row>
    <row r="3475" spans="6:6" x14ac:dyDescent="0.2">
      <c r="F3475" s="264"/>
    </row>
    <row r="3476" spans="6:6" x14ac:dyDescent="0.2">
      <c r="F3476" s="264"/>
    </row>
    <row r="3477" spans="6:6" x14ac:dyDescent="0.2">
      <c r="F3477" s="264"/>
    </row>
    <row r="3478" spans="6:6" x14ac:dyDescent="0.2">
      <c r="F3478" s="264"/>
    </row>
    <row r="3479" spans="6:6" x14ac:dyDescent="0.2">
      <c r="F3479" s="264"/>
    </row>
    <row r="3480" spans="6:6" x14ac:dyDescent="0.2">
      <c r="F3480" s="264"/>
    </row>
    <row r="3481" spans="6:6" x14ac:dyDescent="0.2">
      <c r="F3481" s="264"/>
    </row>
    <row r="3482" spans="6:6" x14ac:dyDescent="0.2">
      <c r="F3482" s="264"/>
    </row>
    <row r="3483" spans="6:6" x14ac:dyDescent="0.2">
      <c r="F3483" s="264"/>
    </row>
    <row r="3484" spans="6:6" x14ac:dyDescent="0.2">
      <c r="F3484" s="264"/>
    </row>
    <row r="3485" spans="6:6" x14ac:dyDescent="0.2">
      <c r="F3485" s="264"/>
    </row>
    <row r="3486" spans="6:6" x14ac:dyDescent="0.2">
      <c r="F3486" s="264"/>
    </row>
    <row r="3487" spans="6:6" x14ac:dyDescent="0.2">
      <c r="F3487" s="264"/>
    </row>
    <row r="3488" spans="6:6" x14ac:dyDescent="0.2">
      <c r="F3488" s="264"/>
    </row>
    <row r="3489" spans="6:6" x14ac:dyDescent="0.2">
      <c r="F3489" s="264"/>
    </row>
    <row r="3490" spans="6:6" x14ac:dyDescent="0.2">
      <c r="F3490" s="264"/>
    </row>
    <row r="3491" spans="6:6" x14ac:dyDescent="0.2">
      <c r="F3491" s="264"/>
    </row>
    <row r="3492" spans="6:6" x14ac:dyDescent="0.2">
      <c r="F3492" s="264"/>
    </row>
    <row r="3493" spans="6:6" x14ac:dyDescent="0.2">
      <c r="F3493" s="264"/>
    </row>
    <row r="3494" spans="6:6" x14ac:dyDescent="0.2">
      <c r="F3494" s="264"/>
    </row>
    <row r="3495" spans="6:6" x14ac:dyDescent="0.2">
      <c r="F3495" s="264"/>
    </row>
    <row r="3496" spans="6:6" x14ac:dyDescent="0.2">
      <c r="F3496" s="264"/>
    </row>
    <row r="3497" spans="6:6" x14ac:dyDescent="0.2">
      <c r="F3497" s="264"/>
    </row>
    <row r="3498" spans="6:6" x14ac:dyDescent="0.2">
      <c r="F3498" s="264"/>
    </row>
    <row r="3499" spans="6:6" x14ac:dyDescent="0.2">
      <c r="F3499" s="264"/>
    </row>
    <row r="3500" spans="6:6" x14ac:dyDescent="0.2">
      <c r="F3500" s="264"/>
    </row>
    <row r="3501" spans="6:6" x14ac:dyDescent="0.2">
      <c r="F3501" s="264"/>
    </row>
    <row r="3502" spans="6:6" x14ac:dyDescent="0.2">
      <c r="F3502" s="264"/>
    </row>
    <row r="3503" spans="6:6" x14ac:dyDescent="0.2">
      <c r="F3503" s="264"/>
    </row>
    <row r="3504" spans="6:6" x14ac:dyDescent="0.2">
      <c r="F3504" s="264"/>
    </row>
    <row r="3505" spans="6:6" x14ac:dyDescent="0.2">
      <c r="F3505" s="264"/>
    </row>
    <row r="3506" spans="6:6" x14ac:dyDescent="0.2">
      <c r="F3506" s="264"/>
    </row>
    <row r="3507" spans="6:6" x14ac:dyDescent="0.2">
      <c r="F3507" s="264"/>
    </row>
    <row r="3508" spans="6:6" x14ac:dyDescent="0.2">
      <c r="F3508" s="264"/>
    </row>
    <row r="3509" spans="6:6" x14ac:dyDescent="0.2">
      <c r="F3509" s="264"/>
    </row>
    <row r="3510" spans="6:6" x14ac:dyDescent="0.2">
      <c r="F3510" s="264"/>
    </row>
    <row r="3511" spans="6:6" x14ac:dyDescent="0.2">
      <c r="F3511" s="264"/>
    </row>
    <row r="3512" spans="6:6" x14ac:dyDescent="0.2">
      <c r="F3512" s="264"/>
    </row>
    <row r="3513" spans="6:6" x14ac:dyDescent="0.2">
      <c r="F3513" s="264"/>
    </row>
    <row r="3514" spans="6:6" x14ac:dyDescent="0.2">
      <c r="F3514" s="264"/>
    </row>
    <row r="3515" spans="6:6" x14ac:dyDescent="0.2">
      <c r="F3515" s="264"/>
    </row>
    <row r="3516" spans="6:6" x14ac:dyDescent="0.2">
      <c r="F3516" s="264"/>
    </row>
    <row r="3517" spans="6:6" x14ac:dyDescent="0.2">
      <c r="F3517" s="264"/>
    </row>
    <row r="3518" spans="6:6" x14ac:dyDescent="0.2">
      <c r="F3518" s="264"/>
    </row>
    <row r="3519" spans="6:6" x14ac:dyDescent="0.2">
      <c r="F3519" s="264"/>
    </row>
    <row r="3520" spans="6:6" x14ac:dyDescent="0.2">
      <c r="F3520" s="264"/>
    </row>
    <row r="3521" spans="6:6" x14ac:dyDescent="0.2">
      <c r="F3521" s="264"/>
    </row>
    <row r="3522" spans="6:6" x14ac:dyDescent="0.2">
      <c r="F3522" s="264"/>
    </row>
    <row r="3523" spans="6:6" x14ac:dyDescent="0.2">
      <c r="F3523" s="264"/>
    </row>
    <row r="3524" spans="6:6" x14ac:dyDescent="0.2">
      <c r="F3524" s="264"/>
    </row>
    <row r="3525" spans="6:6" x14ac:dyDescent="0.2">
      <c r="F3525" s="264"/>
    </row>
    <row r="3526" spans="6:6" x14ac:dyDescent="0.2">
      <c r="F3526" s="264"/>
    </row>
    <row r="3527" spans="6:6" x14ac:dyDescent="0.2">
      <c r="F3527" s="264"/>
    </row>
    <row r="3528" spans="6:6" x14ac:dyDescent="0.2">
      <c r="F3528" s="264"/>
    </row>
    <row r="3529" spans="6:6" x14ac:dyDescent="0.2">
      <c r="F3529" s="264"/>
    </row>
    <row r="3530" spans="6:6" x14ac:dyDescent="0.2">
      <c r="F3530" s="264"/>
    </row>
    <row r="3531" spans="6:6" x14ac:dyDescent="0.2">
      <c r="F3531" s="264"/>
    </row>
    <row r="3532" spans="6:6" x14ac:dyDescent="0.2">
      <c r="F3532" s="264"/>
    </row>
    <row r="3533" spans="6:6" x14ac:dyDescent="0.2">
      <c r="F3533" s="264"/>
    </row>
    <row r="3534" spans="6:6" x14ac:dyDescent="0.2">
      <c r="F3534" s="264"/>
    </row>
    <row r="3535" spans="6:6" x14ac:dyDescent="0.2">
      <c r="F3535" s="264"/>
    </row>
    <row r="3536" spans="6:6" x14ac:dyDescent="0.2">
      <c r="F3536" s="264"/>
    </row>
    <row r="3537" spans="6:6" x14ac:dyDescent="0.2">
      <c r="F3537" s="264"/>
    </row>
    <row r="3538" spans="6:6" x14ac:dyDescent="0.2">
      <c r="F3538" s="264"/>
    </row>
    <row r="3539" spans="6:6" x14ac:dyDescent="0.2">
      <c r="F3539" s="264"/>
    </row>
    <row r="3540" spans="6:6" x14ac:dyDescent="0.2">
      <c r="F3540" s="264"/>
    </row>
    <row r="3541" spans="6:6" x14ac:dyDescent="0.2">
      <c r="F3541" s="264"/>
    </row>
    <row r="3542" spans="6:6" x14ac:dyDescent="0.2">
      <c r="F3542" s="264"/>
    </row>
    <row r="3543" spans="6:6" x14ac:dyDescent="0.2">
      <c r="F3543" s="264"/>
    </row>
    <row r="3544" spans="6:6" x14ac:dyDescent="0.2">
      <c r="F3544" s="264"/>
    </row>
    <row r="3545" spans="6:6" x14ac:dyDescent="0.2">
      <c r="F3545" s="264"/>
    </row>
    <row r="3546" spans="6:6" x14ac:dyDescent="0.2">
      <c r="F3546" s="264"/>
    </row>
    <row r="3547" spans="6:6" x14ac:dyDescent="0.2">
      <c r="F3547" s="264"/>
    </row>
    <row r="3548" spans="6:6" x14ac:dyDescent="0.2">
      <c r="F3548" s="264"/>
    </row>
    <row r="3549" spans="6:6" x14ac:dyDescent="0.2">
      <c r="F3549" s="264"/>
    </row>
    <row r="3550" spans="6:6" x14ac:dyDescent="0.2">
      <c r="F3550" s="264"/>
    </row>
    <row r="3551" spans="6:6" x14ac:dyDescent="0.2">
      <c r="F3551" s="264"/>
    </row>
    <row r="3552" spans="6:6" x14ac:dyDescent="0.2">
      <c r="F3552" s="264"/>
    </row>
    <row r="3553" spans="6:6" x14ac:dyDescent="0.2">
      <c r="F3553" s="264"/>
    </row>
    <row r="3554" spans="6:6" x14ac:dyDescent="0.2">
      <c r="F3554" s="264"/>
    </row>
    <row r="3555" spans="6:6" x14ac:dyDescent="0.2">
      <c r="F3555" s="264"/>
    </row>
    <row r="3556" spans="6:6" x14ac:dyDescent="0.2">
      <c r="F3556" s="264"/>
    </row>
    <row r="3557" spans="6:6" x14ac:dyDescent="0.2">
      <c r="F3557" s="264"/>
    </row>
    <row r="3558" spans="6:6" x14ac:dyDescent="0.2">
      <c r="F3558" s="264"/>
    </row>
    <row r="3559" spans="6:6" x14ac:dyDescent="0.2">
      <c r="F3559" s="264"/>
    </row>
    <row r="3560" spans="6:6" x14ac:dyDescent="0.2">
      <c r="F3560" s="264"/>
    </row>
    <row r="3561" spans="6:6" x14ac:dyDescent="0.2">
      <c r="F3561" s="264"/>
    </row>
    <row r="3562" spans="6:6" x14ac:dyDescent="0.2">
      <c r="F3562" s="264"/>
    </row>
    <row r="3563" spans="6:6" x14ac:dyDescent="0.2">
      <c r="F3563" s="264"/>
    </row>
    <row r="3564" spans="6:6" x14ac:dyDescent="0.2">
      <c r="F3564" s="264"/>
    </row>
    <row r="3565" spans="6:6" x14ac:dyDescent="0.2">
      <c r="F3565" s="264"/>
    </row>
    <row r="3566" spans="6:6" x14ac:dyDescent="0.2">
      <c r="F3566" s="264"/>
    </row>
    <row r="3567" spans="6:6" x14ac:dyDescent="0.2">
      <c r="F3567" s="264"/>
    </row>
    <row r="3568" spans="6:6" x14ac:dyDescent="0.2">
      <c r="F3568" s="264"/>
    </row>
    <row r="3569" spans="6:6" x14ac:dyDescent="0.2">
      <c r="F3569" s="264"/>
    </row>
    <row r="3570" spans="6:6" x14ac:dyDescent="0.2">
      <c r="F3570" s="264"/>
    </row>
    <row r="3571" spans="6:6" x14ac:dyDescent="0.2">
      <c r="F3571" s="264"/>
    </row>
    <row r="3572" spans="6:6" x14ac:dyDescent="0.2">
      <c r="F3572" s="264"/>
    </row>
    <row r="3573" spans="6:6" x14ac:dyDescent="0.2">
      <c r="F3573" s="264"/>
    </row>
    <row r="3574" spans="6:6" x14ac:dyDescent="0.2">
      <c r="F3574" s="264"/>
    </row>
    <row r="3575" spans="6:6" x14ac:dyDescent="0.2">
      <c r="F3575" s="264"/>
    </row>
    <row r="3576" spans="6:6" x14ac:dyDescent="0.2">
      <c r="F3576" s="264"/>
    </row>
    <row r="3577" spans="6:6" x14ac:dyDescent="0.2">
      <c r="F3577" s="264"/>
    </row>
    <row r="3578" spans="6:6" x14ac:dyDescent="0.2">
      <c r="F3578" s="264"/>
    </row>
    <row r="3579" spans="6:6" x14ac:dyDescent="0.2">
      <c r="F3579" s="264"/>
    </row>
    <row r="3580" spans="6:6" x14ac:dyDescent="0.2">
      <c r="F3580" s="264"/>
    </row>
    <row r="3581" spans="6:6" x14ac:dyDescent="0.2">
      <c r="F3581" s="264"/>
    </row>
    <row r="3582" spans="6:6" x14ac:dyDescent="0.2">
      <c r="F3582" s="264"/>
    </row>
    <row r="3583" spans="6:6" x14ac:dyDescent="0.2">
      <c r="F3583" s="264"/>
    </row>
    <row r="3584" spans="6:6" x14ac:dyDescent="0.2">
      <c r="F3584" s="264"/>
    </row>
    <row r="3585" spans="6:6" x14ac:dyDescent="0.2">
      <c r="F3585" s="264"/>
    </row>
    <row r="3586" spans="6:6" x14ac:dyDescent="0.2">
      <c r="F3586" s="264"/>
    </row>
    <row r="3587" spans="6:6" x14ac:dyDescent="0.2">
      <c r="F3587" s="264"/>
    </row>
    <row r="3588" spans="6:6" x14ac:dyDescent="0.2">
      <c r="F3588" s="264"/>
    </row>
    <row r="3589" spans="6:6" x14ac:dyDescent="0.2">
      <c r="F3589" s="264"/>
    </row>
    <row r="3590" spans="6:6" x14ac:dyDescent="0.2">
      <c r="F3590" s="264"/>
    </row>
    <row r="3591" spans="6:6" x14ac:dyDescent="0.2">
      <c r="F3591" s="264"/>
    </row>
    <row r="3592" spans="6:6" x14ac:dyDescent="0.2">
      <c r="F3592" s="264"/>
    </row>
    <row r="3593" spans="6:6" x14ac:dyDescent="0.2">
      <c r="F3593" s="264"/>
    </row>
    <row r="3594" spans="6:6" x14ac:dyDescent="0.2">
      <c r="F3594" s="264"/>
    </row>
    <row r="3595" spans="6:6" x14ac:dyDescent="0.2">
      <c r="F3595" s="264"/>
    </row>
    <row r="3596" spans="6:6" x14ac:dyDescent="0.2">
      <c r="F3596" s="264"/>
    </row>
    <row r="3597" spans="6:6" x14ac:dyDescent="0.2">
      <c r="F3597" s="264"/>
    </row>
    <row r="3598" spans="6:6" x14ac:dyDescent="0.2">
      <c r="F3598" s="264"/>
    </row>
    <row r="3599" spans="6:6" x14ac:dyDescent="0.2">
      <c r="F3599" s="264"/>
    </row>
    <row r="3600" spans="6:6" x14ac:dyDescent="0.2">
      <c r="F3600" s="264"/>
    </row>
    <row r="3601" spans="6:6" x14ac:dyDescent="0.2">
      <c r="F3601" s="264"/>
    </row>
    <row r="3602" spans="6:6" x14ac:dyDescent="0.2">
      <c r="F3602" s="264"/>
    </row>
    <row r="3603" spans="6:6" x14ac:dyDescent="0.2">
      <c r="F3603" s="264"/>
    </row>
    <row r="3604" spans="6:6" x14ac:dyDescent="0.2">
      <c r="F3604" s="264"/>
    </row>
    <row r="3605" spans="6:6" x14ac:dyDescent="0.2">
      <c r="F3605" s="264"/>
    </row>
    <row r="3606" spans="6:6" x14ac:dyDescent="0.2">
      <c r="F3606" s="264"/>
    </row>
    <row r="3607" spans="6:6" x14ac:dyDescent="0.2">
      <c r="F3607" s="264"/>
    </row>
    <row r="3608" spans="6:6" x14ac:dyDescent="0.2">
      <c r="F3608" s="264"/>
    </row>
    <row r="3609" spans="6:6" x14ac:dyDescent="0.2">
      <c r="F3609" s="264"/>
    </row>
    <row r="3610" spans="6:6" x14ac:dyDescent="0.2">
      <c r="F3610" s="264"/>
    </row>
    <row r="3611" spans="6:6" x14ac:dyDescent="0.2">
      <c r="F3611" s="264"/>
    </row>
    <row r="3612" spans="6:6" x14ac:dyDescent="0.2">
      <c r="F3612" s="264"/>
    </row>
    <row r="3613" spans="6:6" x14ac:dyDescent="0.2">
      <c r="F3613" s="264"/>
    </row>
    <row r="3614" spans="6:6" x14ac:dyDescent="0.2">
      <c r="F3614" s="264"/>
    </row>
    <row r="3615" spans="6:6" x14ac:dyDescent="0.2">
      <c r="F3615" s="264"/>
    </row>
    <row r="3616" spans="6:6" x14ac:dyDescent="0.2">
      <c r="F3616" s="264"/>
    </row>
    <row r="3617" spans="6:6" x14ac:dyDescent="0.2">
      <c r="F3617" s="264"/>
    </row>
    <row r="3618" spans="6:6" x14ac:dyDescent="0.2">
      <c r="F3618" s="264"/>
    </row>
    <row r="3619" spans="6:6" x14ac:dyDescent="0.2">
      <c r="F3619" s="264"/>
    </row>
    <row r="3620" spans="6:6" x14ac:dyDescent="0.2">
      <c r="F3620" s="264"/>
    </row>
    <row r="3621" spans="6:6" x14ac:dyDescent="0.2">
      <c r="F3621" s="264"/>
    </row>
    <row r="3622" spans="6:6" x14ac:dyDescent="0.2">
      <c r="F3622" s="264"/>
    </row>
    <row r="3623" spans="6:6" x14ac:dyDescent="0.2">
      <c r="F3623" s="264"/>
    </row>
    <row r="3624" spans="6:6" x14ac:dyDescent="0.2">
      <c r="F3624" s="264"/>
    </row>
    <row r="3625" spans="6:6" x14ac:dyDescent="0.2">
      <c r="F3625" s="264"/>
    </row>
    <row r="3626" spans="6:6" x14ac:dyDescent="0.2">
      <c r="F3626" s="264"/>
    </row>
    <row r="3627" spans="6:6" x14ac:dyDescent="0.2">
      <c r="F3627" s="264"/>
    </row>
    <row r="3628" spans="6:6" x14ac:dyDescent="0.2">
      <c r="F3628" s="264"/>
    </row>
    <row r="3629" spans="6:6" x14ac:dyDescent="0.2">
      <c r="F3629" s="264"/>
    </row>
    <row r="3630" spans="6:6" x14ac:dyDescent="0.2">
      <c r="F3630" s="264"/>
    </row>
    <row r="3631" spans="6:6" x14ac:dyDescent="0.2">
      <c r="F3631" s="264"/>
    </row>
    <row r="3632" spans="6:6" x14ac:dyDescent="0.2">
      <c r="F3632" s="264"/>
    </row>
    <row r="3633" spans="6:6" x14ac:dyDescent="0.2">
      <c r="F3633" s="264"/>
    </row>
    <row r="3634" spans="6:6" x14ac:dyDescent="0.2">
      <c r="F3634" s="264"/>
    </row>
    <row r="3635" spans="6:6" x14ac:dyDescent="0.2">
      <c r="F3635" s="264"/>
    </row>
    <row r="3636" spans="6:6" x14ac:dyDescent="0.2">
      <c r="F3636" s="264"/>
    </row>
    <row r="3637" spans="6:6" x14ac:dyDescent="0.2">
      <c r="F3637" s="264"/>
    </row>
    <row r="3638" spans="6:6" x14ac:dyDescent="0.2">
      <c r="F3638" s="264"/>
    </row>
    <row r="3639" spans="6:6" x14ac:dyDescent="0.2">
      <c r="F3639" s="264"/>
    </row>
    <row r="3640" spans="6:6" x14ac:dyDescent="0.2">
      <c r="F3640" s="264"/>
    </row>
    <row r="3641" spans="6:6" x14ac:dyDescent="0.2">
      <c r="F3641" s="264"/>
    </row>
    <row r="3642" spans="6:6" x14ac:dyDescent="0.2">
      <c r="F3642" s="264"/>
    </row>
    <row r="3643" spans="6:6" x14ac:dyDescent="0.2">
      <c r="F3643" s="264"/>
    </row>
    <row r="3644" spans="6:6" x14ac:dyDescent="0.2">
      <c r="F3644" s="264"/>
    </row>
    <row r="3645" spans="6:6" x14ac:dyDescent="0.2">
      <c r="F3645" s="264"/>
    </row>
    <row r="3646" spans="6:6" x14ac:dyDescent="0.2">
      <c r="F3646" s="264"/>
    </row>
    <row r="3647" spans="6:6" x14ac:dyDescent="0.2">
      <c r="F3647" s="264"/>
    </row>
    <row r="3648" spans="6:6" x14ac:dyDescent="0.2">
      <c r="F3648" s="264"/>
    </row>
    <row r="3649" spans="6:6" x14ac:dyDescent="0.2">
      <c r="F3649" s="264"/>
    </row>
    <row r="3650" spans="6:6" x14ac:dyDescent="0.2">
      <c r="F3650" s="264"/>
    </row>
    <row r="3651" spans="6:6" x14ac:dyDescent="0.2">
      <c r="F3651" s="264"/>
    </row>
    <row r="3652" spans="6:6" x14ac:dyDescent="0.2">
      <c r="F3652" s="264"/>
    </row>
    <row r="3653" spans="6:6" x14ac:dyDescent="0.2">
      <c r="F3653" s="264"/>
    </row>
    <row r="3654" spans="6:6" x14ac:dyDescent="0.2">
      <c r="F3654" s="264"/>
    </row>
    <row r="3655" spans="6:6" x14ac:dyDescent="0.2">
      <c r="F3655" s="264"/>
    </row>
    <row r="3656" spans="6:6" x14ac:dyDescent="0.2">
      <c r="F3656" s="264"/>
    </row>
    <row r="3657" spans="6:6" x14ac:dyDescent="0.2">
      <c r="F3657" s="264"/>
    </row>
    <row r="3658" spans="6:6" x14ac:dyDescent="0.2">
      <c r="F3658" s="264"/>
    </row>
    <row r="3659" spans="6:6" x14ac:dyDescent="0.2">
      <c r="F3659" s="264"/>
    </row>
    <row r="3660" spans="6:6" x14ac:dyDescent="0.2">
      <c r="F3660" s="264"/>
    </row>
    <row r="3661" spans="6:6" x14ac:dyDescent="0.2">
      <c r="F3661" s="264"/>
    </row>
    <row r="3662" spans="6:6" x14ac:dyDescent="0.2">
      <c r="F3662" s="264"/>
    </row>
    <row r="3663" spans="6:6" x14ac:dyDescent="0.2">
      <c r="F3663" s="264"/>
    </row>
    <row r="3664" spans="6:6" x14ac:dyDescent="0.2">
      <c r="F3664" s="264"/>
    </row>
    <row r="3665" spans="6:6" x14ac:dyDescent="0.2">
      <c r="F3665" s="264"/>
    </row>
    <row r="3666" spans="6:6" x14ac:dyDescent="0.2">
      <c r="F3666" s="264"/>
    </row>
    <row r="3667" spans="6:6" x14ac:dyDescent="0.2">
      <c r="F3667" s="264"/>
    </row>
    <row r="3668" spans="6:6" x14ac:dyDescent="0.2">
      <c r="F3668" s="264"/>
    </row>
    <row r="3669" spans="6:6" x14ac:dyDescent="0.2">
      <c r="F3669" s="264"/>
    </row>
    <row r="3670" spans="6:6" x14ac:dyDescent="0.2">
      <c r="F3670" s="264"/>
    </row>
    <row r="3671" spans="6:6" x14ac:dyDescent="0.2">
      <c r="F3671" s="264"/>
    </row>
    <row r="3672" spans="6:6" x14ac:dyDescent="0.2">
      <c r="F3672" s="264"/>
    </row>
    <row r="3673" spans="6:6" x14ac:dyDescent="0.2">
      <c r="F3673" s="264"/>
    </row>
    <row r="3674" spans="6:6" x14ac:dyDescent="0.2">
      <c r="F3674" s="264"/>
    </row>
    <row r="3675" spans="6:6" x14ac:dyDescent="0.2">
      <c r="F3675" s="264"/>
    </row>
    <row r="3676" spans="6:6" x14ac:dyDescent="0.2">
      <c r="F3676" s="264"/>
    </row>
    <row r="3677" spans="6:6" x14ac:dyDescent="0.2">
      <c r="F3677" s="264"/>
    </row>
    <row r="3678" spans="6:6" x14ac:dyDescent="0.2">
      <c r="F3678" s="264"/>
    </row>
    <row r="3679" spans="6:6" x14ac:dyDescent="0.2">
      <c r="F3679" s="264"/>
    </row>
    <row r="3680" spans="6:6" x14ac:dyDescent="0.2">
      <c r="F3680" s="264"/>
    </row>
    <row r="3681" spans="6:6" x14ac:dyDescent="0.2">
      <c r="F3681" s="264"/>
    </row>
    <row r="3682" spans="6:6" x14ac:dyDescent="0.2">
      <c r="F3682" s="264"/>
    </row>
    <row r="3683" spans="6:6" x14ac:dyDescent="0.2">
      <c r="F3683" s="264"/>
    </row>
    <row r="3684" spans="6:6" x14ac:dyDescent="0.2">
      <c r="F3684" s="264"/>
    </row>
    <row r="3685" spans="6:6" x14ac:dyDescent="0.2">
      <c r="F3685" s="264"/>
    </row>
    <row r="3686" spans="6:6" x14ac:dyDescent="0.2">
      <c r="F3686" s="264"/>
    </row>
    <row r="3687" spans="6:6" x14ac:dyDescent="0.2">
      <c r="F3687" s="264"/>
    </row>
    <row r="3688" spans="6:6" x14ac:dyDescent="0.2">
      <c r="F3688" s="264"/>
    </row>
    <row r="3689" spans="6:6" x14ac:dyDescent="0.2">
      <c r="F3689" s="264"/>
    </row>
    <row r="3690" spans="6:6" x14ac:dyDescent="0.2">
      <c r="F3690" s="264"/>
    </row>
    <row r="3691" spans="6:6" x14ac:dyDescent="0.2">
      <c r="F3691" s="264"/>
    </row>
    <row r="3692" spans="6:6" x14ac:dyDescent="0.2">
      <c r="F3692" s="264"/>
    </row>
    <row r="3693" spans="6:6" x14ac:dyDescent="0.2">
      <c r="F3693" s="264"/>
    </row>
    <row r="3694" spans="6:6" x14ac:dyDescent="0.2">
      <c r="F3694" s="264"/>
    </row>
    <row r="3695" spans="6:6" x14ac:dyDescent="0.2">
      <c r="F3695" s="264"/>
    </row>
    <row r="3696" spans="6:6" x14ac:dyDescent="0.2">
      <c r="F3696" s="264"/>
    </row>
    <row r="3697" spans="6:6" x14ac:dyDescent="0.2">
      <c r="F3697" s="264"/>
    </row>
    <row r="3698" spans="6:6" x14ac:dyDescent="0.2">
      <c r="F3698" s="264"/>
    </row>
    <row r="3699" spans="6:6" x14ac:dyDescent="0.2">
      <c r="F3699" s="264"/>
    </row>
    <row r="3700" spans="6:6" x14ac:dyDescent="0.2">
      <c r="F3700" s="264"/>
    </row>
    <row r="3701" spans="6:6" x14ac:dyDescent="0.2">
      <c r="F3701" s="264"/>
    </row>
    <row r="3702" spans="6:6" x14ac:dyDescent="0.2">
      <c r="F3702" s="264"/>
    </row>
    <row r="3703" spans="6:6" x14ac:dyDescent="0.2">
      <c r="F3703" s="264"/>
    </row>
    <row r="3704" spans="6:6" x14ac:dyDescent="0.2">
      <c r="F3704" s="264"/>
    </row>
    <row r="3705" spans="6:6" x14ac:dyDescent="0.2">
      <c r="F3705" s="264"/>
    </row>
    <row r="3706" spans="6:6" x14ac:dyDescent="0.2">
      <c r="F3706" s="264"/>
    </row>
    <row r="3707" spans="6:6" x14ac:dyDescent="0.2">
      <c r="F3707" s="264"/>
    </row>
    <row r="3708" spans="6:6" x14ac:dyDescent="0.2">
      <c r="F3708" s="264"/>
    </row>
    <row r="3709" spans="6:6" x14ac:dyDescent="0.2">
      <c r="F3709" s="264"/>
    </row>
    <row r="3710" spans="6:6" x14ac:dyDescent="0.2">
      <c r="F3710" s="264"/>
    </row>
    <row r="3711" spans="6:6" x14ac:dyDescent="0.2">
      <c r="F3711" s="264"/>
    </row>
    <row r="3712" spans="6:6" x14ac:dyDescent="0.2">
      <c r="F3712" s="264"/>
    </row>
    <row r="3713" spans="6:6" x14ac:dyDescent="0.2">
      <c r="F3713" s="264"/>
    </row>
    <row r="3714" spans="6:6" x14ac:dyDescent="0.2">
      <c r="F3714" s="264"/>
    </row>
    <row r="3715" spans="6:6" x14ac:dyDescent="0.2">
      <c r="F3715" s="264"/>
    </row>
    <row r="3716" spans="6:6" x14ac:dyDescent="0.2">
      <c r="F3716" s="264"/>
    </row>
    <row r="3717" spans="6:6" x14ac:dyDescent="0.2">
      <c r="F3717" s="264"/>
    </row>
    <row r="3718" spans="6:6" x14ac:dyDescent="0.2">
      <c r="F3718" s="264"/>
    </row>
    <row r="3719" spans="6:6" x14ac:dyDescent="0.2">
      <c r="F3719" s="264"/>
    </row>
    <row r="3720" spans="6:6" x14ac:dyDescent="0.2">
      <c r="F3720" s="264"/>
    </row>
    <row r="3721" spans="6:6" x14ac:dyDescent="0.2">
      <c r="F3721" s="264"/>
    </row>
    <row r="3722" spans="6:6" x14ac:dyDescent="0.2">
      <c r="F3722" s="264"/>
    </row>
    <row r="3723" spans="6:6" x14ac:dyDescent="0.2">
      <c r="F3723" s="264"/>
    </row>
    <row r="3724" spans="6:6" x14ac:dyDescent="0.2">
      <c r="F3724" s="264"/>
    </row>
    <row r="3725" spans="6:6" x14ac:dyDescent="0.2">
      <c r="F3725" s="264"/>
    </row>
    <row r="3726" spans="6:6" x14ac:dyDescent="0.2">
      <c r="F3726" s="264"/>
    </row>
    <row r="3727" spans="6:6" x14ac:dyDescent="0.2">
      <c r="F3727" s="264"/>
    </row>
    <row r="3728" spans="6:6" x14ac:dyDescent="0.2">
      <c r="F3728" s="264"/>
    </row>
    <row r="3729" spans="6:6" x14ac:dyDescent="0.2">
      <c r="F3729" s="264"/>
    </row>
    <row r="3730" spans="6:6" x14ac:dyDescent="0.2">
      <c r="F3730" s="264"/>
    </row>
    <row r="3731" spans="6:6" x14ac:dyDescent="0.2">
      <c r="F3731" s="264"/>
    </row>
    <row r="3732" spans="6:6" x14ac:dyDescent="0.2">
      <c r="F3732" s="264"/>
    </row>
    <row r="3733" spans="6:6" x14ac:dyDescent="0.2">
      <c r="F3733" s="264"/>
    </row>
    <row r="3734" spans="6:6" x14ac:dyDescent="0.2">
      <c r="F3734" s="264"/>
    </row>
    <row r="3735" spans="6:6" x14ac:dyDescent="0.2">
      <c r="F3735" s="264"/>
    </row>
    <row r="3736" spans="6:6" x14ac:dyDescent="0.2">
      <c r="F3736" s="264"/>
    </row>
    <row r="3737" spans="6:6" x14ac:dyDescent="0.2">
      <c r="F3737" s="264"/>
    </row>
    <row r="3738" spans="6:6" x14ac:dyDescent="0.2">
      <c r="F3738" s="264"/>
    </row>
    <row r="3739" spans="6:6" x14ac:dyDescent="0.2">
      <c r="F3739" s="264"/>
    </row>
    <row r="3740" spans="6:6" x14ac:dyDescent="0.2">
      <c r="F3740" s="264"/>
    </row>
    <row r="3741" spans="6:6" x14ac:dyDescent="0.2">
      <c r="F3741" s="264"/>
    </row>
    <row r="3742" spans="6:6" x14ac:dyDescent="0.2">
      <c r="F3742" s="264"/>
    </row>
    <row r="3743" spans="6:6" x14ac:dyDescent="0.2">
      <c r="F3743" s="264"/>
    </row>
    <row r="3744" spans="6:6" x14ac:dyDescent="0.2">
      <c r="F3744" s="264"/>
    </row>
    <row r="3745" spans="6:6" x14ac:dyDescent="0.2">
      <c r="F3745" s="264"/>
    </row>
    <row r="3746" spans="6:6" x14ac:dyDescent="0.2">
      <c r="F3746" s="264"/>
    </row>
    <row r="3747" spans="6:6" x14ac:dyDescent="0.2">
      <c r="F3747" s="264"/>
    </row>
    <row r="3748" spans="6:6" x14ac:dyDescent="0.2">
      <c r="F3748" s="264"/>
    </row>
    <row r="3749" spans="6:6" x14ac:dyDescent="0.2">
      <c r="F3749" s="264"/>
    </row>
    <row r="3750" spans="6:6" x14ac:dyDescent="0.2">
      <c r="F3750" s="264"/>
    </row>
    <row r="3751" spans="6:6" x14ac:dyDescent="0.2">
      <c r="F3751" s="264"/>
    </row>
    <row r="3752" spans="6:6" x14ac:dyDescent="0.2">
      <c r="F3752" s="264"/>
    </row>
    <row r="3753" spans="6:6" x14ac:dyDescent="0.2">
      <c r="F3753" s="264"/>
    </row>
    <row r="3754" spans="6:6" x14ac:dyDescent="0.2">
      <c r="F3754" s="264"/>
    </row>
    <row r="3755" spans="6:6" x14ac:dyDescent="0.2">
      <c r="F3755" s="264"/>
    </row>
    <row r="3756" spans="6:6" x14ac:dyDescent="0.2">
      <c r="F3756" s="264"/>
    </row>
    <row r="3757" spans="6:6" x14ac:dyDescent="0.2">
      <c r="F3757" s="264"/>
    </row>
    <row r="3758" spans="6:6" x14ac:dyDescent="0.2">
      <c r="F3758" s="264"/>
    </row>
    <row r="3759" spans="6:6" x14ac:dyDescent="0.2">
      <c r="F3759" s="264"/>
    </row>
    <row r="3760" spans="6:6" x14ac:dyDescent="0.2">
      <c r="F3760" s="264"/>
    </row>
    <row r="3761" spans="6:6" x14ac:dyDescent="0.2">
      <c r="F3761" s="264"/>
    </row>
    <row r="3762" spans="6:6" x14ac:dyDescent="0.2">
      <c r="F3762" s="264"/>
    </row>
    <row r="3763" spans="6:6" x14ac:dyDescent="0.2">
      <c r="F3763" s="264"/>
    </row>
    <row r="3764" spans="6:6" x14ac:dyDescent="0.2">
      <c r="F3764" s="264"/>
    </row>
    <row r="3765" spans="6:6" x14ac:dyDescent="0.2">
      <c r="F3765" s="264"/>
    </row>
    <row r="3766" spans="6:6" x14ac:dyDescent="0.2">
      <c r="F3766" s="264"/>
    </row>
    <row r="3767" spans="6:6" x14ac:dyDescent="0.2">
      <c r="F3767" s="264"/>
    </row>
    <row r="3768" spans="6:6" x14ac:dyDescent="0.2">
      <c r="F3768" s="264"/>
    </row>
    <row r="3769" spans="6:6" x14ac:dyDescent="0.2">
      <c r="F3769" s="264"/>
    </row>
    <row r="3770" spans="6:6" x14ac:dyDescent="0.2">
      <c r="F3770" s="264"/>
    </row>
    <row r="3771" spans="6:6" x14ac:dyDescent="0.2">
      <c r="F3771" s="264"/>
    </row>
    <row r="3772" spans="6:6" x14ac:dyDescent="0.2">
      <c r="F3772" s="264"/>
    </row>
    <row r="3773" spans="6:6" x14ac:dyDescent="0.2">
      <c r="F3773" s="264"/>
    </row>
    <row r="3774" spans="6:6" x14ac:dyDescent="0.2">
      <c r="F3774" s="264"/>
    </row>
    <row r="3775" spans="6:6" x14ac:dyDescent="0.2">
      <c r="F3775" s="264"/>
    </row>
    <row r="3776" spans="6:6" x14ac:dyDescent="0.2">
      <c r="F3776" s="264"/>
    </row>
    <row r="3777" spans="6:6" x14ac:dyDescent="0.2">
      <c r="F3777" s="264"/>
    </row>
    <row r="3778" spans="6:6" x14ac:dyDescent="0.2">
      <c r="F3778" s="264"/>
    </row>
    <row r="3779" spans="6:6" x14ac:dyDescent="0.2">
      <c r="F3779" s="264"/>
    </row>
    <row r="3780" spans="6:6" x14ac:dyDescent="0.2">
      <c r="F3780" s="264"/>
    </row>
    <row r="3781" spans="6:6" x14ac:dyDescent="0.2">
      <c r="F3781" s="264"/>
    </row>
    <row r="3782" spans="6:6" x14ac:dyDescent="0.2">
      <c r="F3782" s="264"/>
    </row>
    <row r="3783" spans="6:6" x14ac:dyDescent="0.2">
      <c r="F3783" s="264"/>
    </row>
    <row r="3784" spans="6:6" x14ac:dyDescent="0.2">
      <c r="F3784" s="264"/>
    </row>
    <row r="3785" spans="6:6" x14ac:dyDescent="0.2">
      <c r="F3785" s="264"/>
    </row>
    <row r="3786" spans="6:6" x14ac:dyDescent="0.2">
      <c r="F3786" s="264"/>
    </row>
    <row r="3787" spans="6:6" x14ac:dyDescent="0.2">
      <c r="F3787" s="264"/>
    </row>
    <row r="3788" spans="6:6" x14ac:dyDescent="0.2">
      <c r="F3788" s="264"/>
    </row>
    <row r="3789" spans="6:6" x14ac:dyDescent="0.2">
      <c r="F3789" s="264"/>
    </row>
    <row r="3790" spans="6:6" x14ac:dyDescent="0.2">
      <c r="F3790" s="264"/>
    </row>
    <row r="3791" spans="6:6" x14ac:dyDescent="0.2">
      <c r="F3791" s="264"/>
    </row>
    <row r="3792" spans="6:6" x14ac:dyDescent="0.2">
      <c r="F3792" s="264"/>
    </row>
    <row r="3793" spans="6:6" x14ac:dyDescent="0.2">
      <c r="F3793" s="264"/>
    </row>
    <row r="3794" spans="6:6" x14ac:dyDescent="0.2">
      <c r="F3794" s="264"/>
    </row>
    <row r="3795" spans="6:6" x14ac:dyDescent="0.2">
      <c r="F3795" s="264"/>
    </row>
    <row r="3796" spans="6:6" x14ac:dyDescent="0.2">
      <c r="F3796" s="264"/>
    </row>
    <row r="3797" spans="6:6" x14ac:dyDescent="0.2">
      <c r="F3797" s="264"/>
    </row>
    <row r="3798" spans="6:6" x14ac:dyDescent="0.2">
      <c r="F3798" s="264"/>
    </row>
    <row r="3799" spans="6:6" x14ac:dyDescent="0.2">
      <c r="F3799" s="264"/>
    </row>
    <row r="3800" spans="6:6" x14ac:dyDescent="0.2">
      <c r="F3800" s="264"/>
    </row>
  </sheetData>
  <autoFilter ref="A7:AJ510"/>
  <dataConsolidate link="1"/>
  <mergeCells count="434">
    <mergeCell ref="C352:C361"/>
    <mergeCell ref="B344:B364"/>
    <mergeCell ref="C344:C351"/>
    <mergeCell ref="I338:I342"/>
    <mergeCell ref="C362:C364"/>
    <mergeCell ref="I321:I328"/>
    <mergeCell ref="I333:I334"/>
    <mergeCell ref="E345:E346"/>
    <mergeCell ref="I407:I411"/>
    <mergeCell ref="X255:X257"/>
    <mergeCell ref="G274:G276"/>
    <mergeCell ref="G270:G273"/>
    <mergeCell ref="R261:S261"/>
    <mergeCell ref="T261:U261"/>
    <mergeCell ref="R258:S258"/>
    <mergeCell ref="T258:U258"/>
    <mergeCell ref="J338:J342"/>
    <mergeCell ref="I316:I317"/>
    <mergeCell ref="J289:J290"/>
    <mergeCell ref="G20:G22"/>
    <mergeCell ref="E300:E303"/>
    <mergeCell ref="F300:F303"/>
    <mergeCell ref="G300:G303"/>
    <mergeCell ref="E316:E317"/>
    <mergeCell ref="F316:F317"/>
    <mergeCell ref="F245:F247"/>
    <mergeCell ref="F338:F342"/>
    <mergeCell ref="G135:G136"/>
    <mergeCell ref="E132:E139"/>
    <mergeCell ref="E305:E314"/>
    <mergeCell ref="F305:F314"/>
    <mergeCell ref="G289:G290"/>
    <mergeCell ref="G263:G264"/>
    <mergeCell ref="G101:G102"/>
    <mergeCell ref="G72:G74"/>
    <mergeCell ref="G321:G328"/>
    <mergeCell ref="E174:E178"/>
    <mergeCell ref="F23:F27"/>
    <mergeCell ref="A407:A508"/>
    <mergeCell ref="E479:E500"/>
    <mergeCell ref="D479:D500"/>
    <mergeCell ref="B479:B500"/>
    <mergeCell ref="C479:C500"/>
    <mergeCell ref="S245:V245"/>
    <mergeCell ref="S255:V255"/>
    <mergeCell ref="J316:J317"/>
    <mergeCell ref="L5:L6"/>
    <mergeCell ref="G293:G294"/>
    <mergeCell ref="I293:I294"/>
    <mergeCell ref="F293:F294"/>
    <mergeCell ref="E293:E294"/>
    <mergeCell ref="E28:E37"/>
    <mergeCell ref="E212:E239"/>
    <mergeCell ref="E241:E242"/>
    <mergeCell ref="I140:I141"/>
    <mergeCell ref="F137:F138"/>
    <mergeCell ref="F140:F141"/>
    <mergeCell ref="I96:I99"/>
    <mergeCell ref="G96:G98"/>
    <mergeCell ref="F43:F50"/>
    <mergeCell ref="E43:E50"/>
    <mergeCell ref="I58:I61"/>
    <mergeCell ref="B174:B178"/>
    <mergeCell ref="C100:C102"/>
    <mergeCell ref="B96:B102"/>
    <mergeCell ref="A103:N103"/>
    <mergeCell ref="A104:A241"/>
    <mergeCell ref="I147:I159"/>
    <mergeCell ref="I174:I178"/>
    <mergeCell ref="E144:E146"/>
    <mergeCell ref="B132:B139"/>
    <mergeCell ref="C132:C139"/>
    <mergeCell ref="G203:G211"/>
    <mergeCell ref="G174:G178"/>
    <mergeCell ref="G164:G165"/>
    <mergeCell ref="F135:F136"/>
    <mergeCell ref="G133:G134"/>
    <mergeCell ref="F170:F172"/>
    <mergeCell ref="F164:F165"/>
    <mergeCell ref="A8:A101"/>
    <mergeCell ref="C174:C178"/>
    <mergeCell ref="D212:D242"/>
    <mergeCell ref="C212:C242"/>
    <mergeCell ref="D20:D22"/>
    <mergeCell ref="E20:E22"/>
    <mergeCell ref="F20:F22"/>
    <mergeCell ref="D436:D478"/>
    <mergeCell ref="E437:E478"/>
    <mergeCell ref="C368:C369"/>
    <mergeCell ref="B368:B369"/>
    <mergeCell ref="C400:C405"/>
    <mergeCell ref="B501:B508"/>
    <mergeCell ref="C501:C508"/>
    <mergeCell ref="B436:B478"/>
    <mergeCell ref="C436:C478"/>
    <mergeCell ref="E400:E405"/>
    <mergeCell ref="D367:D369"/>
    <mergeCell ref="E429:E435"/>
    <mergeCell ref="B407:B435"/>
    <mergeCell ref="D407:D428"/>
    <mergeCell ref="D429:D435"/>
    <mergeCell ref="B400:B405"/>
    <mergeCell ref="B370:B378"/>
    <mergeCell ref="E379:E399"/>
    <mergeCell ref="C379:C399"/>
    <mergeCell ref="B379:B399"/>
    <mergeCell ref="D379:D399"/>
    <mergeCell ref="C170:C172"/>
    <mergeCell ref="G43:G49"/>
    <mergeCell ref="I43:I49"/>
    <mergeCell ref="G51:G64"/>
    <mergeCell ref="F65:F83"/>
    <mergeCell ref="I65:I83"/>
    <mergeCell ref="B104:B128"/>
    <mergeCell ref="C104:C128"/>
    <mergeCell ref="D96:D102"/>
    <mergeCell ref="F147:F159"/>
    <mergeCell ref="B58:B61"/>
    <mergeCell ref="B62:B64"/>
    <mergeCell ref="C51:C55"/>
    <mergeCell ref="C58:C61"/>
    <mergeCell ref="E58:E61"/>
    <mergeCell ref="F58:F60"/>
    <mergeCell ref="B179:B180"/>
    <mergeCell ref="B189:B202"/>
    <mergeCell ref="B51:B55"/>
    <mergeCell ref="E502:E508"/>
    <mergeCell ref="G502:G508"/>
    <mergeCell ref="G479:G500"/>
    <mergeCell ref="F479:F500"/>
    <mergeCell ref="I479:I500"/>
    <mergeCell ref="G437:G440"/>
    <mergeCell ref="G441:G474"/>
    <mergeCell ref="G476:G478"/>
    <mergeCell ref="F476:F478"/>
    <mergeCell ref="F441:F474"/>
    <mergeCell ref="I441:I475"/>
    <mergeCell ref="F437:F440"/>
    <mergeCell ref="I437:I440"/>
    <mergeCell ref="I476:I478"/>
    <mergeCell ref="E142:E143"/>
    <mergeCell ref="E65:E83"/>
    <mergeCell ref="I142:I143"/>
    <mergeCell ref="F142:F143"/>
    <mergeCell ref="I137:I138"/>
    <mergeCell ref="B140:B169"/>
    <mergeCell ref="F431:F432"/>
    <mergeCell ref="C28:C37"/>
    <mergeCell ref="B28:B37"/>
    <mergeCell ref="B129:B131"/>
    <mergeCell ref="C129:C131"/>
    <mergeCell ref="E250:E280"/>
    <mergeCell ref="D104:D131"/>
    <mergeCell ref="F144:F146"/>
    <mergeCell ref="F160:F161"/>
    <mergeCell ref="F166:F167"/>
    <mergeCell ref="F168:F169"/>
    <mergeCell ref="E129:E131"/>
    <mergeCell ref="F129:F131"/>
    <mergeCell ref="E84:E95"/>
    <mergeCell ref="F133:F134"/>
    <mergeCell ref="E170:E172"/>
    <mergeCell ref="D170:D172"/>
    <mergeCell ref="B170:B172"/>
    <mergeCell ref="C181:C184"/>
    <mergeCell ref="C203:C211"/>
    <mergeCell ref="E100:E102"/>
    <mergeCell ref="F100:F102"/>
    <mergeCell ref="D65:D95"/>
    <mergeCell ref="C189:C202"/>
    <mergeCell ref="C250:C280"/>
    <mergeCell ref="S243:V243"/>
    <mergeCell ref="S103:V103"/>
    <mergeCell ref="B43:B50"/>
    <mergeCell ref="C43:C50"/>
    <mergeCell ref="J305:J314"/>
    <mergeCell ref="E298:E299"/>
    <mergeCell ref="G298:G299"/>
    <mergeCell ref="E289:E291"/>
    <mergeCell ref="J164:J165"/>
    <mergeCell ref="I255:I261"/>
    <mergeCell ref="G255:G261"/>
    <mergeCell ref="I236:I238"/>
    <mergeCell ref="I245:I247"/>
    <mergeCell ref="G245:G247"/>
    <mergeCell ref="F262:F280"/>
    <mergeCell ref="G265:G266"/>
    <mergeCell ref="I182:I184"/>
    <mergeCell ref="F212:F235"/>
    <mergeCell ref="G182:G184"/>
    <mergeCell ref="F189:F202"/>
    <mergeCell ref="E140:E141"/>
    <mergeCell ref="C96:C99"/>
    <mergeCell ref="G76:G77"/>
    <mergeCell ref="D51:D64"/>
    <mergeCell ref="G23:G27"/>
    <mergeCell ref="F84:F91"/>
    <mergeCell ref="G104:G131"/>
    <mergeCell ref="I104:I131"/>
    <mergeCell ref="H133:H134"/>
    <mergeCell ref="H135:H136"/>
    <mergeCell ref="I92:I94"/>
    <mergeCell ref="E104:E128"/>
    <mergeCell ref="F104:F128"/>
    <mergeCell ref="I28:I33"/>
    <mergeCell ref="I84:I91"/>
    <mergeCell ref="I100:I102"/>
    <mergeCell ref="I62:I64"/>
    <mergeCell ref="B8:B14"/>
    <mergeCell ref="C65:C95"/>
    <mergeCell ref="B65:B95"/>
    <mergeCell ref="C8:C14"/>
    <mergeCell ref="D8:D14"/>
    <mergeCell ref="G8:G14"/>
    <mergeCell ref="I38:I42"/>
    <mergeCell ref="F38:F42"/>
    <mergeCell ref="E38:E42"/>
    <mergeCell ref="I35:I36"/>
    <mergeCell ref="I8:I14"/>
    <mergeCell ref="E8:E14"/>
    <mergeCell ref="F8:F14"/>
    <mergeCell ref="I23:I27"/>
    <mergeCell ref="F35:F36"/>
    <mergeCell ref="G70:G71"/>
    <mergeCell ref="C62:C64"/>
    <mergeCell ref="E62:E64"/>
    <mergeCell ref="F15:F16"/>
    <mergeCell ref="E15:E16"/>
    <mergeCell ref="I20:I22"/>
    <mergeCell ref="I15:I16"/>
    <mergeCell ref="I17:I19"/>
    <mergeCell ref="E17:E19"/>
    <mergeCell ref="J78:J79"/>
    <mergeCell ref="D43:D50"/>
    <mergeCell ref="F92:F94"/>
    <mergeCell ref="B38:B42"/>
    <mergeCell ref="C38:C42"/>
    <mergeCell ref="G38:G42"/>
    <mergeCell ref="C15:C16"/>
    <mergeCell ref="B15:B19"/>
    <mergeCell ref="C17:C19"/>
    <mergeCell ref="G15:G16"/>
    <mergeCell ref="G17:G19"/>
    <mergeCell ref="D23:D27"/>
    <mergeCell ref="D38:D42"/>
    <mergeCell ref="G28:G33"/>
    <mergeCell ref="F28:F33"/>
    <mergeCell ref="E23:E27"/>
    <mergeCell ref="C23:C27"/>
    <mergeCell ref="B23:B27"/>
    <mergeCell ref="D28:D37"/>
    <mergeCell ref="D15:D19"/>
    <mergeCell ref="F51:F57"/>
    <mergeCell ref="E51:E57"/>
    <mergeCell ref="I51:I57"/>
    <mergeCell ref="F17:F19"/>
    <mergeCell ref="AF5:AH5"/>
    <mergeCell ref="A1:AG4"/>
    <mergeCell ref="J5:J6"/>
    <mergeCell ref="M5:M6"/>
    <mergeCell ref="N5:N6"/>
    <mergeCell ref="F5:F6"/>
    <mergeCell ref="A5:A6"/>
    <mergeCell ref="B5:B6"/>
    <mergeCell ref="C5:C6"/>
    <mergeCell ref="P5:P6"/>
    <mergeCell ref="K5:K6"/>
    <mergeCell ref="D5:D6"/>
    <mergeCell ref="E5:E6"/>
    <mergeCell ref="Q5:Q6"/>
    <mergeCell ref="O5:O6"/>
    <mergeCell ref="H5:H6"/>
    <mergeCell ref="G5:G6"/>
    <mergeCell ref="I5:I6"/>
    <mergeCell ref="Z5:AB5"/>
    <mergeCell ref="AC5:AE5"/>
    <mergeCell ref="Y512:Y513"/>
    <mergeCell ref="R5:R6"/>
    <mergeCell ref="W5:Y5"/>
    <mergeCell ref="S5:V5"/>
    <mergeCell ref="A512:I513"/>
    <mergeCell ref="D174:D178"/>
    <mergeCell ref="D132:D169"/>
    <mergeCell ref="D181:D211"/>
    <mergeCell ref="D289:D304"/>
    <mergeCell ref="A406:N406"/>
    <mergeCell ref="A244:A397"/>
    <mergeCell ref="G379:G387"/>
    <mergeCell ref="G388:G392"/>
    <mergeCell ref="E96:E99"/>
    <mergeCell ref="F96:F99"/>
    <mergeCell ref="S512:T513"/>
    <mergeCell ref="A509:N509"/>
    <mergeCell ref="J512:R513"/>
    <mergeCell ref="D338:D343"/>
    <mergeCell ref="A243:N243"/>
    <mergeCell ref="G400:G401"/>
    <mergeCell ref="J379:J387"/>
    <mergeCell ref="I283:I284"/>
    <mergeCell ref="U512:X513"/>
    <mergeCell ref="J388:J392"/>
    <mergeCell ref="D344:D366"/>
    <mergeCell ref="G370:G378"/>
    <mergeCell ref="F370:F378"/>
    <mergeCell ref="E370:E378"/>
    <mergeCell ref="I416:I428"/>
    <mergeCell ref="F413:F415"/>
    <mergeCell ref="F416:F428"/>
    <mergeCell ref="E413:E428"/>
    <mergeCell ref="I413:I415"/>
    <mergeCell ref="E407:E412"/>
    <mergeCell ref="J352:J361"/>
    <mergeCell ref="I362:I364"/>
    <mergeCell ref="G363:G364"/>
    <mergeCell ref="F347:F350"/>
    <mergeCell ref="G347:G350"/>
    <mergeCell ref="F407:F411"/>
    <mergeCell ref="I379:I399"/>
    <mergeCell ref="F379:F399"/>
    <mergeCell ref="S509:V509"/>
    <mergeCell ref="I400:I402"/>
    <mergeCell ref="I370:I378"/>
    <mergeCell ref="D370:D378"/>
    <mergeCell ref="E365:E366"/>
    <mergeCell ref="F502:F508"/>
    <mergeCell ref="D501:D508"/>
    <mergeCell ref="I502:I508"/>
    <mergeCell ref="C140:C169"/>
    <mergeCell ref="F434:F435"/>
    <mergeCell ref="C407:C435"/>
    <mergeCell ref="C370:C378"/>
    <mergeCell ref="C329:C332"/>
    <mergeCell ref="I403:I405"/>
    <mergeCell ref="I431:I432"/>
    <mergeCell ref="G267:G269"/>
    <mergeCell ref="G277:G280"/>
    <mergeCell ref="G352:G361"/>
    <mergeCell ref="G305:G314"/>
    <mergeCell ref="I305:I314"/>
    <mergeCell ref="I289:I290"/>
    <mergeCell ref="E283:E284"/>
    <mergeCell ref="F345:F346"/>
    <mergeCell ref="E347:E350"/>
    <mergeCell ref="B203:B211"/>
    <mergeCell ref="B181:B184"/>
    <mergeCell ref="B300:B304"/>
    <mergeCell ref="B316:B320"/>
    <mergeCell ref="C316:C320"/>
    <mergeCell ref="B305:B314"/>
    <mergeCell ref="C305:C314"/>
    <mergeCell ref="B321:B328"/>
    <mergeCell ref="C321:C328"/>
    <mergeCell ref="C287:C288"/>
    <mergeCell ref="B365:B366"/>
    <mergeCell ref="C365:C366"/>
    <mergeCell ref="B185:B188"/>
    <mergeCell ref="E189:E202"/>
    <mergeCell ref="D400:D405"/>
    <mergeCell ref="C185:C188"/>
    <mergeCell ref="F400:F405"/>
    <mergeCell ref="E321:E328"/>
    <mergeCell ref="F321:F328"/>
    <mergeCell ref="D282:D288"/>
    <mergeCell ref="D321:D337"/>
    <mergeCell ref="F365:F366"/>
    <mergeCell ref="E362:E364"/>
    <mergeCell ref="F362:F364"/>
    <mergeCell ref="E331:E332"/>
    <mergeCell ref="E318:E319"/>
    <mergeCell ref="E352:E361"/>
    <mergeCell ref="F352:F361"/>
    <mergeCell ref="D305:D320"/>
    <mergeCell ref="E338:E342"/>
    <mergeCell ref="F298:F299"/>
    <mergeCell ref="F331:F332"/>
    <mergeCell ref="E285:E286"/>
    <mergeCell ref="F285:F286"/>
    <mergeCell ref="I160:I161"/>
    <mergeCell ref="F283:F284"/>
    <mergeCell ref="G189:G191"/>
    <mergeCell ref="G186:G187"/>
    <mergeCell ref="E185:E187"/>
    <mergeCell ref="E147:E169"/>
    <mergeCell ref="E181:E184"/>
    <mergeCell ref="F182:F184"/>
    <mergeCell ref="F255:F261"/>
    <mergeCell ref="I263:I280"/>
    <mergeCell ref="I250:I253"/>
    <mergeCell ref="I166:I167"/>
    <mergeCell ref="I212:I235"/>
    <mergeCell ref="F203:F211"/>
    <mergeCell ref="F174:F178"/>
    <mergeCell ref="F236:F239"/>
    <mergeCell ref="I168:I169"/>
    <mergeCell ref="F250:F253"/>
    <mergeCell ref="G250:G253"/>
    <mergeCell ref="K407:K411"/>
    <mergeCell ref="C245:C249"/>
    <mergeCell ref="B245:B249"/>
    <mergeCell ref="B250:B280"/>
    <mergeCell ref="B212:B242"/>
    <mergeCell ref="C338:C342"/>
    <mergeCell ref="B338:B342"/>
    <mergeCell ref="B282:B288"/>
    <mergeCell ref="C293:C297"/>
    <mergeCell ref="C289:C291"/>
    <mergeCell ref="B289:B291"/>
    <mergeCell ref="B293:B299"/>
    <mergeCell ref="C298:C299"/>
    <mergeCell ref="B329:B334"/>
    <mergeCell ref="C333:C334"/>
    <mergeCell ref="B335:B336"/>
    <mergeCell ref="C302:C303"/>
    <mergeCell ref="C282:C286"/>
    <mergeCell ref="F333:F334"/>
    <mergeCell ref="G316:G317"/>
    <mergeCell ref="E287:E288"/>
    <mergeCell ref="E368:E369"/>
    <mergeCell ref="F289:F290"/>
    <mergeCell ref="G333:G334"/>
    <mergeCell ref="D244:D249"/>
    <mergeCell ref="E245:E249"/>
    <mergeCell ref="I368:I369"/>
    <mergeCell ref="F368:F369"/>
    <mergeCell ref="G338:G342"/>
    <mergeCell ref="I347:I350"/>
    <mergeCell ref="I189:I202"/>
    <mergeCell ref="I203:I211"/>
    <mergeCell ref="I170:I172"/>
    <mergeCell ref="G170:G171"/>
    <mergeCell ref="D179:D180"/>
    <mergeCell ref="E203:E211"/>
    <mergeCell ref="E333:E334"/>
    <mergeCell ref="D250:D281"/>
  </mergeCells>
  <conditionalFormatting sqref="Q509">
    <cfRule type="colorScale" priority="616">
      <colorScale>
        <cfvo type="num" val="50"/>
        <cfvo type="num" val="70"/>
        <cfvo type="num" val="90"/>
        <color rgb="FFF8696B"/>
        <color rgb="FFFFEB84"/>
        <color rgb="FF63BE7B"/>
      </colorScale>
    </cfRule>
    <cfRule type="colorScale" priority="617">
      <colorScale>
        <cfvo type="min"/>
        <cfvo type="percentile" val="50"/>
        <cfvo type="max"/>
        <color rgb="FFF8696B"/>
        <color rgb="FFFFEB84"/>
        <color rgb="FF63BE7B"/>
      </colorScale>
    </cfRule>
  </conditionalFormatting>
  <conditionalFormatting sqref="R509">
    <cfRule type="colorScale" priority="593">
      <colorScale>
        <cfvo type="num" val="50"/>
        <cfvo type="num" val="70"/>
        <cfvo type="num" val="90"/>
        <color rgb="FFF8696B"/>
        <color rgb="FFFFEB84"/>
        <color rgb="FF63BE7B"/>
      </colorScale>
    </cfRule>
    <cfRule type="colorScale" priority="594">
      <colorScale>
        <cfvo type="min"/>
        <cfvo type="percentile" val="50"/>
        <cfvo type="max"/>
        <color rgb="FFF8696B"/>
        <color rgb="FFFFEB84"/>
        <color rgb="FF63BE7B"/>
      </colorScale>
    </cfRule>
  </conditionalFormatting>
  <conditionalFormatting sqref="X8:X14">
    <cfRule type="iconSet" priority="547">
      <iconSet iconSet="3Symbols">
        <cfvo type="percent" val="0"/>
        <cfvo type="percent" val="33"/>
        <cfvo type="percent" val="67"/>
      </iconSet>
    </cfRule>
  </conditionalFormatting>
  <conditionalFormatting sqref="Z233:Z234">
    <cfRule type="iconSet" priority="536">
      <iconSet iconSet="3Symbols" showValue="0">
        <cfvo type="percent" val="0"/>
        <cfvo type="num" val="65"/>
        <cfvo type="num" val="90"/>
      </iconSet>
    </cfRule>
  </conditionalFormatting>
  <conditionalFormatting sqref="Z227:Z228 Z221:Z224">
    <cfRule type="iconSet" priority="531">
      <iconSet iconSet="3Symbols" showValue="0">
        <cfvo type="percent" val="0"/>
        <cfvo type="num" val="65"/>
        <cfvo type="num" val="90"/>
      </iconSet>
    </cfRule>
  </conditionalFormatting>
  <conditionalFormatting sqref="Z225:Z226">
    <cfRule type="iconSet" priority="526">
      <iconSet iconSet="3Symbols" showValue="0">
        <cfvo type="percent" val="0"/>
        <cfvo type="num" val="65"/>
        <cfvo type="num" val="90"/>
      </iconSet>
    </cfRule>
  </conditionalFormatting>
  <conditionalFormatting sqref="Z219:Z220 Z214:Z216">
    <cfRule type="iconSet" priority="521">
      <iconSet iconSet="3Symbols" showValue="0">
        <cfvo type="percent" val="0"/>
        <cfvo type="num" val="65"/>
        <cfvo type="num" val="90"/>
      </iconSet>
    </cfRule>
  </conditionalFormatting>
  <conditionalFormatting sqref="Z217:Z218">
    <cfRule type="iconSet" priority="516">
      <iconSet iconSet="3Symbols" showValue="0">
        <cfvo type="percent" val="0"/>
        <cfvo type="num" val="65"/>
        <cfvo type="num" val="90"/>
      </iconSet>
    </cfRule>
  </conditionalFormatting>
  <conditionalFormatting sqref="Z67:Z75">
    <cfRule type="iconSet" priority="501">
      <iconSet iconSet="3Symbols" showValue="0">
        <cfvo type="percent" val="0"/>
        <cfvo type="num" val="65"/>
        <cfvo type="num" val="90"/>
      </iconSet>
    </cfRule>
  </conditionalFormatting>
  <conditionalFormatting sqref="Z212:Z213">
    <cfRule type="iconSet" priority="1930">
      <iconSet iconSet="3Symbols" showValue="0">
        <cfvo type="percent" val="0"/>
        <cfvo type="num" val="65"/>
        <cfvo type="num" val="90"/>
      </iconSet>
    </cfRule>
  </conditionalFormatting>
  <conditionalFormatting sqref="Z392">
    <cfRule type="iconSet" priority="479">
      <iconSet iconSet="3Symbols" showValue="0">
        <cfvo type="percent" val="0"/>
        <cfvo type="num" val="65"/>
        <cfvo type="num" val="90"/>
      </iconSet>
    </cfRule>
  </conditionalFormatting>
  <conditionalFormatting sqref="Z391">
    <cfRule type="iconSet" priority="474">
      <iconSet iconSet="3Symbols" showValue="0">
        <cfvo type="percent" val="0"/>
        <cfvo type="num" val="65"/>
        <cfvo type="num" val="90"/>
      </iconSet>
    </cfRule>
  </conditionalFormatting>
  <conditionalFormatting sqref="Z207:Z210">
    <cfRule type="iconSet" priority="469">
      <iconSet iconSet="3Symbols" showValue="0">
        <cfvo type="percent" val="0"/>
        <cfvo type="num" val="65"/>
        <cfvo type="num" val="90"/>
      </iconSet>
    </cfRule>
  </conditionalFormatting>
  <conditionalFormatting sqref="Z405">
    <cfRule type="iconSet" priority="454">
      <iconSet iconSet="3Symbols" showValue="0">
        <cfvo type="percent" val="0"/>
        <cfvo type="num" val="65"/>
        <cfvo type="num" val="90"/>
      </iconSet>
    </cfRule>
  </conditionalFormatting>
  <conditionalFormatting sqref="Z400:Z404">
    <cfRule type="iconSet" priority="449">
      <iconSet iconSet="3Symbols" showValue="0">
        <cfvo type="percent" val="0"/>
        <cfvo type="num" val="65"/>
        <cfvo type="num" val="90"/>
      </iconSet>
    </cfRule>
  </conditionalFormatting>
  <conditionalFormatting sqref="Z397:Z399 Z386:Z389">
    <cfRule type="iconSet" priority="2060">
      <iconSet iconSet="3Symbols" showValue="0">
        <cfvo type="percent" val="0"/>
        <cfvo type="num" val="65"/>
        <cfvo type="num" val="90"/>
      </iconSet>
    </cfRule>
  </conditionalFormatting>
  <conditionalFormatting sqref="Z114:Z117">
    <cfRule type="iconSet" priority="413">
      <iconSet iconSet="3Symbols" showValue="0">
        <cfvo type="percent" val="0"/>
        <cfvo type="num" val="65"/>
        <cfvo type="num" val="90"/>
      </iconSet>
    </cfRule>
  </conditionalFormatting>
  <conditionalFormatting sqref="Z111:Z113">
    <cfRule type="iconSet" priority="408">
      <iconSet iconSet="3Symbols" showValue="0">
        <cfvo type="percent" val="0"/>
        <cfvo type="num" val="65"/>
        <cfvo type="num" val="90"/>
      </iconSet>
    </cfRule>
  </conditionalFormatting>
  <conditionalFormatting sqref="Q406">
    <cfRule type="colorScale" priority="406">
      <colorScale>
        <cfvo type="num" val="50"/>
        <cfvo type="num" val="70"/>
        <cfvo type="num" val="90"/>
        <color rgb="FFF8696B"/>
        <color rgb="FFFFEB84"/>
        <color rgb="FF63BE7B"/>
      </colorScale>
    </cfRule>
    <cfRule type="colorScale" priority="407">
      <colorScale>
        <cfvo type="min"/>
        <cfvo type="percentile" val="50"/>
        <cfvo type="max"/>
        <color rgb="FFF8696B"/>
        <color rgb="FFFFEB84"/>
        <color rgb="FF63BE7B"/>
      </colorScale>
    </cfRule>
  </conditionalFormatting>
  <conditionalFormatting sqref="R406">
    <cfRule type="colorScale" priority="404">
      <colorScale>
        <cfvo type="num" val="50"/>
        <cfvo type="num" val="70"/>
        <cfvo type="num" val="90"/>
        <color rgb="FFF8696B"/>
        <color rgb="FFFFEB84"/>
        <color rgb="FF63BE7B"/>
      </colorScale>
    </cfRule>
    <cfRule type="colorScale" priority="405">
      <colorScale>
        <cfvo type="min"/>
        <cfvo type="percentile" val="50"/>
        <cfvo type="max"/>
        <color rgb="FFF8696B"/>
        <color rgb="FFFFEB84"/>
        <color rgb="FF63BE7B"/>
      </colorScale>
    </cfRule>
  </conditionalFormatting>
  <conditionalFormatting sqref="Q243">
    <cfRule type="colorScale" priority="402">
      <colorScale>
        <cfvo type="num" val="50"/>
        <cfvo type="num" val="70"/>
        <cfvo type="num" val="90"/>
        <color rgb="FFF8696B"/>
        <color rgb="FFFFEB84"/>
        <color rgb="FF63BE7B"/>
      </colorScale>
    </cfRule>
    <cfRule type="colorScale" priority="403">
      <colorScale>
        <cfvo type="min"/>
        <cfvo type="percentile" val="50"/>
        <cfvo type="max"/>
        <color rgb="FFF8696B"/>
        <color rgb="FFFFEB84"/>
        <color rgb="FF63BE7B"/>
      </colorScale>
    </cfRule>
  </conditionalFormatting>
  <conditionalFormatting sqref="R243">
    <cfRule type="colorScale" priority="400">
      <colorScale>
        <cfvo type="num" val="50"/>
        <cfvo type="num" val="70"/>
        <cfvo type="num" val="90"/>
        <color rgb="FFF8696B"/>
        <color rgb="FFFFEB84"/>
        <color rgb="FF63BE7B"/>
      </colorScale>
    </cfRule>
    <cfRule type="colorScale" priority="401">
      <colorScale>
        <cfvo type="min"/>
        <cfvo type="percentile" val="50"/>
        <cfvo type="max"/>
        <color rgb="FFF8696B"/>
        <color rgb="FFFFEB84"/>
        <color rgb="FF63BE7B"/>
      </colorScale>
    </cfRule>
  </conditionalFormatting>
  <conditionalFormatting sqref="Z320">
    <cfRule type="iconSet" priority="2690">
      <iconSet iconSet="3Symbols" showValue="0">
        <cfvo type="percent" val="0"/>
        <cfvo type="num" val="65"/>
        <cfvo type="num" val="90"/>
      </iconSet>
    </cfRule>
  </conditionalFormatting>
  <conditionalFormatting sqref="Z299">
    <cfRule type="iconSet" priority="381">
      <iconSet iconSet="3Symbols" showValue="0">
        <cfvo type="percent" val="0"/>
        <cfvo type="num" val="65"/>
        <cfvo type="num" val="90"/>
      </iconSet>
    </cfRule>
  </conditionalFormatting>
  <conditionalFormatting sqref="Z291">
    <cfRule type="iconSet" priority="376">
      <iconSet iconSet="3Symbols" showValue="0">
        <cfvo type="percent" val="0"/>
        <cfvo type="num" val="65"/>
        <cfvo type="num" val="90"/>
      </iconSet>
    </cfRule>
  </conditionalFormatting>
  <conditionalFormatting sqref="Z328">
    <cfRule type="iconSet" priority="361">
      <iconSet iconSet="3Symbols" showValue="0">
        <cfvo type="percent" val="0"/>
        <cfvo type="num" val="65"/>
        <cfvo type="num" val="90"/>
      </iconSet>
    </cfRule>
  </conditionalFormatting>
  <conditionalFormatting sqref="Z353:Z355">
    <cfRule type="iconSet" priority="2937">
      <iconSet iconSet="3Symbols" showValue="0">
        <cfvo type="percent" val="0"/>
        <cfvo type="num" val="65"/>
        <cfvo type="num" val="90"/>
      </iconSet>
    </cfRule>
  </conditionalFormatting>
  <conditionalFormatting sqref="Z356">
    <cfRule type="iconSet" priority="321">
      <iconSet iconSet="3Symbols" showValue="0">
        <cfvo type="percent" val="0"/>
        <cfvo type="num" val="65"/>
        <cfvo type="num" val="90"/>
      </iconSet>
    </cfRule>
  </conditionalFormatting>
  <conditionalFormatting sqref="Z357:Z361">
    <cfRule type="iconSet" priority="316">
      <iconSet iconSet="3Symbols" showValue="0">
        <cfvo type="percent" val="0"/>
        <cfvo type="num" val="65"/>
        <cfvo type="num" val="90"/>
      </iconSet>
    </cfRule>
  </conditionalFormatting>
  <conditionalFormatting sqref="Z363:Z364">
    <cfRule type="iconSet" priority="311">
      <iconSet iconSet="3Symbols" showValue="0">
        <cfvo type="percent" val="0"/>
        <cfvo type="num" val="65"/>
        <cfvo type="num" val="90"/>
      </iconSet>
    </cfRule>
  </conditionalFormatting>
  <conditionalFormatting sqref="Z315">
    <cfRule type="iconSet" priority="286">
      <iconSet iconSet="3Symbols" showValue="0">
        <cfvo type="percent" val="0"/>
        <cfvo type="num" val="65"/>
        <cfvo type="num" val="90"/>
      </iconSet>
    </cfRule>
  </conditionalFormatting>
  <conditionalFormatting sqref="Z316:Z317 Z310:Z314">
    <cfRule type="iconSet" priority="3513">
      <iconSet iconSet="3Symbols" showValue="0">
        <cfvo type="percent" val="0"/>
        <cfvo type="num" val="65"/>
        <cfvo type="num" val="90"/>
      </iconSet>
    </cfRule>
  </conditionalFormatting>
  <conditionalFormatting sqref="Z318:Z319">
    <cfRule type="iconSet" priority="281">
      <iconSet iconSet="3Symbols" showValue="0">
        <cfvo type="percent" val="0"/>
        <cfvo type="num" val="65"/>
        <cfvo type="num" val="90"/>
      </iconSet>
    </cfRule>
  </conditionalFormatting>
  <conditionalFormatting sqref="Z331:Z332">
    <cfRule type="iconSet" priority="276">
      <iconSet iconSet="3Symbols" showValue="0">
        <cfvo type="percent" val="0"/>
        <cfvo type="num" val="65"/>
        <cfvo type="num" val="90"/>
      </iconSet>
    </cfRule>
  </conditionalFormatting>
  <conditionalFormatting sqref="Z336">
    <cfRule type="iconSet" priority="271">
      <iconSet iconSet="3Symbols" showValue="0">
        <cfvo type="percent" val="0"/>
        <cfvo type="num" val="65"/>
        <cfvo type="num" val="90"/>
      </iconSet>
    </cfRule>
  </conditionalFormatting>
  <conditionalFormatting sqref="Z333">
    <cfRule type="iconSet" priority="266">
      <iconSet iconSet="3Symbols" showValue="0">
        <cfvo type="percent" val="0"/>
        <cfvo type="num" val="65"/>
        <cfvo type="num" val="90"/>
      </iconSet>
    </cfRule>
  </conditionalFormatting>
  <conditionalFormatting sqref="Z334">
    <cfRule type="iconSet" priority="261">
      <iconSet iconSet="3Symbols" showValue="0">
        <cfvo type="percent" val="0"/>
        <cfvo type="num" val="65"/>
        <cfvo type="num" val="90"/>
      </iconSet>
    </cfRule>
  </conditionalFormatting>
  <conditionalFormatting sqref="Z345 Z347:Z350">
    <cfRule type="iconSet" priority="236">
      <iconSet iconSet="3Symbols" showValue="0">
        <cfvo type="percent" val="0"/>
        <cfvo type="num" val="65"/>
        <cfvo type="num" val="90"/>
      </iconSet>
    </cfRule>
  </conditionalFormatting>
  <conditionalFormatting sqref="Z346">
    <cfRule type="iconSet" priority="237">
      <iconSet iconSet="3Symbols" showValue="0">
        <cfvo type="percent" val="0"/>
        <cfvo type="num" val="65"/>
        <cfvo type="num" val="90"/>
      </iconSet>
    </cfRule>
  </conditionalFormatting>
  <conditionalFormatting sqref="Z351">
    <cfRule type="iconSet" priority="242">
      <iconSet iconSet="3Symbols" showValue="0">
        <cfvo type="percent" val="0"/>
        <cfvo type="num" val="65"/>
        <cfvo type="num" val="90"/>
      </iconSet>
    </cfRule>
  </conditionalFormatting>
  <conditionalFormatting sqref="Z462:Z464">
    <cfRule type="iconSet" priority="231">
      <iconSet iconSet="3Symbols" showValue="0">
        <cfvo type="percent" val="0"/>
        <cfvo type="num" val="65"/>
        <cfvo type="num" val="90"/>
      </iconSet>
    </cfRule>
  </conditionalFormatting>
  <conditionalFormatting sqref="Z459:Z461">
    <cfRule type="iconSet" priority="226">
      <iconSet iconSet="3Symbols" showValue="0">
        <cfvo type="percent" val="0"/>
        <cfvo type="num" val="65"/>
        <cfvo type="num" val="90"/>
      </iconSet>
    </cfRule>
  </conditionalFormatting>
  <conditionalFormatting sqref="Z456:Z458">
    <cfRule type="iconSet" priority="221">
      <iconSet iconSet="3Symbols" showValue="0">
        <cfvo type="percent" val="0"/>
        <cfvo type="num" val="65"/>
        <cfvo type="num" val="90"/>
      </iconSet>
    </cfRule>
  </conditionalFormatting>
  <conditionalFormatting sqref="Z451:Z453">
    <cfRule type="iconSet" priority="211">
      <iconSet iconSet="3Symbols" showValue="0">
        <cfvo type="percent" val="0"/>
        <cfvo type="num" val="65"/>
        <cfvo type="num" val="90"/>
      </iconSet>
    </cfRule>
  </conditionalFormatting>
  <conditionalFormatting sqref="Z474">
    <cfRule type="iconSet" priority="201">
      <iconSet iconSet="3Symbols" showValue="0">
        <cfvo type="percent" val="0"/>
        <cfvo type="num" val="65"/>
        <cfvo type="num" val="90"/>
      </iconSet>
    </cfRule>
  </conditionalFormatting>
  <conditionalFormatting sqref="Z472:Z473">
    <cfRule type="iconSet" priority="196">
      <iconSet iconSet="3Symbols" showValue="0">
        <cfvo type="percent" val="0"/>
        <cfvo type="num" val="65"/>
        <cfvo type="num" val="90"/>
      </iconSet>
    </cfRule>
  </conditionalFormatting>
  <conditionalFormatting sqref="Z471">
    <cfRule type="iconSet" priority="191">
      <iconSet iconSet="3Symbols" showValue="0">
        <cfvo type="percent" val="0"/>
        <cfvo type="num" val="65"/>
        <cfvo type="num" val="90"/>
      </iconSet>
    </cfRule>
  </conditionalFormatting>
  <conditionalFormatting sqref="Z469:Z470">
    <cfRule type="iconSet" priority="186">
      <iconSet iconSet="3Symbols" showValue="0">
        <cfvo type="percent" val="0"/>
        <cfvo type="num" val="65"/>
        <cfvo type="num" val="90"/>
      </iconSet>
    </cfRule>
  </conditionalFormatting>
  <conditionalFormatting sqref="Z509 Z475:Z479 Z436:Z450 Z406:Z431 Z235:Z236 Z8:Z47 Z229:Z232 Z76:Z108 Z211 Z150:Z154 Z170:Z172 Z243:Z255 Z130:Z132 Z321:Z326 Z300:Z309 Z292:Z294 Z329:Z330 Z337:Z344 Z362 Z365:Z368 Z296:Z298 Z335 Z352 Z465:Z468 Z501:Z502 Z50 Z65:Z66 Z174:Z206 Z370:Z385 Z258:Z290">
    <cfRule type="iconSet" priority="3615">
      <iconSet iconSet="3Symbols" showValue="0">
        <cfvo type="percent" val="0"/>
        <cfvo type="num" val="65"/>
        <cfvo type="num" val="90"/>
      </iconSet>
    </cfRule>
  </conditionalFormatting>
  <conditionalFormatting sqref="Z499:Z500">
    <cfRule type="iconSet" priority="126">
      <iconSet iconSet="3Symbols" showValue="0">
        <cfvo type="percent" val="0"/>
        <cfvo type="num" val="65"/>
        <cfvo type="num" val="90"/>
      </iconSet>
    </cfRule>
  </conditionalFormatting>
  <conditionalFormatting sqref="Z498">
    <cfRule type="iconSet" priority="121">
      <iconSet iconSet="3Symbols" showValue="0">
        <cfvo type="percent" val="0"/>
        <cfvo type="num" val="65"/>
        <cfvo type="num" val="90"/>
      </iconSet>
    </cfRule>
  </conditionalFormatting>
  <conditionalFormatting sqref="Z496:Z497">
    <cfRule type="iconSet" priority="116">
      <iconSet iconSet="3Symbols" showValue="0">
        <cfvo type="percent" val="0"/>
        <cfvo type="num" val="65"/>
        <cfvo type="num" val="90"/>
      </iconSet>
    </cfRule>
  </conditionalFormatting>
  <conditionalFormatting sqref="Z494:Z495">
    <cfRule type="iconSet" priority="111">
      <iconSet iconSet="3Symbols" showValue="0">
        <cfvo type="percent" val="0"/>
        <cfvo type="num" val="65"/>
        <cfvo type="num" val="90"/>
      </iconSet>
    </cfRule>
  </conditionalFormatting>
  <conditionalFormatting sqref="Z492:Z493">
    <cfRule type="iconSet" priority="106">
      <iconSet iconSet="3Symbols" showValue="0">
        <cfvo type="percent" val="0"/>
        <cfvo type="num" val="65"/>
        <cfvo type="num" val="90"/>
      </iconSet>
    </cfRule>
  </conditionalFormatting>
  <conditionalFormatting sqref="Z491">
    <cfRule type="iconSet" priority="101">
      <iconSet iconSet="3Symbols" showValue="0">
        <cfvo type="percent" val="0"/>
        <cfvo type="num" val="65"/>
        <cfvo type="num" val="90"/>
      </iconSet>
    </cfRule>
  </conditionalFormatting>
  <conditionalFormatting sqref="Z489:Z490">
    <cfRule type="iconSet" priority="96">
      <iconSet iconSet="3Symbols" showValue="0">
        <cfvo type="percent" val="0"/>
        <cfvo type="num" val="65"/>
        <cfvo type="num" val="90"/>
      </iconSet>
    </cfRule>
  </conditionalFormatting>
  <conditionalFormatting sqref="Z487:Z488">
    <cfRule type="iconSet" priority="91">
      <iconSet iconSet="3Symbols" showValue="0">
        <cfvo type="percent" val="0"/>
        <cfvo type="num" val="65"/>
        <cfvo type="num" val="90"/>
      </iconSet>
    </cfRule>
  </conditionalFormatting>
  <conditionalFormatting sqref="Z485:Z486">
    <cfRule type="iconSet" priority="86">
      <iconSet iconSet="3Symbols" showValue="0">
        <cfvo type="percent" val="0"/>
        <cfvo type="num" val="65"/>
        <cfvo type="num" val="90"/>
      </iconSet>
    </cfRule>
  </conditionalFormatting>
  <conditionalFormatting sqref="Z484">
    <cfRule type="iconSet" priority="81">
      <iconSet iconSet="3Symbols" showValue="0">
        <cfvo type="percent" val="0"/>
        <cfvo type="num" val="65"/>
        <cfvo type="num" val="90"/>
      </iconSet>
    </cfRule>
  </conditionalFormatting>
  <conditionalFormatting sqref="Z480:Z481">
    <cfRule type="iconSet" priority="66">
      <iconSet iconSet="3Symbols" showValue="0">
        <cfvo type="percent" val="0"/>
        <cfvo type="num" val="65"/>
        <cfvo type="num" val="90"/>
      </iconSet>
    </cfRule>
  </conditionalFormatting>
  <conditionalFormatting sqref="Z48:Z49">
    <cfRule type="iconSet" priority="61">
      <iconSet iconSet="3Symbols" showValue="0">
        <cfvo type="percent" val="0"/>
        <cfvo type="num" val="65"/>
        <cfvo type="num" val="90"/>
      </iconSet>
    </cfRule>
  </conditionalFormatting>
  <conditionalFormatting sqref="Z60:Z63">
    <cfRule type="iconSet" priority="36">
      <iconSet iconSet="3Symbols" showValue="0">
        <cfvo type="percent" val="0"/>
        <cfvo type="num" val="65"/>
        <cfvo type="num" val="90"/>
      </iconSet>
    </cfRule>
  </conditionalFormatting>
  <conditionalFormatting sqref="Z54:Z59">
    <cfRule type="iconSet" priority="31">
      <iconSet iconSet="3Symbols" showValue="0">
        <cfvo type="percent" val="0"/>
        <cfvo type="num" val="65"/>
        <cfvo type="num" val="90"/>
      </iconSet>
    </cfRule>
  </conditionalFormatting>
  <conditionalFormatting sqref="Z51:Z53">
    <cfRule type="iconSet" priority="26">
      <iconSet iconSet="3Symbols" showValue="0">
        <cfvo type="percent" val="0"/>
        <cfvo type="num" val="65"/>
        <cfvo type="num" val="90"/>
      </iconSet>
    </cfRule>
  </conditionalFormatting>
  <conditionalFormatting sqref="Z121:Z128">
    <cfRule type="iconSet" priority="22">
      <iconSet iconSet="3Symbols" showValue="0">
        <cfvo type="percent" val="0"/>
        <cfvo type="num" val="65"/>
        <cfvo type="num" val="90"/>
      </iconSet>
    </cfRule>
  </conditionalFormatting>
  <conditionalFormatting sqref="Z109:Z110 Z118:Z120 Z129">
    <cfRule type="iconSet" priority="3714">
      <iconSet iconSet="3Symbols" showValue="0">
        <cfvo type="percent" val="0"/>
        <cfvo type="num" val="65"/>
        <cfvo type="num" val="90"/>
      </iconSet>
    </cfRule>
  </conditionalFormatting>
  <conditionalFormatting sqref="Z393:Z395 Z369">
    <cfRule type="iconSet" priority="3716">
      <iconSet iconSet="3Symbols" showValue="0">
        <cfvo type="percent" val="0"/>
        <cfvo type="num" val="65"/>
        <cfvo type="num" val="90"/>
      </iconSet>
    </cfRule>
  </conditionalFormatting>
  <conditionalFormatting sqref="Z396 Z390">
    <cfRule type="iconSet" priority="3717">
      <iconSet iconSet="3Symbols" showValue="0">
        <cfvo type="percent" val="0"/>
        <cfvo type="num" val="65"/>
        <cfvo type="num" val="90"/>
      </iconSet>
    </cfRule>
  </conditionalFormatting>
  <conditionalFormatting sqref="Z503:Z508">
    <cfRule type="iconSet" priority="3718">
      <iconSet iconSet="3Symbols" showValue="0">
        <cfvo type="percent" val="0"/>
        <cfvo type="num" val="65"/>
        <cfvo type="num" val="90"/>
      </iconSet>
    </cfRule>
  </conditionalFormatting>
  <conditionalFormatting sqref="Z482">
    <cfRule type="iconSet" priority="3747">
      <iconSet iconSet="3Symbols" showValue="0">
        <cfvo type="percent" val="0"/>
        <cfvo type="num" val="65"/>
        <cfvo type="num" val="90"/>
      </iconSet>
    </cfRule>
  </conditionalFormatting>
  <conditionalFormatting sqref="Z483">
    <cfRule type="iconSet" priority="3776">
      <iconSet iconSet="3Symbols" showValue="0">
        <cfvo type="percent" val="0"/>
        <cfvo type="num" val="65"/>
        <cfvo type="num" val="90"/>
      </iconSet>
    </cfRule>
  </conditionalFormatting>
  <conditionalFormatting sqref="Z295">
    <cfRule type="iconSet" priority="3778">
      <iconSet iconSet="3Symbols" showValue="0">
        <cfvo type="percent" val="0"/>
        <cfvo type="num" val="65"/>
        <cfvo type="num" val="90"/>
      </iconSet>
    </cfRule>
  </conditionalFormatting>
  <conditionalFormatting sqref="Z160:Z169">
    <cfRule type="iconSet" priority="3782">
      <iconSet iconSet="3Symbols" showValue="0">
        <cfvo type="percent" val="0"/>
        <cfvo type="num" val="65"/>
        <cfvo type="num" val="90"/>
      </iconSet>
    </cfRule>
  </conditionalFormatting>
  <conditionalFormatting sqref="Z133:Z149">
    <cfRule type="iconSet" priority="3790">
      <iconSet iconSet="3Symbols" showValue="0">
        <cfvo type="percent" val="0"/>
        <cfvo type="num" val="65"/>
        <cfvo type="num" val="90"/>
      </iconSet>
    </cfRule>
  </conditionalFormatting>
  <conditionalFormatting sqref="Z155:Z159">
    <cfRule type="iconSet" priority="3826">
      <iconSet iconSet="3Symbols" showValue="0">
        <cfvo type="percent" val="0"/>
        <cfvo type="num" val="65"/>
        <cfvo type="num" val="90"/>
      </iconSet>
    </cfRule>
  </conditionalFormatting>
  <conditionalFormatting sqref="Z237:Z242">
    <cfRule type="iconSet" priority="3828">
      <iconSet iconSet="3Symbols" showValue="0">
        <cfvo type="percent" val="0"/>
        <cfvo type="num" val="65"/>
        <cfvo type="num" val="90"/>
      </iconSet>
    </cfRule>
  </conditionalFormatting>
  <conditionalFormatting sqref="Z454:Z455">
    <cfRule type="iconSet" priority="3829">
      <iconSet iconSet="3Symbols" showValue="0">
        <cfvo type="percent" val="0"/>
        <cfvo type="num" val="65"/>
        <cfvo type="num" val="90"/>
      </iconSet>
    </cfRule>
  </conditionalFormatting>
  <conditionalFormatting sqref="Z327">
    <cfRule type="iconSet" priority="3831">
      <iconSet iconSet="3Symbols" showValue="0">
        <cfvo type="percent" val="0"/>
        <cfvo type="num" val="65"/>
        <cfvo type="num" val="90"/>
      </iconSet>
    </cfRule>
  </conditionalFormatting>
  <conditionalFormatting sqref="Z256">
    <cfRule type="iconSet" priority="21">
      <iconSet iconSet="3Symbols" showValue="0">
        <cfvo type="percent" val="0"/>
        <cfvo type="num" val="65"/>
        <cfvo type="num" val="90"/>
      </iconSet>
    </cfRule>
  </conditionalFormatting>
  <conditionalFormatting sqref="Z257">
    <cfRule type="iconSet" priority="19">
      <iconSet iconSet="3Symbols" showValue="0">
        <cfvo type="percent" val="0"/>
        <cfvo type="num" val="65"/>
        <cfvo type="num" val="90"/>
      </iconSet>
    </cfRule>
  </conditionalFormatting>
  <conditionalFormatting sqref="Y270">
    <cfRule type="iconSet" priority="18">
      <iconSet iconSet="3Symbols" showValue="0">
        <cfvo type="percent" val="0"/>
        <cfvo type="num" val="65"/>
        <cfvo type="num" val="90"/>
      </iconSet>
    </cfRule>
  </conditionalFormatting>
  <conditionalFormatting sqref="Y271">
    <cfRule type="iconSet" priority="17">
      <iconSet iconSet="3Symbols" showValue="0">
        <cfvo type="percent" val="0"/>
        <cfvo type="num" val="65"/>
        <cfvo type="num" val="90"/>
      </iconSet>
    </cfRule>
  </conditionalFormatting>
  <conditionalFormatting sqref="Y272">
    <cfRule type="iconSet" priority="16">
      <iconSet iconSet="3Symbols" showValue="0">
        <cfvo type="percent" val="0"/>
        <cfvo type="num" val="65"/>
        <cfvo type="num" val="90"/>
      </iconSet>
    </cfRule>
  </conditionalFormatting>
  <conditionalFormatting sqref="Y273">
    <cfRule type="iconSet" priority="15">
      <iconSet iconSet="3Symbols" showValue="0">
        <cfvo type="percent" val="0"/>
        <cfvo type="num" val="65"/>
        <cfvo type="num" val="90"/>
      </iconSet>
    </cfRule>
  </conditionalFormatting>
  <conditionalFormatting sqref="W243">
    <cfRule type="colorScale" priority="13">
      <colorScale>
        <cfvo type="num" val="50"/>
        <cfvo type="num" val="70"/>
        <cfvo type="num" val="90"/>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Q103">
    <cfRule type="colorScale" priority="11">
      <colorScale>
        <cfvo type="num" val="50"/>
        <cfvo type="num" val="70"/>
        <cfvo type="num" val="90"/>
        <color rgb="FFF8696B"/>
        <color rgb="FFFFEB84"/>
        <color rgb="FF63BE7B"/>
      </colorScale>
    </cfRule>
    <cfRule type="colorScale" priority="12">
      <colorScale>
        <cfvo type="min"/>
        <cfvo type="percentile" val="50"/>
        <cfvo type="max"/>
        <color rgb="FFF8696B"/>
        <color rgb="FFFFEB84"/>
        <color rgb="FF63BE7B"/>
      </colorScale>
    </cfRule>
  </conditionalFormatting>
  <conditionalFormatting sqref="R103">
    <cfRule type="colorScale" priority="9">
      <colorScale>
        <cfvo type="num" val="50"/>
        <cfvo type="num" val="70"/>
        <cfvo type="num" val="90"/>
        <color rgb="FFF8696B"/>
        <color rgb="FFFFEB84"/>
        <color rgb="FF63BE7B"/>
      </colorScale>
    </cfRule>
    <cfRule type="colorScale" priority="10">
      <colorScale>
        <cfvo type="min"/>
        <cfvo type="percentile" val="50"/>
        <cfvo type="max"/>
        <color rgb="FFF8696B"/>
        <color rgb="FFFFEB84"/>
        <color rgb="FF63BE7B"/>
      </colorScale>
    </cfRule>
  </conditionalFormatting>
  <conditionalFormatting sqref="W103">
    <cfRule type="colorScale" priority="7">
      <colorScale>
        <cfvo type="num" val="50"/>
        <cfvo type="num" val="70"/>
        <cfvo type="num" val="90"/>
        <color rgb="FFF8696B"/>
        <color rgb="FFFFEB84"/>
        <color rgb="FF63BE7B"/>
      </colorScale>
    </cfRule>
    <cfRule type="colorScale" priority="8">
      <colorScale>
        <cfvo type="min"/>
        <cfvo type="percentile" val="50"/>
        <cfvo type="max"/>
        <color rgb="FFF8696B"/>
        <color rgb="FFFFEB84"/>
        <color rgb="FF63BE7B"/>
      </colorScale>
    </cfRule>
  </conditionalFormatting>
  <conditionalFormatting sqref="W406">
    <cfRule type="colorScale" priority="5">
      <colorScale>
        <cfvo type="num" val="50"/>
        <cfvo type="num" val="70"/>
        <cfvo type="num" val="90"/>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W509">
    <cfRule type="colorScale" priority="3">
      <colorScale>
        <cfvo type="num" val="50"/>
        <cfvo type="num" val="70"/>
        <cfvo type="num" val="90"/>
        <color rgb="FFF8696B"/>
        <color rgb="FFFFEB84"/>
        <color rgb="FF63BE7B"/>
      </colorScale>
    </cfRule>
    <cfRule type="colorScale" priority="4">
      <colorScale>
        <cfvo type="min"/>
        <cfvo type="percentile" val="50"/>
        <cfvo type="max"/>
        <color rgb="FFF8696B"/>
        <color rgb="FFFFEB84"/>
        <color rgb="FF63BE7B"/>
      </colorScale>
    </cfRule>
  </conditionalFormatting>
  <conditionalFormatting sqref="Z64">
    <cfRule type="iconSet" priority="3867">
      <iconSet iconSet="3Symbols" showValue="0">
        <cfvo type="percent" val="0"/>
        <cfvo type="num" val="65"/>
        <cfvo type="num" val="90"/>
      </iconSet>
    </cfRule>
  </conditionalFormatting>
  <conditionalFormatting sqref="Z432:Z435">
    <cfRule type="iconSet" priority="3927">
      <iconSet iconSet="3Symbols" showValue="0">
        <cfvo type="percent" val="0"/>
        <cfvo type="num" val="65"/>
        <cfvo type="num" val="90"/>
      </iconSet>
    </cfRule>
  </conditionalFormatting>
  <dataValidations disablePrompts="1" count="1">
    <dataValidation type="list" allowBlank="1" showInputMessage="1" showErrorMessage="1" sqref="G8 G17">
      <formula1>ETAPAS</formula1>
    </dataValidation>
  </dataValidations>
  <hyperlinks>
    <hyperlink ref="Y42" r:id="rId1"/>
    <hyperlink ref="Y8" r:id="rId2"/>
    <hyperlink ref="Y9" r:id="rId3" display="https://www.etitc.edu.co/archives/infoderechosautor21.pdf"/>
    <hyperlink ref="Y10" r:id="rId4" display="https://www.etitc.edu.co/archives/informeausteridad26.pdf"/>
    <hyperlink ref="Y11" r:id="rId5"/>
    <hyperlink ref="Y13" r:id="rId6"/>
    <hyperlink ref="Y102" r:id="rId7"/>
    <hyperlink ref="Y337" r:id="rId8"/>
    <hyperlink ref="Y336" r:id="rId9"/>
    <hyperlink ref="Y335" r:id="rId10"/>
    <hyperlink ref="Y332" r:id="rId11"/>
    <hyperlink ref="Y331" r:id="rId12"/>
    <hyperlink ref="Y330" r:id="rId13"/>
    <hyperlink ref="Y329" r:id="rId14"/>
    <hyperlink ref="Y328" r:id="rId15"/>
    <hyperlink ref="Y327" r:id="rId16"/>
    <hyperlink ref="Y326" r:id="rId17"/>
    <hyperlink ref="Y325" r:id="rId18"/>
    <hyperlink ref="Y324" r:id="rId19"/>
    <hyperlink ref="Y323" r:id="rId20"/>
    <hyperlink ref="Y322" r:id="rId21"/>
    <hyperlink ref="Y321" r:id="rId22"/>
    <hyperlink ref="Y169" display="https://itceduco-my.sharepoint.com/personal/arquitectura_itc_edu_co/_layouts/15/onedrive.aspx?id=%2Fpersonal%2Farquitectura%5Fitc%5Fedu%5Fco%2FDocuments%2FPLANTA%20F%C3%8DSICA%2F3%2E%202022%2F2%2E%20Planeaci%C3%B3n%202022%2FPLAN%20DE%20ACCI%C3%93N%202022&amp;"/>
    <hyperlink ref="Y168" display="https://itceduco-my.sharepoint.com/personal/arquitectura_itc_edu_co/_layouts/15/onedrive.aspx?id=%2Fpersonal%2Farquitectura%5Fitc%5Fedu%5Fco%2FDocuments%2FPLANTA%20F%C3%8DSICA%2F3%2E%202022%2F2%2E%20Planeaci%C3%B3n%202022%2FPLAN%20DE%20ACCI%C3%93N%202022&amp;"/>
    <hyperlink ref="Y165" display="https://itceduco-my.sharepoint.com/personal/arquitectura_itc_edu_co/_layouts/15/onedrive.aspx?id=%2Fpersonal%2Farquitectura%5Fitc%5Fedu%5Fco%2FDocuments%2FPLANTA%20F%C3%8DSICA%2F3%2E%202022%2F2%2E%20Planeaci%C3%B3n%202022%2FPLAN%20DE%20ACCI%C3%93N%202022&amp;"/>
    <hyperlink ref="Y163" display="https://itceduco-my.sharepoint.com/personal/arquitectura_itc_edu_co/_layouts/15/onedrive.aspx?id=%2Fpersonal%2Farquitectura%5Fitc%5Fedu%5Fco%2FDocuments%2FPLANTA%20F%C3%8DSICA%2F3%2E%202022%2F2%2E%20Planeaci%C3%B3n%202022%2FPLAN%20DE%20ACCI%C3%93N%202022&amp;"/>
    <hyperlink ref="Y162" display="https://itceduco-my.sharepoint.com/personal/arquitectura_itc_edu_co/_layouts/15/onedrive.aspx?id=%2Fpersonal%2Farquitectura%5Fitc%5Fedu%5Fco%2FDocuments%2FPLANTA%20F%C3%8DSICA%2F3%2E%202022%2F2%2E%20Planeaci%C3%B3n%202022%2FPLAN%20DE%20ACCI%C3%93N%202022&amp;"/>
    <hyperlink ref="Y161" display="https://itceduco-my.sharepoint.com/personal/arquitectura_itc_edu_co/_layouts/15/onedrive.aspx?id=%2Fpersonal%2Farquitectura%5Fitc%5Fedu%5Fco%2FDocuments%2FPLANTA%20F%C3%8DSICA%2F3%2E%202022%2F2%2E%20Planeaci%C3%B3n%202022%2FPLAN%20DE%20ACCI%C3%93N%202022&amp;"/>
    <hyperlink ref="Y159" display="https://itceduco-my.sharepoint.com/personal/arquitectura_itc_edu_co/_layouts/15/onedrive.aspx?id=%2Fpersonal%2Farquitectura%5Fitc%5Fedu%5Fco%2FDocuments%2FPLANTA%20F%C3%8DSICA%2F3%2E%202022%2F2%2E%20Planeaci%C3%B3n%202022%2FPLAN%20DE%20ACCI%C3%93N%202022&amp;"/>
    <hyperlink ref="Y158" display="https://itceduco-my.sharepoint.com/personal/arquitectura_itc_edu_co/_layouts/15/onedrive.aspx?id=%2Fpersonal%2Farquitectura%5Fitc%5Fedu%5Fco%2FDocuments%2FPLANTA%20F%C3%8DSICA%2F3%2E%202022%2F2%2E%20Planeaci%C3%B3n%202022%2FPLAN%20DE%20ACCI%C3%93N%202022&amp;"/>
    <hyperlink ref="Y156" display="https://itceduco-my.sharepoint.com/personal/arquitectura_itc_edu_co/_layouts/15/onedrive.aspx?id=%2Fpersonal%2Farquitectura%5Fitc%5Fedu%5Fco%2FDocuments%2FPLANTA%20F%C3%8DSICA%2F3%2E%202022%2F2%2E%20Planeaci%C3%B3n%202022%2FPLAN%20DE%20ACCI%C3%93N%202022&amp;"/>
    <hyperlink ref="Y155" display="https://itceduco-my.sharepoint.com/personal/arquitectura_itc_edu_co/_layouts/15/onedrive.aspx?id=%2Fpersonal%2Farquitectura%5Fitc%5Fedu%5Fco%2FDocuments%2FPLANTA%20F%C3%8DSICA%2F3%2E%202022%2F2%2E%20Planeaci%C3%B3n%202022%2FPLAN%20DE%20ACCI%C3%93N%202022&amp;"/>
    <hyperlink ref="Y150" display="https://itceduco-my.sharepoint.com/personal/arquitectura_itc_edu_co/_layouts/15/onedrive.aspx?id=%2Fpersonal%2Farquitectura%5Fitc%5Fedu%5Fco%2FDocuments%2FPLANTA%20F%C3%8DSICA%2F3%2E%202022%2F2%2E%20Planeaci%C3%B3n%202022%2FPLAN%20DE%20ACCI%C3%93N%202022&amp;"/>
    <hyperlink ref="Y149" display="https://itceduco-my.sharepoint.com/personal/arquitectura_itc_edu_co/_layouts/15/onedrive.aspx?id=%2Fpersonal%2Farquitectura%5Fitc%5Fedu%5Fco%2FDocuments%2FPLANTA%20F%C3%8DSICA%2F3%2E%202022%2F2%2E%20Planeaci%C3%B3n%202022%2FPLAN%20DE%20ACCI%C3%93N%202022&amp;"/>
    <hyperlink ref="Y148" display="https://itceduco-my.sharepoint.com/personal/arquitectura_itc_edu_co/_layouts/15/onedrive.aspx?id=%2Fpersonal%2Farquitectura%5Fitc%5Fedu%5Fco%2FDocuments%2FPLANTA%20F%C3%8DSICA%2F3%2E%202022%2F2%2E%20Planeaci%C3%B3n%202022%2FPLAN%20DE%20ACCI%C3%93N%202022&amp;"/>
    <hyperlink ref="Y146" display="https://itceduco-my.sharepoint.com/personal/arquitectura_itc_edu_co/_layouts/15/onedrive.aspx?id=%2Fpersonal%2Farquitectura%5Fitc%5Fedu%5Fco%2FDocuments%2FPLANTA%20F%C3%8DSICA%2F3%2E%202022%2F2%2E%20Planeaci%C3%B3n%202022%2FPLAN%20DE%20ACCI%C3%93N%202022&amp;"/>
    <hyperlink ref="Y144" display="https://itceduco-my.sharepoint.com/personal/arquitectura_itc_edu_co/_layouts/15/onedrive.aspx?id=%2Fpersonal%2Farquitectura%5Fitc%5Fedu%5Fco%2FDocuments%2FPLANTA%20F%C3%8DSICA%2F3%2E%202022%2F2%2E%20Planeaci%C3%B3n%202022%2FPLAN%20DE%20ACCI%C3%93N%202022&amp;"/>
    <hyperlink ref="Y142" display="https://itceduco-my.sharepoint.com/personal/arquitectura_itc_edu_co/_layouts/15/onedrive.aspx?id=%2Fpersonal%2Farquitectura%5Fitc%5Fedu%5Fco%2FDocuments%2FPLANTA%20F%C3%8DSICA%2F3%2E%202022%2F2%2E%20Planeaci%C3%B3n%202022%2FPLAN%20DE%20ACCI%C3%93N%202022&amp;"/>
    <hyperlink ref="Y141" display="https://itceduco-my.sharepoint.com/personal/arquitectura_itc_edu_co/_layouts/15/onedrive.aspx?id=%2Fpersonal%2Farquitectura%5Fitc%5Fedu%5Fco%2FDocuments%2FPLANTA%20F%C3%8DSICA%2F3%2E%202022%2F2%2E%20Planeaci%C3%B3n%202022%2FPLAN%20DE%20ACCI%C3%93N%202022&amp;"/>
    <hyperlink ref="Y140" display="https://itceduco-my.sharepoint.com/personal/arquitectura_itc_edu_co/_layouts/15/onedrive.aspx?id=%2Fpersonal%2Farquitectura%5Fitc%5Fedu%5Fco%2FDocuments%2FPLANTA%20F%C3%8DSICA%2F3%2E%202022%2F2%2E%20Planeaci%C3%B3n%202022%2FPLAN%20DE%20ACCI%C3%93N%202022&amp;"/>
    <hyperlink ref="Y138" display="https://itceduco-my.sharepoint.com/personal/arquitectura_itc_edu_co/_layouts/15/onedrive.aspx?id=%2Fpersonal%2Farquitectura%5Fitc%5Fedu%5Fco%2FDocuments%2FPLANTA%20F%C3%8DSICA%2F3%2E%202022%2F2%2E%20Planeaci%C3%B3n%202022%2FPLAN%20DE%20ACCI%C3%93N%202022&amp;"/>
    <hyperlink ref="Y136" display="https://itceduco-my.sharepoint.com/personal/arquitectura_itc_edu_co/_layouts/15/onedrive.aspx?id=%2Fpersonal%2Farquitectura%5Fitc%5Fedu%5Fco%2FDocuments%2FPLANTA%20F%C3%8DSICA%2F3%2E%202022%2F2%2E%20Planeaci%C3%B3n%202022%2FPLAN%20DE%20ACCI%C3%93N%202022&amp;"/>
    <hyperlink ref="Y134" display="https://itceduco-my.sharepoint.com/personal/arquitectura_itc_edu_co/_layouts/15/onedrive.aspx?id=%2Fpersonal%2Farquitectura%5Fitc%5Fedu%5Fco%2FDocuments%2FPLANTA%20F%C3%8DSICA%2F3%2E%202022%2F2%2E%20Planeaci%C3%B3n%202022%2FPLAN%20DE%20ACCI%C3%93N%202022&amp;"/>
    <hyperlink ref="Y133" display="https://itceduco-my.sharepoint.com/personal/arquitectura_itc_edu_co/_layouts/15/onedrive.aspx?id=%2Fpersonal%2Farquitectura%5Fitc%5Fedu%5Fco%2FDocuments%2FPLANTA%20F%C3%8DSICA%2F3%2E%202022%2F2%2E%20Planeaci%C3%B3n%202022%2FPLAN%20DE%20ACCI%C3%93N%202022&amp;"/>
    <hyperlink ref="Y132" display="https://itceduco-my.sharepoint.com/personal/arquitectura_itc_edu_co/_layouts/15/onedrive.aspx?id=%2Fpersonal%2Farquitectura%5Fitc%5Fedu%5Fco%2FDocuments%2FPLANTA%20F%C3%8DSICA%2F3%2E%202022%2F2%2E%20Planeaci%C3%B3n%202022%2FPLAN%20DE%20ACCI%C3%93N%202022&amp;"/>
    <hyperlink ref="Y476" r:id="rId23"/>
    <hyperlink ref="Y501" r:id="rId24"/>
    <hyperlink ref="Y429" r:id="rId25"/>
    <hyperlink ref="Y31" r:id="rId26"/>
    <hyperlink ref="Y250" r:id="rId27"/>
    <hyperlink ref="Y251" r:id="rId28"/>
    <hyperlink ref="Y254" r:id="rId29"/>
    <hyperlink ref="Y259" r:id="rId30"/>
    <hyperlink ref="Y260" r:id="rId31"/>
    <hyperlink ref="Y261" r:id="rId32"/>
    <hyperlink ref="Y258" r:id="rId33"/>
    <hyperlink ref="Y262" r:id="rId34"/>
    <hyperlink ref="Y264" r:id="rId35"/>
    <hyperlink ref="Y265" r:id="rId36"/>
    <hyperlink ref="Y270" r:id="rId37"/>
    <hyperlink ref="Y279" r:id="rId38"/>
    <hyperlink ref="Y278" r:id="rId39"/>
    <hyperlink ref="Y277" r:id="rId40"/>
    <hyperlink ref="Y280" r:id="rId41"/>
    <hyperlink ref="Y281" r:id="rId42"/>
    <hyperlink ref="Y274" r:id="rId43"/>
    <hyperlink ref="Y276" r:id="rId44"/>
    <hyperlink ref="Y252" r:id="rId45"/>
    <hyperlink ref="Y253" r:id="rId46"/>
    <hyperlink ref="Y271" r:id="rId47"/>
    <hyperlink ref="Y272" r:id="rId48"/>
    <hyperlink ref="Y273" r:id="rId49"/>
  </hyperlinks>
  <printOptions gridLinesSet="0"/>
  <pageMargins left="0.75" right="0.75" top="1" bottom="1" header="0.5" footer="0.5"/>
  <pageSetup fitToWidth="0" fitToHeight="0" orientation="portrait" r:id="rId50"/>
  <headerFooter alignWithMargins="0"/>
  <drawing r:id="rId51"/>
  <legacyDrawing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2"/>
  <sheetViews>
    <sheetView topLeftCell="H22" zoomScale="85" zoomScaleNormal="85" workbookViewId="0">
      <selection activeCell="N16" sqref="N16"/>
    </sheetView>
  </sheetViews>
  <sheetFormatPr baseColWidth="10" defaultColWidth="11.42578125" defaultRowHeight="12.75" x14ac:dyDescent="0.2"/>
  <cols>
    <col min="1" max="1" width="2.7109375" style="18" customWidth="1"/>
    <col min="2" max="4" width="20.85546875" style="18" customWidth="1"/>
    <col min="5" max="5" width="14.140625" style="18" customWidth="1"/>
    <col min="6" max="6" width="9.140625" style="18" customWidth="1"/>
    <col min="7" max="8" width="11.42578125" style="18"/>
    <col min="9" max="10" width="13.5703125" style="18" customWidth="1"/>
    <col min="11" max="11" width="14.28515625" style="18" customWidth="1"/>
    <col min="12" max="12" width="14.85546875" style="18" customWidth="1"/>
    <col min="13" max="13" width="11.42578125" style="18"/>
    <col min="14" max="15" width="16.28515625" style="18" customWidth="1"/>
    <col min="16" max="18" width="11.42578125" style="18"/>
    <col min="19" max="19" width="22.5703125" style="180" customWidth="1"/>
    <col min="20" max="20" width="18" style="411" customWidth="1"/>
    <col min="21" max="21" width="11.42578125" style="412"/>
    <col min="22" max="16384" width="11.42578125" style="18"/>
  </cols>
  <sheetData>
    <row r="1" spans="2:21" ht="81.75" customHeight="1" thickBot="1" x14ac:dyDescent="0.25">
      <c r="B1" s="783" t="s">
        <v>1636</v>
      </c>
      <c r="C1" s="784"/>
      <c r="D1" s="784"/>
      <c r="E1" s="784"/>
      <c r="M1" s="783" t="s">
        <v>1637</v>
      </c>
      <c r="N1" s="784"/>
      <c r="O1" s="784"/>
      <c r="P1" s="784"/>
      <c r="R1" s="182" t="s">
        <v>1638</v>
      </c>
      <c r="S1" s="782" t="s">
        <v>1639</v>
      </c>
      <c r="T1" s="782"/>
      <c r="U1" s="782"/>
    </row>
    <row r="2" spans="2:21" ht="45" customHeight="1" x14ac:dyDescent="0.2">
      <c r="B2" s="182" t="s">
        <v>1640</v>
      </c>
      <c r="C2" s="183" t="s">
        <v>1641</v>
      </c>
      <c r="D2" s="182" t="s">
        <v>1640</v>
      </c>
      <c r="E2" s="182" t="s">
        <v>1642</v>
      </c>
      <c r="G2" s="785" t="s">
        <v>1643</v>
      </c>
      <c r="H2" s="786"/>
      <c r="I2" s="786"/>
      <c r="J2" s="786"/>
      <c r="K2" s="787"/>
      <c r="M2" s="182" t="s">
        <v>1640</v>
      </c>
      <c r="N2" s="183" t="s">
        <v>1641</v>
      </c>
      <c r="O2" s="182" t="s">
        <v>1640</v>
      </c>
      <c r="P2" s="182" t="s">
        <v>1642</v>
      </c>
      <c r="R2" s="95"/>
      <c r="S2" s="182" t="s">
        <v>5</v>
      </c>
      <c r="T2" s="182" t="s">
        <v>1644</v>
      </c>
      <c r="U2" s="182" t="s">
        <v>1645</v>
      </c>
    </row>
    <row r="3" spans="2:21" ht="48.75" customHeight="1" x14ac:dyDescent="0.2">
      <c r="B3" s="489" t="s">
        <v>1646</v>
      </c>
      <c r="C3" s="185">
        <f>AVERAGE('LO INSTITUCIONAL'!Y40+'LO AMBIENTAL'!Y27)/2</f>
        <v>0.16899305555555555</v>
      </c>
      <c r="D3" s="489" t="s">
        <v>1646</v>
      </c>
      <c r="E3" s="184">
        <v>12</v>
      </c>
      <c r="H3" s="240" t="s">
        <v>1647</v>
      </c>
      <c r="I3" s="188" t="s">
        <v>1648</v>
      </c>
      <c r="J3" s="187" t="s">
        <v>1649</v>
      </c>
      <c r="K3" s="240" t="s">
        <v>1650</v>
      </c>
      <c r="M3" s="489" t="s">
        <v>1646</v>
      </c>
      <c r="N3" s="185">
        <f>'Plan de Acción 2022'!W103</f>
        <v>0.24926315789473691</v>
      </c>
      <c r="O3" s="489" t="s">
        <v>1646</v>
      </c>
      <c r="P3" s="184"/>
      <c r="R3" s="788" t="s">
        <v>1651</v>
      </c>
      <c r="S3" s="421" t="s">
        <v>41</v>
      </c>
      <c r="T3" s="422">
        <v>7</v>
      </c>
      <c r="U3" s="423">
        <f>AVERAGE('Plan de Acción 2022'!W8:W14)</f>
        <v>0.21428571428571427</v>
      </c>
    </row>
    <row r="4" spans="2:21" ht="51.75" customHeight="1" x14ac:dyDescent="0.2">
      <c r="B4" s="498" t="s">
        <v>1652</v>
      </c>
      <c r="C4" s="185">
        <f>AVERAGE('LO INSTITUCIONAL'!Y42+'LO AMBIENTAL'!Y29)/2</f>
        <v>0.17660407345884094</v>
      </c>
      <c r="D4" s="498" t="s">
        <v>1652</v>
      </c>
      <c r="E4" s="184">
        <v>22</v>
      </c>
      <c r="H4" s="190">
        <f>'LO INSTITUCIONAL'!Y39</f>
        <v>4.2414749245670645E-2</v>
      </c>
      <c r="I4" s="184">
        <v>13</v>
      </c>
      <c r="J4" s="189" t="s">
        <v>1653</v>
      </c>
      <c r="K4" s="241">
        <v>26</v>
      </c>
      <c r="M4" s="498" t="s">
        <v>1652</v>
      </c>
      <c r="N4" s="185">
        <f>'Plan de Acción 2022'!W243</f>
        <v>0.15709921259842519</v>
      </c>
      <c r="O4" s="498" t="s">
        <v>1652</v>
      </c>
      <c r="P4" s="184"/>
      <c r="R4" s="788"/>
      <c r="S4" s="421" t="s">
        <v>73</v>
      </c>
      <c r="T4" s="422">
        <v>5</v>
      </c>
      <c r="U4" s="423">
        <f>AVERAGE('Plan de Acción 2022'!W15:W19)</f>
        <v>0.2</v>
      </c>
    </row>
    <row r="5" spans="2:21" ht="49.5" customHeight="1" x14ac:dyDescent="0.2">
      <c r="B5" s="498" t="s">
        <v>1654</v>
      </c>
      <c r="C5" s="185">
        <f>AVERAGE('LO INSTITUCIONAL'!Y41+'LO SOCIAL'!V34+'LO AMBIENTAL'!Y28)/3</f>
        <v>0.21563035461586189</v>
      </c>
      <c r="D5" s="498" t="s">
        <v>1654</v>
      </c>
      <c r="E5" s="184">
        <v>17</v>
      </c>
      <c r="H5" s="190">
        <f>'LO SOCIAL'!V33</f>
        <v>0.11637385762385763</v>
      </c>
      <c r="I5" s="184">
        <v>8</v>
      </c>
      <c r="J5" s="189" t="s">
        <v>1655</v>
      </c>
      <c r="K5" s="241">
        <v>23</v>
      </c>
      <c r="M5" s="498" t="s">
        <v>1654</v>
      </c>
      <c r="N5" s="185">
        <f>'Plan de Acción 2022'!W406</f>
        <v>0.2225641025641025</v>
      </c>
      <c r="O5" s="498" t="s">
        <v>1654</v>
      </c>
      <c r="P5" s="184"/>
      <c r="R5" s="788"/>
      <c r="S5" s="421" t="s">
        <v>100</v>
      </c>
      <c r="T5" s="422">
        <v>3</v>
      </c>
      <c r="U5" s="423">
        <f>AVERAGE('Plan de Acción 2022'!W20:W22)</f>
        <v>0.25</v>
      </c>
    </row>
    <row r="6" spans="2:21" ht="48.75" customHeight="1" thickBot="1" x14ac:dyDescent="0.25">
      <c r="B6" s="498" t="s">
        <v>1656</v>
      </c>
      <c r="C6" s="185">
        <f>AVERAGE('LO SOCIAL'!V35)</f>
        <v>0.13432900432900435</v>
      </c>
      <c r="D6" s="498" t="s">
        <v>1656</v>
      </c>
      <c r="E6" s="184">
        <v>14</v>
      </c>
      <c r="H6" s="193">
        <f>'LO AMBIENTAL'!Y26</f>
        <v>5.5326878306878297E-2</v>
      </c>
      <c r="I6" s="192">
        <v>6</v>
      </c>
      <c r="J6" s="191" t="s">
        <v>1657</v>
      </c>
      <c r="K6" s="242">
        <v>16</v>
      </c>
      <c r="M6" s="498" t="s">
        <v>1656</v>
      </c>
      <c r="N6" s="185">
        <f>'Plan de Acción 2022'!W509</f>
        <v>0.14833333333333334</v>
      </c>
      <c r="O6" s="498" t="s">
        <v>1656</v>
      </c>
      <c r="P6" s="184"/>
      <c r="R6" s="788"/>
      <c r="S6" s="424" t="s">
        <v>113</v>
      </c>
      <c r="T6" s="425">
        <v>5</v>
      </c>
      <c r="U6" s="423">
        <f>AVERAGE('Plan de Acción 2022'!W23:W27)</f>
        <v>0.25</v>
      </c>
    </row>
    <row r="7" spans="2:21" ht="51.75" customHeight="1" x14ac:dyDescent="0.2">
      <c r="B7" s="498" t="s">
        <v>1658</v>
      </c>
      <c r="C7" s="224" t="s">
        <v>52</v>
      </c>
      <c r="D7" s="498" t="s">
        <v>1659</v>
      </c>
      <c r="E7" s="184">
        <v>6</v>
      </c>
      <c r="K7" s="18">
        <f>SUM(K4:K6)</f>
        <v>65</v>
      </c>
      <c r="N7" s="224"/>
      <c r="O7" s="498"/>
      <c r="P7" s="184"/>
      <c r="R7" s="788"/>
      <c r="S7" s="421" t="s">
        <v>134</v>
      </c>
      <c r="T7" s="422">
        <v>10</v>
      </c>
      <c r="U7" s="423">
        <f>AVERAGE('Plan de Acción 2022'!W28:W37)</f>
        <v>0.15</v>
      </c>
    </row>
    <row r="8" spans="2:21" ht="15.75" x14ac:dyDescent="0.25">
      <c r="B8" s="194" t="s">
        <v>1660</v>
      </c>
      <c r="C8" s="413">
        <f>AVERAGE(C3+C4+C5+C6)/4</f>
        <v>0.17388912198981571</v>
      </c>
      <c r="D8" s="196"/>
      <c r="E8" s="195">
        <f>SUM(E3:E7)</f>
        <v>71</v>
      </c>
      <c r="M8" s="194" t="s">
        <v>1660</v>
      </c>
      <c r="N8" s="413">
        <f>AVERAGE(N3+N4+N5+N6)/4</f>
        <v>0.19431495159764947</v>
      </c>
      <c r="O8" s="196"/>
      <c r="P8" s="195">
        <f>SUM(P3:P7)</f>
        <v>0</v>
      </c>
      <c r="R8" s="788"/>
      <c r="S8" s="421" t="s">
        <v>179</v>
      </c>
      <c r="T8" s="422">
        <v>5</v>
      </c>
      <c r="U8" s="423">
        <f>AVERAGE('Plan de Acción 2022'!W38:W42)</f>
        <v>0.25</v>
      </c>
    </row>
    <row r="9" spans="2:21" ht="25.5" x14ac:dyDescent="0.2">
      <c r="C9" s="234"/>
      <c r="D9" s="234"/>
      <c r="R9" s="788"/>
      <c r="S9" s="421" t="s">
        <v>204</v>
      </c>
      <c r="T9" s="422">
        <v>8</v>
      </c>
      <c r="U9" s="423">
        <f>AVERAGE('Plan de Acción 2022'!W43:W50)</f>
        <v>0.26874999999999999</v>
      </c>
    </row>
    <row r="10" spans="2:21" ht="15.75" customHeight="1" x14ac:dyDescent="0.2">
      <c r="R10" s="788"/>
      <c r="S10" s="421" t="s">
        <v>233</v>
      </c>
      <c r="T10" s="422">
        <v>12</v>
      </c>
      <c r="U10" s="423">
        <f>AVERAGE('Plan de Acción 2022'!W51:W64)</f>
        <v>0.45214285714285707</v>
      </c>
    </row>
    <row r="11" spans="2:21" s="197" customFormat="1" x14ac:dyDescent="0.2">
      <c r="R11" s="788"/>
      <c r="S11" s="421" t="s">
        <v>279</v>
      </c>
      <c r="T11" s="426">
        <v>31</v>
      </c>
      <c r="U11" s="427">
        <f>AVERAGE('Plan de Acción 2022'!W65:W95)</f>
        <v>0.20806451612903226</v>
      </c>
    </row>
    <row r="12" spans="2:21" ht="25.5" x14ac:dyDescent="0.2">
      <c r="M12" s="235" t="s">
        <v>1661</v>
      </c>
      <c r="N12" s="235" t="s">
        <v>1662</v>
      </c>
      <c r="O12" s="243"/>
      <c r="R12" s="788"/>
      <c r="S12" s="421" t="s">
        <v>406</v>
      </c>
      <c r="T12" s="422">
        <v>7</v>
      </c>
      <c r="U12" s="423">
        <f>AVERAGE('Plan de Acción 2022'!W96:W102)</f>
        <v>0.21428571428571427</v>
      </c>
    </row>
    <row r="13" spans="2:21" ht="24.75" customHeight="1" x14ac:dyDescent="0.2">
      <c r="B13" s="235" t="s">
        <v>1661</v>
      </c>
      <c r="C13" s="235" t="s">
        <v>1662</v>
      </c>
      <c r="D13" s="243"/>
      <c r="M13" s="95">
        <v>10</v>
      </c>
      <c r="N13" s="95">
        <v>1</v>
      </c>
      <c r="R13" s="781" t="s">
        <v>1663</v>
      </c>
      <c r="S13" s="421" t="s">
        <v>444</v>
      </c>
      <c r="T13" s="422">
        <v>16</v>
      </c>
      <c r="U13" s="423">
        <f>AVERAGE('Plan de Acción 2022'!W104:W119)</f>
        <v>0.19062499999999996</v>
      </c>
    </row>
    <row r="14" spans="2:21" x14ac:dyDescent="0.2">
      <c r="B14" s="95">
        <v>10</v>
      </c>
      <c r="C14" s="95">
        <v>1</v>
      </c>
      <c r="M14" s="95">
        <v>20</v>
      </c>
      <c r="N14" s="95">
        <v>1</v>
      </c>
      <c r="R14" s="781"/>
      <c r="S14" s="421" t="s">
        <v>498</v>
      </c>
      <c r="T14" s="422">
        <v>37</v>
      </c>
      <c r="U14" s="423">
        <f>AVERAGE('Plan de Acción 2022'!W132:W169)</f>
        <v>0.21319999999999995</v>
      </c>
    </row>
    <row r="15" spans="2:21" x14ac:dyDescent="0.2">
      <c r="B15" s="95">
        <v>20</v>
      </c>
      <c r="C15" s="95">
        <v>1</v>
      </c>
      <c r="M15" s="95">
        <v>30</v>
      </c>
      <c r="N15" s="95">
        <v>1</v>
      </c>
      <c r="R15" s="781"/>
      <c r="S15" s="421" t="s">
        <v>629</v>
      </c>
      <c r="T15" s="422">
        <v>3</v>
      </c>
      <c r="U15" s="423">
        <f>AVERAGE('Plan de Acción 2022'!W170:W172)</f>
        <v>0.33333333333333331</v>
      </c>
    </row>
    <row r="16" spans="2:21" ht="25.5" x14ac:dyDescent="0.2">
      <c r="B16" s="95">
        <v>30</v>
      </c>
      <c r="C16" s="95">
        <v>1</v>
      </c>
      <c r="M16" s="95">
        <v>40</v>
      </c>
      <c r="N16" s="95">
        <v>1</v>
      </c>
      <c r="R16" s="781"/>
      <c r="S16" s="421" t="s">
        <v>645</v>
      </c>
      <c r="T16" s="422">
        <v>1</v>
      </c>
      <c r="U16" s="423">
        <f>'Plan de Acción 2022'!W173</f>
        <v>0</v>
      </c>
    </row>
    <row r="17" spans="1:21" ht="25.5" x14ac:dyDescent="0.2">
      <c r="B17" s="95">
        <v>40</v>
      </c>
      <c r="C17" s="95">
        <v>1</v>
      </c>
      <c r="M17" s="95">
        <v>50</v>
      </c>
      <c r="N17" s="95">
        <v>1</v>
      </c>
      <c r="R17" s="781"/>
      <c r="S17" s="421" t="s">
        <v>650</v>
      </c>
      <c r="T17" s="422">
        <v>5</v>
      </c>
      <c r="U17" s="428">
        <f>AVERAGE('Plan de Acción 2022'!W174:W178)</f>
        <v>0.15</v>
      </c>
    </row>
    <row r="18" spans="1:21" ht="25.5" x14ac:dyDescent="0.2">
      <c r="B18" s="95">
        <v>50</v>
      </c>
      <c r="C18" s="95">
        <v>1</v>
      </c>
      <c r="M18" s="95">
        <v>60</v>
      </c>
      <c r="N18" s="95">
        <v>1</v>
      </c>
      <c r="R18" s="781"/>
      <c r="S18" s="421" t="s">
        <v>671</v>
      </c>
      <c r="T18" s="422">
        <v>2</v>
      </c>
      <c r="U18" s="423">
        <f>AVERAGE('Plan de Acción 2022'!W179:W180)</f>
        <v>0.25</v>
      </c>
    </row>
    <row r="19" spans="1:21" x14ac:dyDescent="0.2">
      <c r="B19" s="95">
        <v>60</v>
      </c>
      <c r="C19" s="95">
        <v>1</v>
      </c>
      <c r="M19" s="95">
        <v>70</v>
      </c>
      <c r="N19" s="95">
        <v>1</v>
      </c>
      <c r="R19" s="781"/>
      <c r="S19" s="421" t="s">
        <v>683</v>
      </c>
      <c r="T19" s="422">
        <v>30</v>
      </c>
      <c r="U19" s="423">
        <f>AVERAGE('Plan de Acción 2022'!W181:W211)</f>
        <v>0.14193548387096774</v>
      </c>
    </row>
    <row r="20" spans="1:21" ht="25.5" x14ac:dyDescent="0.2">
      <c r="B20" s="95">
        <v>70</v>
      </c>
      <c r="C20" s="95">
        <v>1</v>
      </c>
      <c r="M20" s="95">
        <v>80</v>
      </c>
      <c r="N20" s="95">
        <v>1</v>
      </c>
      <c r="R20" s="781"/>
      <c r="S20" s="421" t="s">
        <v>787</v>
      </c>
      <c r="T20" s="422">
        <v>30</v>
      </c>
      <c r="U20" s="428">
        <f>AVERAGE('Plan de Acción 2022'!W212:W242)</f>
        <v>6.9354838709677416E-2</v>
      </c>
    </row>
    <row r="21" spans="1:21" ht="38.25" customHeight="1" x14ac:dyDescent="0.2">
      <c r="B21" s="95">
        <v>80</v>
      </c>
      <c r="C21" s="95">
        <v>1</v>
      </c>
      <c r="M21" s="95">
        <v>90</v>
      </c>
      <c r="N21" s="95">
        <v>1</v>
      </c>
      <c r="R21" s="781" t="s">
        <v>859</v>
      </c>
      <c r="S21" s="421" t="s">
        <v>860</v>
      </c>
      <c r="T21" s="422">
        <v>5</v>
      </c>
      <c r="U21" s="423">
        <f>AVERAGE('Plan de Acción 2022'!W244:W249)</f>
        <v>0.45333333333333331</v>
      </c>
    </row>
    <row r="22" spans="1:21" ht="25.5" x14ac:dyDescent="0.2">
      <c r="B22" s="95">
        <v>90</v>
      </c>
      <c r="C22" s="95">
        <v>1</v>
      </c>
      <c r="M22" s="95">
        <v>100</v>
      </c>
      <c r="N22" s="95">
        <v>1</v>
      </c>
      <c r="R22" s="781"/>
      <c r="S22" s="421" t="s">
        <v>899</v>
      </c>
      <c r="T22" s="422">
        <v>31</v>
      </c>
      <c r="U22" s="423">
        <f>AVERAGE('Plan de Acción 2022'!W250:W281)</f>
        <v>0.32903225806451608</v>
      </c>
    </row>
    <row r="23" spans="1:21" x14ac:dyDescent="0.2">
      <c r="B23" s="95">
        <v>100</v>
      </c>
      <c r="C23" s="95">
        <v>1</v>
      </c>
      <c r="M23" s="95"/>
      <c r="N23" s="95">
        <f>SUM(N13:N22)</f>
        <v>10</v>
      </c>
      <c r="R23" s="781"/>
      <c r="S23" s="421" t="s">
        <v>1022</v>
      </c>
      <c r="T23" s="422">
        <v>6</v>
      </c>
      <c r="U23" s="423">
        <f>AVERAGE('Plan de Acción 2022'!W282:W288)</f>
        <v>0.28428571428571431</v>
      </c>
    </row>
    <row r="24" spans="1:21" ht="25.5" x14ac:dyDescent="0.2">
      <c r="B24" s="95"/>
      <c r="C24" s="95">
        <f>SUM(C14:C23)</f>
        <v>10</v>
      </c>
      <c r="M24" s="236"/>
      <c r="N24" s="236"/>
      <c r="R24" s="781"/>
      <c r="S24" s="421" t="s">
        <v>1056</v>
      </c>
      <c r="T24" s="422">
        <v>15</v>
      </c>
      <c r="U24" s="423">
        <f>AVERAGE('Plan de Acción 2022'!W289:W304)</f>
        <v>0.22500000000000003</v>
      </c>
    </row>
    <row r="25" spans="1:21" ht="25.5" x14ac:dyDescent="0.2">
      <c r="B25" s="236"/>
      <c r="C25" s="236"/>
      <c r="M25" s="237" t="s">
        <v>1664</v>
      </c>
      <c r="N25" s="95">
        <f>N8*PI()</f>
        <v>0.61045842442183185</v>
      </c>
      <c r="R25" s="781"/>
      <c r="S25" s="421" t="s">
        <v>1130</v>
      </c>
      <c r="T25" s="422">
        <v>15</v>
      </c>
      <c r="U25" s="423">
        <f>AVERAGE('Plan de Acción 2022'!W305:W320)</f>
        <v>0.125</v>
      </c>
    </row>
    <row r="26" spans="1:21" ht="38.25" x14ac:dyDescent="0.2">
      <c r="B26" s="237" t="s">
        <v>1664</v>
      </c>
      <c r="C26" s="95">
        <f>C8*PI()</f>
        <v>0.54628878818238435</v>
      </c>
      <c r="R26" s="781"/>
      <c r="S26" s="421" t="s">
        <v>1174</v>
      </c>
      <c r="T26" s="422">
        <v>16</v>
      </c>
      <c r="U26" s="423">
        <f>AVERAGE('Plan de Acción 2022'!W321:W337)</f>
        <v>0.14411764705882354</v>
      </c>
    </row>
    <row r="27" spans="1:21" ht="25.5" x14ac:dyDescent="0.2">
      <c r="M27" s="186"/>
      <c r="N27" s="238" t="s">
        <v>1665</v>
      </c>
      <c r="O27" s="238" t="s">
        <v>1666</v>
      </c>
      <c r="R27" s="781"/>
      <c r="S27" s="421" t="s">
        <v>1222</v>
      </c>
      <c r="T27" s="422">
        <v>6</v>
      </c>
      <c r="U27" s="423">
        <f>AVERAGE('Plan de Acción 2022'!W338:W343)</f>
        <v>7.4999999999999997E-2</v>
      </c>
    </row>
    <row r="28" spans="1:21" ht="25.5" x14ac:dyDescent="0.2">
      <c r="B28" s="186"/>
      <c r="C28" s="238" t="s">
        <v>1665</v>
      </c>
      <c r="D28" s="238" t="s">
        <v>1666</v>
      </c>
      <c r="M28" s="238" t="s">
        <v>1667</v>
      </c>
      <c r="N28" s="186">
        <f>0</f>
        <v>0</v>
      </c>
      <c r="O28" s="186">
        <v>0</v>
      </c>
      <c r="R28" s="781"/>
      <c r="S28" s="421" t="s">
        <v>1243</v>
      </c>
      <c r="T28" s="422">
        <v>22</v>
      </c>
      <c r="U28" s="423">
        <f>AVERAGE('Plan de Acción 2022'!W344:W366)</f>
        <v>0.2056521739130435</v>
      </c>
    </row>
    <row r="29" spans="1:21" ht="25.5" x14ac:dyDescent="0.25">
      <c r="B29" s="238" t="s">
        <v>1667</v>
      </c>
      <c r="C29" s="186">
        <f>0</f>
        <v>0</v>
      </c>
      <c r="D29" s="186">
        <v>0</v>
      </c>
      <c r="M29" s="239" t="s">
        <v>1668</v>
      </c>
      <c r="N29" s="239">
        <f>COS(N25)*-1</f>
        <v>-0.81938531529477177</v>
      </c>
      <c r="O29" s="239">
        <f>SIN(N25)</f>
        <v>0.57324314656111452</v>
      </c>
      <c r="R29" s="781"/>
      <c r="S29" s="421" t="s">
        <v>1300</v>
      </c>
      <c r="T29" s="422">
        <v>3</v>
      </c>
      <c r="U29" s="423">
        <f>AVERAGE('Plan de Acción 2022'!W367:W369)</f>
        <v>0.18333333333333335</v>
      </c>
    </row>
    <row r="30" spans="1:21" ht="25.5" x14ac:dyDescent="0.25">
      <c r="A30" s="198"/>
      <c r="B30" s="239" t="s">
        <v>1668</v>
      </c>
      <c r="C30" s="239">
        <f>COS(C26)*-1</f>
        <v>-0.8544584496844938</v>
      </c>
      <c r="D30" s="239">
        <f>SIN(C26)</f>
        <v>0.51951973760654313</v>
      </c>
      <c r="F30" s="198"/>
      <c r="G30" s="198"/>
      <c r="H30" s="198"/>
      <c r="R30" s="781"/>
      <c r="S30" s="421" t="s">
        <v>1317</v>
      </c>
      <c r="T30" s="422">
        <v>8</v>
      </c>
      <c r="U30" s="423">
        <f>AVERAGE('Plan de Acción 2022'!W370:W378)</f>
        <v>4.9999999999999996E-2</v>
      </c>
    </row>
    <row r="31" spans="1:21" ht="25.5" x14ac:dyDescent="0.25">
      <c r="A31" s="198"/>
      <c r="B31" s="198"/>
      <c r="C31" s="198"/>
      <c r="D31" s="198"/>
      <c r="E31" s="198"/>
      <c r="F31" s="198"/>
      <c r="G31" s="198"/>
      <c r="H31" s="198"/>
      <c r="R31" s="781"/>
      <c r="S31" s="421" t="s">
        <v>1341</v>
      </c>
      <c r="T31" s="422">
        <v>17</v>
      </c>
      <c r="U31" s="423">
        <f>AVERAGE('Plan de Acción 2022'!W379:W397)</f>
        <v>0.24249999999999997</v>
      </c>
    </row>
    <row r="32" spans="1:21" ht="25.5" x14ac:dyDescent="0.25">
      <c r="A32" s="198"/>
      <c r="C32" s="198"/>
      <c r="D32" s="198"/>
      <c r="E32" s="198"/>
      <c r="F32" s="198"/>
      <c r="G32" s="198"/>
      <c r="H32" s="198"/>
      <c r="R32" s="781"/>
      <c r="S32" s="421" t="s">
        <v>1382</v>
      </c>
      <c r="T32" s="422">
        <v>6</v>
      </c>
      <c r="U32" s="423">
        <f>AVERAGE('Plan de Acción 2022'!W400:W405)</f>
        <v>0.28333333333333333</v>
      </c>
    </row>
    <row r="33" spans="1:21" ht="15" x14ac:dyDescent="0.25">
      <c r="A33" s="198"/>
      <c r="B33" s="198"/>
      <c r="C33" s="198"/>
      <c r="D33" s="198"/>
      <c r="E33" s="198"/>
      <c r="F33" s="198"/>
      <c r="G33" s="198"/>
      <c r="H33" s="198"/>
      <c r="R33" s="781" t="s">
        <v>1669</v>
      </c>
      <c r="S33" s="421" t="s">
        <v>1407</v>
      </c>
      <c r="T33" s="422">
        <v>23</v>
      </c>
      <c r="U33" s="423">
        <f>AVERAGE('Plan de Acción 2022'!W407:W428)</f>
        <v>0.13409090909090909</v>
      </c>
    </row>
    <row r="34" spans="1:21" ht="15" x14ac:dyDescent="0.25">
      <c r="A34" s="198"/>
      <c r="B34" s="198" t="s">
        <v>1670</v>
      </c>
      <c r="C34" s="198"/>
      <c r="D34" s="198"/>
      <c r="E34" s="198"/>
      <c r="F34" s="198"/>
      <c r="G34" s="198"/>
      <c r="H34" s="198"/>
      <c r="R34" s="781"/>
      <c r="S34" s="421" t="s">
        <v>1465</v>
      </c>
      <c r="T34" s="422">
        <v>9</v>
      </c>
      <c r="U34" s="423">
        <f>AVERAGE('Plan de Acción 2022'!W429:W435)</f>
        <v>0.21428571428571427</v>
      </c>
    </row>
    <row r="35" spans="1:21" ht="15" x14ac:dyDescent="0.25">
      <c r="A35" s="198"/>
      <c r="B35" s="381" t="s">
        <v>1671</v>
      </c>
      <c r="C35" s="198"/>
      <c r="D35" s="198"/>
      <c r="E35" s="198"/>
      <c r="F35" s="198"/>
      <c r="G35" s="198"/>
      <c r="H35" s="198"/>
      <c r="R35" s="781"/>
      <c r="S35" s="421" t="s">
        <v>1492</v>
      </c>
      <c r="T35" s="422">
        <v>42</v>
      </c>
      <c r="U35" s="423">
        <f>AVERAGE('Plan de Acción 2022'!W436:W478)</f>
        <v>0.19186046511627908</v>
      </c>
    </row>
    <row r="36" spans="1:21" ht="15" x14ac:dyDescent="0.25">
      <c r="A36" s="198"/>
      <c r="B36" s="198"/>
      <c r="C36" s="198"/>
      <c r="D36" s="198"/>
      <c r="E36" s="198"/>
      <c r="F36" s="198"/>
      <c r="G36" s="198"/>
      <c r="H36" s="198"/>
      <c r="R36" s="781"/>
      <c r="S36" s="421" t="s">
        <v>1580</v>
      </c>
      <c r="T36" s="422">
        <v>21</v>
      </c>
      <c r="U36" s="423">
        <f>AVERAGE('Plan de Acción 2022'!W479:W500)</f>
        <v>8.1818181818181818E-2</v>
      </c>
    </row>
    <row r="37" spans="1:21" ht="15" x14ac:dyDescent="0.25">
      <c r="A37" s="198"/>
      <c r="B37" s="198"/>
      <c r="C37" s="198"/>
      <c r="D37" s="198"/>
      <c r="E37" s="198"/>
      <c r="F37" s="198"/>
      <c r="G37" s="198"/>
      <c r="H37" s="198"/>
      <c r="R37" s="781"/>
      <c r="S37" s="421" t="s">
        <v>1613</v>
      </c>
      <c r="T37" s="422">
        <v>8</v>
      </c>
      <c r="U37" s="423">
        <f>AVERAGE('Plan de Acción 2022'!W501:W508)</f>
        <v>7.8750000000000001E-2</v>
      </c>
    </row>
    <row r="38" spans="1:21" ht="15" x14ac:dyDescent="0.25">
      <c r="A38" s="198"/>
      <c r="B38" s="198"/>
      <c r="C38" s="198"/>
      <c r="D38" s="198"/>
      <c r="E38" s="198"/>
      <c r="F38" s="198"/>
      <c r="G38" s="198"/>
      <c r="H38" s="198"/>
      <c r="R38" s="781"/>
      <c r="S38" s="429" t="s">
        <v>1660</v>
      </c>
      <c r="T38" s="430">
        <f>SUM(T3:T37)</f>
        <v>470</v>
      </c>
      <c r="U38" s="431">
        <f>AVERAGE(U3:U37)</f>
        <v>0.20306772918258512</v>
      </c>
    </row>
    <row r="39" spans="1:21" ht="15" x14ac:dyDescent="0.25">
      <c r="A39" s="198"/>
      <c r="B39" s="198"/>
      <c r="C39" s="198"/>
      <c r="D39" s="198"/>
      <c r="E39" s="198"/>
      <c r="F39" s="198"/>
      <c r="G39" s="198"/>
      <c r="H39" s="198"/>
    </row>
    <row r="40" spans="1:21" ht="15" x14ac:dyDescent="0.25">
      <c r="A40" s="198"/>
      <c r="B40" s="198"/>
      <c r="C40" s="198"/>
      <c r="D40" s="198"/>
      <c r="E40" s="198"/>
      <c r="F40" s="198"/>
      <c r="G40" s="198"/>
      <c r="H40" s="198"/>
    </row>
    <row r="41" spans="1:21" ht="15" x14ac:dyDescent="0.25">
      <c r="A41" s="198"/>
      <c r="B41" s="198"/>
      <c r="C41" s="198"/>
      <c r="D41" s="198"/>
      <c r="E41" s="198"/>
      <c r="F41" s="198"/>
      <c r="G41" s="198"/>
      <c r="H41" s="198"/>
    </row>
    <row r="42" spans="1:21" ht="15" x14ac:dyDescent="0.25">
      <c r="A42" s="198"/>
      <c r="B42" s="198"/>
      <c r="C42" s="198"/>
      <c r="D42" s="198"/>
      <c r="E42" s="198"/>
      <c r="F42" s="198"/>
      <c r="G42" s="198"/>
      <c r="H42" s="198"/>
    </row>
    <row r="43" spans="1:21" ht="15" x14ac:dyDescent="0.25">
      <c r="A43" s="198"/>
      <c r="B43" s="198"/>
      <c r="C43" s="198"/>
      <c r="D43" s="198"/>
      <c r="E43" s="198"/>
      <c r="F43" s="198"/>
      <c r="G43" s="198"/>
      <c r="H43" s="198"/>
    </row>
    <row r="44" spans="1:21" ht="15" x14ac:dyDescent="0.25">
      <c r="A44" s="198"/>
      <c r="B44" s="198"/>
      <c r="C44" s="198"/>
      <c r="D44" s="198"/>
      <c r="E44" s="198"/>
      <c r="F44" s="198"/>
      <c r="G44" s="198"/>
      <c r="H44" s="198"/>
    </row>
    <row r="45" spans="1:21" ht="15" x14ac:dyDescent="0.25">
      <c r="A45" s="198"/>
      <c r="B45" s="198"/>
      <c r="C45" s="198"/>
      <c r="D45" s="198"/>
      <c r="E45" s="198"/>
      <c r="F45" s="198"/>
      <c r="G45" s="198"/>
      <c r="H45" s="198"/>
    </row>
    <row r="46" spans="1:21" ht="15" x14ac:dyDescent="0.25">
      <c r="A46" s="198"/>
      <c r="B46" s="198"/>
      <c r="C46" s="198"/>
      <c r="D46" s="198"/>
      <c r="E46" s="198"/>
      <c r="F46" s="198"/>
      <c r="G46" s="198"/>
      <c r="H46" s="198"/>
      <c r="I46" s="198"/>
      <c r="J46" s="198"/>
      <c r="K46" s="198"/>
    </row>
    <row r="47" spans="1:21" ht="15" x14ac:dyDescent="0.25">
      <c r="A47" s="198"/>
      <c r="B47" s="198"/>
      <c r="C47" s="198"/>
      <c r="D47" s="198"/>
      <c r="E47" s="198"/>
      <c r="F47" s="198"/>
      <c r="G47" s="198"/>
      <c r="H47" s="198"/>
      <c r="I47" s="198"/>
      <c r="J47" s="198"/>
      <c r="K47" s="198"/>
    </row>
    <row r="48" spans="1:21" ht="15" x14ac:dyDescent="0.25">
      <c r="A48" s="198"/>
      <c r="B48" s="198"/>
      <c r="C48" s="198"/>
      <c r="D48" s="198"/>
      <c r="E48" s="198"/>
      <c r="F48" s="198"/>
      <c r="G48" s="198"/>
      <c r="H48" s="198"/>
      <c r="I48" s="198"/>
      <c r="J48" s="198"/>
      <c r="K48" s="198"/>
    </row>
    <row r="49" spans="1:11" ht="15" x14ac:dyDescent="0.25">
      <c r="A49" s="198"/>
      <c r="B49" s="198"/>
      <c r="C49" s="198"/>
      <c r="D49" s="198"/>
      <c r="E49" s="198"/>
      <c r="F49" s="198"/>
      <c r="G49" s="198"/>
      <c r="H49" s="198"/>
      <c r="I49" s="198"/>
      <c r="J49" s="198"/>
      <c r="K49" s="198"/>
    </row>
    <row r="50" spans="1:11" ht="15" x14ac:dyDescent="0.25">
      <c r="A50" s="198"/>
      <c r="B50" s="198"/>
      <c r="C50" s="198"/>
      <c r="D50" s="198"/>
      <c r="E50" s="198"/>
      <c r="F50" s="198"/>
      <c r="G50" s="198"/>
      <c r="H50" s="198"/>
      <c r="I50" s="198"/>
      <c r="J50" s="198"/>
      <c r="K50" s="198"/>
    </row>
    <row r="51" spans="1:11" ht="15" x14ac:dyDescent="0.25">
      <c r="A51" s="198"/>
      <c r="B51" s="198"/>
      <c r="C51" s="198"/>
      <c r="D51" s="198"/>
      <c r="E51" s="198"/>
      <c r="F51" s="198"/>
      <c r="G51" s="198"/>
      <c r="H51" s="198"/>
      <c r="I51" s="198"/>
      <c r="J51" s="198"/>
      <c r="K51" s="198"/>
    </row>
    <row r="52" spans="1:11" ht="15" x14ac:dyDescent="0.25">
      <c r="A52" s="198"/>
      <c r="B52" s="198"/>
      <c r="C52" s="198"/>
      <c r="D52" s="198"/>
      <c r="E52" s="198"/>
      <c r="F52" s="198"/>
      <c r="G52" s="198"/>
      <c r="H52" s="198"/>
      <c r="I52" s="198"/>
      <c r="J52" s="198"/>
      <c r="K52" s="198"/>
    </row>
    <row r="53" spans="1:11" ht="15" x14ac:dyDescent="0.25">
      <c r="A53" s="198"/>
      <c r="B53" s="198"/>
      <c r="C53" s="198"/>
      <c r="D53" s="198"/>
      <c r="E53" s="198"/>
      <c r="F53" s="198"/>
      <c r="G53" s="198"/>
      <c r="H53" s="198"/>
      <c r="I53" s="198"/>
      <c r="J53" s="198"/>
      <c r="K53" s="198"/>
    </row>
    <row r="54" spans="1:11" ht="15" x14ac:dyDescent="0.25">
      <c r="A54" s="198"/>
      <c r="B54" s="198"/>
      <c r="C54" s="198"/>
      <c r="D54" s="198"/>
      <c r="E54" s="198"/>
      <c r="F54" s="198"/>
      <c r="G54" s="198"/>
      <c r="H54" s="198"/>
      <c r="I54" s="198"/>
      <c r="J54" s="198"/>
      <c r="K54" s="198"/>
    </row>
    <row r="55" spans="1:11" ht="15" x14ac:dyDescent="0.25">
      <c r="A55" s="198"/>
      <c r="B55" s="198"/>
      <c r="C55" s="198"/>
      <c r="D55" s="198"/>
      <c r="E55" s="198"/>
      <c r="F55" s="198"/>
      <c r="G55" s="198"/>
      <c r="H55" s="198"/>
      <c r="I55" s="198"/>
      <c r="J55" s="198"/>
      <c r="K55" s="198"/>
    </row>
    <row r="56" spans="1:11" ht="15" x14ac:dyDescent="0.25">
      <c r="A56" s="198"/>
      <c r="B56" s="198"/>
      <c r="C56" s="198"/>
      <c r="D56" s="198"/>
      <c r="E56" s="198"/>
      <c r="F56" s="198"/>
      <c r="G56" s="198"/>
      <c r="H56" s="198"/>
      <c r="I56" s="198"/>
      <c r="J56" s="198"/>
      <c r="K56" s="198"/>
    </row>
    <row r="57" spans="1:11" ht="15" x14ac:dyDescent="0.25">
      <c r="A57" s="198"/>
      <c r="B57" s="198"/>
      <c r="C57" s="198"/>
      <c r="D57" s="198"/>
      <c r="E57" s="198"/>
      <c r="F57" s="198"/>
      <c r="G57" s="198"/>
      <c r="H57" s="198"/>
      <c r="I57" s="198"/>
      <c r="J57" s="198"/>
      <c r="K57" s="198"/>
    </row>
    <row r="58" spans="1:11" ht="15" x14ac:dyDescent="0.25">
      <c r="A58" s="198"/>
      <c r="B58" s="198"/>
      <c r="C58" s="198"/>
      <c r="D58" s="198"/>
      <c r="E58" s="198"/>
      <c r="F58" s="198"/>
      <c r="G58" s="198"/>
      <c r="H58" s="198"/>
      <c r="I58" s="198"/>
      <c r="J58" s="198"/>
      <c r="K58" s="198"/>
    </row>
    <row r="59" spans="1:11" ht="15" x14ac:dyDescent="0.25">
      <c r="A59" s="198"/>
      <c r="B59" s="198"/>
      <c r="C59" s="198"/>
      <c r="D59" s="198"/>
      <c r="E59" s="198"/>
      <c r="F59" s="198"/>
      <c r="G59" s="198"/>
      <c r="H59" s="198"/>
      <c r="I59" s="198"/>
      <c r="J59" s="198"/>
      <c r="K59" s="198"/>
    </row>
    <row r="60" spans="1:11" ht="15" x14ac:dyDescent="0.25">
      <c r="A60" s="198"/>
      <c r="B60" s="198"/>
      <c r="C60" s="198"/>
      <c r="D60" s="198"/>
      <c r="E60" s="198"/>
      <c r="F60" s="198"/>
      <c r="G60" s="198"/>
      <c r="H60" s="198"/>
      <c r="I60" s="198"/>
      <c r="J60" s="198"/>
      <c r="K60" s="198"/>
    </row>
    <row r="61" spans="1:11" ht="15" x14ac:dyDescent="0.25">
      <c r="A61" s="198"/>
      <c r="B61" s="198"/>
      <c r="C61" s="198"/>
      <c r="D61" s="198"/>
      <c r="E61" s="198"/>
      <c r="F61" s="198"/>
      <c r="G61" s="198"/>
      <c r="H61" s="198"/>
      <c r="I61" s="198"/>
      <c r="J61" s="198"/>
      <c r="K61" s="198"/>
    </row>
    <row r="62" spans="1:11" ht="15" x14ac:dyDescent="0.25">
      <c r="A62" s="198"/>
      <c r="B62" s="198"/>
      <c r="C62" s="198"/>
      <c r="D62" s="198"/>
      <c r="E62" s="198"/>
      <c r="F62" s="198"/>
      <c r="G62" s="198"/>
      <c r="H62" s="198"/>
      <c r="I62" s="198"/>
      <c r="J62" s="198"/>
      <c r="K62" s="198"/>
    </row>
    <row r="63" spans="1:11" ht="15" x14ac:dyDescent="0.25">
      <c r="A63" s="198"/>
      <c r="B63" s="198"/>
      <c r="C63" s="198"/>
      <c r="D63" s="198"/>
      <c r="E63" s="198"/>
      <c r="F63" s="198"/>
      <c r="G63" s="198"/>
      <c r="H63" s="198"/>
      <c r="I63" s="198"/>
      <c r="J63" s="198"/>
      <c r="K63" s="198"/>
    </row>
    <row r="64" spans="1:11" ht="15" x14ac:dyDescent="0.25">
      <c r="A64" s="198"/>
      <c r="B64" s="198"/>
      <c r="C64" s="198"/>
      <c r="D64" s="198"/>
      <c r="E64" s="198"/>
      <c r="F64" s="198"/>
      <c r="G64" s="198"/>
      <c r="H64" s="198"/>
      <c r="I64" s="198"/>
      <c r="J64" s="198"/>
      <c r="K64" s="198"/>
    </row>
    <row r="65" spans="1:11" ht="15" x14ac:dyDescent="0.25">
      <c r="A65" s="198"/>
      <c r="B65" s="198"/>
      <c r="C65" s="198"/>
      <c r="D65" s="198"/>
      <c r="E65" s="198"/>
      <c r="F65" s="198"/>
      <c r="G65" s="198"/>
      <c r="H65" s="198"/>
      <c r="I65" s="198"/>
      <c r="J65" s="198"/>
      <c r="K65" s="198"/>
    </row>
    <row r="66" spans="1:11" ht="15" x14ac:dyDescent="0.25">
      <c r="A66" s="198"/>
      <c r="B66" s="198"/>
      <c r="C66" s="198"/>
      <c r="D66" s="198"/>
      <c r="E66" s="198"/>
      <c r="F66" s="198"/>
      <c r="G66" s="198"/>
      <c r="H66" s="198"/>
      <c r="I66" s="198"/>
      <c r="J66" s="198"/>
      <c r="K66" s="198"/>
    </row>
    <row r="67" spans="1:11" ht="15" x14ac:dyDescent="0.25">
      <c r="A67" s="198"/>
      <c r="B67" s="198"/>
      <c r="C67" s="198"/>
      <c r="D67" s="198"/>
      <c r="E67" s="198"/>
      <c r="F67" s="198"/>
      <c r="G67" s="198"/>
      <c r="H67" s="198"/>
      <c r="I67" s="198"/>
      <c r="J67" s="198"/>
      <c r="K67" s="198"/>
    </row>
    <row r="68" spans="1:11" ht="15" x14ac:dyDescent="0.25">
      <c r="A68" s="198"/>
      <c r="B68" s="198"/>
      <c r="C68" s="198"/>
      <c r="D68" s="198"/>
      <c r="E68" s="198"/>
      <c r="F68" s="198"/>
      <c r="G68" s="198"/>
      <c r="H68" s="198"/>
      <c r="I68" s="198"/>
      <c r="J68" s="198"/>
      <c r="K68" s="198"/>
    </row>
    <row r="69" spans="1:11" ht="15" x14ac:dyDescent="0.25">
      <c r="A69" s="198"/>
      <c r="B69" s="198"/>
      <c r="C69" s="198"/>
      <c r="D69" s="198"/>
      <c r="E69" s="198"/>
      <c r="F69" s="198"/>
      <c r="G69" s="198"/>
      <c r="H69" s="198"/>
      <c r="I69" s="198"/>
      <c r="J69" s="198"/>
      <c r="K69" s="198"/>
    </row>
    <row r="70" spans="1:11" ht="15" x14ac:dyDescent="0.25">
      <c r="A70" s="198"/>
      <c r="B70" s="198"/>
      <c r="C70" s="198"/>
      <c r="D70" s="198"/>
      <c r="E70" s="198"/>
      <c r="F70" s="198"/>
      <c r="G70" s="198"/>
      <c r="H70" s="198"/>
      <c r="I70" s="198"/>
      <c r="J70" s="198"/>
      <c r="K70" s="198"/>
    </row>
    <row r="71" spans="1:11" ht="15" x14ac:dyDescent="0.25">
      <c r="A71" s="198"/>
      <c r="B71" s="198"/>
      <c r="C71" s="198"/>
      <c r="D71" s="198"/>
      <c r="E71" s="198"/>
      <c r="F71" s="198"/>
      <c r="G71" s="198"/>
      <c r="H71" s="198"/>
      <c r="I71" s="198"/>
      <c r="J71" s="198"/>
      <c r="K71" s="198"/>
    </row>
    <row r="72" spans="1:11" ht="15" x14ac:dyDescent="0.25">
      <c r="A72" s="198"/>
      <c r="B72" s="198"/>
      <c r="C72" s="198"/>
      <c r="D72" s="198"/>
      <c r="E72" s="198"/>
      <c r="F72" s="198"/>
      <c r="G72" s="198"/>
      <c r="H72" s="198"/>
      <c r="I72" s="198"/>
      <c r="J72" s="198"/>
      <c r="K72" s="198"/>
    </row>
    <row r="73" spans="1:11" ht="15" x14ac:dyDescent="0.25">
      <c r="A73" s="198"/>
      <c r="B73" s="198"/>
      <c r="C73" s="198"/>
      <c r="D73" s="198"/>
      <c r="E73" s="198"/>
      <c r="F73" s="198"/>
      <c r="G73" s="198"/>
      <c r="H73" s="198"/>
      <c r="I73" s="198"/>
      <c r="J73" s="198"/>
      <c r="K73" s="198"/>
    </row>
    <row r="74" spans="1:11" ht="15" x14ac:dyDescent="0.25">
      <c r="A74" s="198"/>
      <c r="B74" s="198"/>
      <c r="C74" s="198"/>
      <c r="D74" s="198"/>
      <c r="E74" s="198"/>
      <c r="F74" s="198"/>
      <c r="G74" s="198"/>
      <c r="H74" s="198"/>
      <c r="I74" s="198"/>
      <c r="J74" s="198"/>
      <c r="K74" s="198"/>
    </row>
    <row r="75" spans="1:11" ht="15" x14ac:dyDescent="0.25">
      <c r="A75" s="198"/>
      <c r="B75" s="198"/>
      <c r="C75" s="198"/>
      <c r="D75" s="198"/>
      <c r="E75" s="198"/>
      <c r="F75" s="198"/>
      <c r="G75" s="198"/>
      <c r="H75" s="198"/>
      <c r="I75" s="198"/>
      <c r="J75" s="198"/>
      <c r="K75" s="198"/>
    </row>
    <row r="76" spans="1:11" ht="15" x14ac:dyDescent="0.25">
      <c r="A76" s="198"/>
      <c r="B76" s="198"/>
      <c r="C76" s="198"/>
      <c r="D76" s="198"/>
      <c r="E76" s="198"/>
      <c r="F76" s="198"/>
      <c r="G76" s="198"/>
      <c r="H76" s="198"/>
      <c r="I76" s="198"/>
      <c r="J76" s="198"/>
      <c r="K76" s="198"/>
    </row>
    <row r="77" spans="1:11" ht="15" x14ac:dyDescent="0.25">
      <c r="A77" s="198"/>
      <c r="B77" s="198"/>
      <c r="C77" s="198"/>
      <c r="D77" s="198"/>
      <c r="E77" s="198"/>
      <c r="F77" s="198"/>
      <c r="G77" s="198"/>
      <c r="H77" s="198"/>
      <c r="I77" s="198"/>
      <c r="J77" s="198"/>
      <c r="K77" s="198"/>
    </row>
    <row r="78" spans="1:11" ht="15" x14ac:dyDescent="0.25">
      <c r="A78" s="198"/>
      <c r="B78" s="198"/>
      <c r="C78" s="198"/>
      <c r="D78" s="198"/>
      <c r="E78" s="198"/>
      <c r="F78" s="198"/>
      <c r="G78" s="198"/>
      <c r="H78" s="198"/>
      <c r="I78" s="198"/>
      <c r="J78" s="198"/>
      <c r="K78" s="198"/>
    </row>
    <row r="79" spans="1:11" ht="15" x14ac:dyDescent="0.25">
      <c r="A79" s="198"/>
      <c r="B79" s="198"/>
      <c r="C79" s="198"/>
      <c r="D79" s="198"/>
      <c r="E79" s="198"/>
      <c r="F79" s="198"/>
      <c r="G79" s="198"/>
      <c r="H79" s="198"/>
      <c r="I79" s="198"/>
      <c r="J79" s="198"/>
      <c r="K79" s="198"/>
    </row>
    <row r="80" spans="1:11" ht="15" x14ac:dyDescent="0.25">
      <c r="A80" s="198"/>
      <c r="B80" s="198"/>
      <c r="C80" s="198"/>
      <c r="D80" s="198"/>
      <c r="E80" s="198"/>
      <c r="F80" s="198"/>
      <c r="G80" s="198"/>
      <c r="H80" s="198"/>
      <c r="I80" s="198"/>
      <c r="J80" s="198"/>
      <c r="K80" s="198"/>
    </row>
    <row r="81" spans="1:11" ht="15" x14ac:dyDescent="0.25">
      <c r="A81" s="198"/>
      <c r="B81" s="198"/>
      <c r="C81" s="198"/>
      <c r="D81" s="198"/>
      <c r="E81" s="198"/>
      <c r="F81" s="198"/>
      <c r="G81" s="198"/>
      <c r="H81" s="198"/>
      <c r="I81" s="198"/>
      <c r="J81" s="198"/>
      <c r="K81" s="198"/>
    </row>
    <row r="82" spans="1:11" ht="15" x14ac:dyDescent="0.25">
      <c r="A82" s="198"/>
      <c r="B82" s="198"/>
      <c r="C82" s="198"/>
      <c r="D82" s="198"/>
      <c r="E82" s="198"/>
      <c r="F82" s="198"/>
      <c r="G82" s="198"/>
      <c r="H82" s="198"/>
      <c r="I82" s="198"/>
      <c r="J82" s="198"/>
      <c r="K82" s="198"/>
    </row>
    <row r="83" spans="1:11" ht="15" x14ac:dyDescent="0.25">
      <c r="A83" s="198"/>
      <c r="B83" s="198"/>
      <c r="C83" s="198"/>
      <c r="D83" s="198"/>
      <c r="E83" s="198"/>
      <c r="F83" s="198"/>
      <c r="G83" s="198"/>
      <c r="H83" s="198"/>
      <c r="I83" s="198"/>
      <c r="J83" s="198"/>
      <c r="K83" s="198"/>
    </row>
    <row r="84" spans="1:11" ht="15" x14ac:dyDescent="0.25">
      <c r="A84" s="198"/>
      <c r="B84" s="198"/>
      <c r="C84" s="198"/>
      <c r="D84" s="198"/>
      <c r="E84" s="198"/>
      <c r="F84" s="198"/>
      <c r="G84" s="198"/>
      <c r="H84" s="198"/>
      <c r="I84" s="198"/>
      <c r="J84" s="198"/>
      <c r="K84" s="198"/>
    </row>
    <row r="85" spans="1:11" ht="15" x14ac:dyDescent="0.25">
      <c r="A85" s="198"/>
      <c r="B85" s="198"/>
      <c r="C85" s="198"/>
      <c r="D85" s="198"/>
      <c r="E85" s="198"/>
      <c r="F85" s="198"/>
    </row>
    <row r="86" spans="1:11" ht="15" x14ac:dyDescent="0.25">
      <c r="A86" s="198"/>
      <c r="B86" s="198"/>
      <c r="C86" s="198"/>
      <c r="D86" s="198"/>
      <c r="E86" s="198"/>
      <c r="F86" s="198"/>
    </row>
    <row r="87" spans="1:11" ht="15" x14ac:dyDescent="0.25">
      <c r="A87" s="198"/>
      <c r="B87" s="198"/>
      <c r="C87" s="198"/>
      <c r="D87" s="198"/>
      <c r="E87" s="198"/>
      <c r="F87" s="198"/>
    </row>
    <row r="88" spans="1:11" ht="15" x14ac:dyDescent="0.25">
      <c r="A88" s="198"/>
      <c r="B88" s="198"/>
      <c r="C88" s="198"/>
      <c r="D88" s="198"/>
      <c r="E88" s="198"/>
      <c r="F88" s="198"/>
    </row>
    <row r="89" spans="1:11" ht="15" x14ac:dyDescent="0.25">
      <c r="A89" s="198"/>
      <c r="B89" s="198"/>
      <c r="C89" s="198"/>
      <c r="D89" s="198"/>
      <c r="E89" s="198"/>
      <c r="F89" s="198"/>
    </row>
    <row r="90" spans="1:11" ht="15" x14ac:dyDescent="0.25">
      <c r="A90" s="198"/>
      <c r="B90" s="198"/>
      <c r="C90" s="198"/>
      <c r="D90" s="198"/>
      <c r="E90" s="198"/>
      <c r="F90" s="198"/>
    </row>
    <row r="91" spans="1:11" ht="15" x14ac:dyDescent="0.25">
      <c r="A91" s="198"/>
      <c r="B91" s="198"/>
      <c r="C91" s="198"/>
      <c r="D91" s="198"/>
      <c r="E91" s="198"/>
      <c r="F91" s="198"/>
    </row>
    <row r="92" spans="1:11" ht="15" x14ac:dyDescent="0.25">
      <c r="A92" s="198"/>
      <c r="B92" s="198"/>
      <c r="C92" s="198"/>
      <c r="D92" s="198"/>
      <c r="E92" s="198"/>
      <c r="F92" s="198"/>
    </row>
    <row r="93" spans="1:11" ht="15" x14ac:dyDescent="0.25">
      <c r="A93" s="198"/>
      <c r="B93" s="198"/>
      <c r="C93" s="198"/>
      <c r="D93" s="198"/>
      <c r="E93" s="198"/>
      <c r="F93" s="198"/>
    </row>
    <row r="94" spans="1:11" ht="15" x14ac:dyDescent="0.25">
      <c r="A94" s="198"/>
      <c r="B94" s="198"/>
      <c r="C94" s="198"/>
      <c r="D94" s="198"/>
      <c r="E94" s="198"/>
      <c r="F94" s="198"/>
    </row>
    <row r="95" spans="1:11" ht="15" x14ac:dyDescent="0.25">
      <c r="A95" s="198"/>
      <c r="B95" s="198"/>
      <c r="C95" s="198"/>
      <c r="D95" s="198"/>
      <c r="E95" s="198"/>
      <c r="F95" s="198"/>
    </row>
    <row r="96" spans="1:11" ht="15" x14ac:dyDescent="0.25">
      <c r="A96" s="198"/>
      <c r="B96" s="198"/>
      <c r="C96" s="198"/>
      <c r="D96" s="198"/>
      <c r="E96" s="198"/>
      <c r="F96" s="198"/>
    </row>
    <row r="97" spans="1:6" ht="15" x14ac:dyDescent="0.25">
      <c r="A97" s="198"/>
      <c r="B97" s="198"/>
      <c r="C97" s="198"/>
      <c r="D97" s="198"/>
      <c r="E97" s="198"/>
      <c r="F97" s="198"/>
    </row>
    <row r="98" spans="1:6" ht="15" x14ac:dyDescent="0.25">
      <c r="A98" s="198"/>
      <c r="B98" s="198"/>
      <c r="C98" s="198"/>
      <c r="D98" s="198"/>
      <c r="E98" s="198"/>
      <c r="F98" s="198"/>
    </row>
    <row r="99" spans="1:6" ht="15" x14ac:dyDescent="0.25">
      <c r="A99" s="198"/>
      <c r="B99" s="198"/>
      <c r="C99" s="198"/>
      <c r="D99" s="198"/>
      <c r="E99" s="198"/>
      <c r="F99" s="198"/>
    </row>
    <row r="100" spans="1:6" ht="15" x14ac:dyDescent="0.25">
      <c r="A100" s="198"/>
      <c r="B100" s="198"/>
      <c r="C100" s="198"/>
      <c r="D100" s="198"/>
      <c r="E100" s="198"/>
      <c r="F100" s="198"/>
    </row>
    <row r="101" spans="1:6" ht="15" x14ac:dyDescent="0.25">
      <c r="A101" s="198"/>
      <c r="B101" s="198"/>
      <c r="C101" s="198"/>
      <c r="D101" s="198"/>
      <c r="E101" s="198"/>
      <c r="F101" s="198"/>
    </row>
    <row r="102" spans="1:6" ht="15" x14ac:dyDescent="0.25">
      <c r="A102" s="198"/>
      <c r="B102" s="198"/>
      <c r="C102" s="198"/>
      <c r="D102" s="198"/>
      <c r="E102" s="198"/>
      <c r="F102" s="198"/>
    </row>
    <row r="103" spans="1:6" ht="15" x14ac:dyDescent="0.25">
      <c r="A103" s="198"/>
      <c r="B103" s="198"/>
      <c r="C103" s="198"/>
      <c r="D103" s="198"/>
      <c r="E103" s="198"/>
      <c r="F103" s="198"/>
    </row>
    <row r="104" spans="1:6" ht="15" x14ac:dyDescent="0.25">
      <c r="A104" s="198"/>
      <c r="B104" s="198"/>
      <c r="C104" s="198"/>
      <c r="D104" s="198"/>
      <c r="E104" s="198"/>
      <c r="F104" s="198"/>
    </row>
    <row r="105" spans="1:6" ht="15" x14ac:dyDescent="0.25">
      <c r="A105" s="198"/>
      <c r="B105" s="198"/>
      <c r="C105" s="198"/>
      <c r="D105" s="198"/>
      <c r="E105" s="198"/>
      <c r="F105" s="198"/>
    </row>
    <row r="106" spans="1:6" ht="15" x14ac:dyDescent="0.25">
      <c r="A106" s="198"/>
      <c r="B106" s="198"/>
      <c r="C106" s="198"/>
      <c r="D106" s="198"/>
      <c r="E106" s="198"/>
      <c r="F106" s="198"/>
    </row>
    <row r="107" spans="1:6" ht="15" x14ac:dyDescent="0.25">
      <c r="A107" s="198"/>
      <c r="B107" s="198"/>
      <c r="C107" s="198"/>
      <c r="D107" s="198"/>
      <c r="E107" s="198"/>
      <c r="F107" s="198"/>
    </row>
    <row r="108" spans="1:6" ht="15" x14ac:dyDescent="0.25">
      <c r="A108" s="198"/>
      <c r="B108" s="198"/>
      <c r="C108" s="198"/>
      <c r="D108" s="198"/>
      <c r="E108" s="198"/>
      <c r="F108" s="198"/>
    </row>
    <row r="109" spans="1:6" ht="15" x14ac:dyDescent="0.25">
      <c r="A109" s="198"/>
      <c r="B109" s="198"/>
      <c r="C109" s="198"/>
      <c r="D109" s="198"/>
      <c r="E109" s="198"/>
      <c r="F109" s="198"/>
    </row>
    <row r="110" spans="1:6" ht="15" x14ac:dyDescent="0.25">
      <c r="A110" s="198"/>
      <c r="B110" s="198"/>
      <c r="C110" s="198"/>
      <c r="D110" s="198"/>
      <c r="E110" s="198"/>
      <c r="F110" s="198"/>
    </row>
    <row r="111" spans="1:6" ht="15" x14ac:dyDescent="0.25">
      <c r="A111" s="198"/>
      <c r="B111" s="198"/>
      <c r="C111" s="198"/>
      <c r="D111" s="198"/>
      <c r="E111" s="198"/>
      <c r="F111" s="198"/>
    </row>
    <row r="112" spans="1:6" ht="15" x14ac:dyDescent="0.25">
      <c r="A112" s="198"/>
      <c r="B112" s="198"/>
      <c r="C112" s="198"/>
      <c r="D112" s="198"/>
      <c r="E112" s="198"/>
      <c r="F112" s="198"/>
    </row>
    <row r="113" spans="1:6" ht="15" x14ac:dyDescent="0.25">
      <c r="A113" s="198"/>
      <c r="B113" s="198"/>
      <c r="C113" s="198"/>
      <c r="D113" s="198"/>
      <c r="E113" s="198"/>
      <c r="F113" s="198"/>
    </row>
    <row r="114" spans="1:6" ht="15" x14ac:dyDescent="0.25">
      <c r="A114" s="198"/>
      <c r="B114" s="198"/>
      <c r="C114" s="198"/>
      <c r="D114" s="198"/>
      <c r="E114" s="198"/>
      <c r="F114" s="198"/>
    </row>
    <row r="115" spans="1:6" ht="15" x14ac:dyDescent="0.25">
      <c r="A115" s="198"/>
      <c r="B115" s="198"/>
      <c r="C115" s="198"/>
      <c r="D115" s="198"/>
      <c r="E115" s="198"/>
      <c r="F115" s="198"/>
    </row>
    <row r="116" spans="1:6" ht="15" x14ac:dyDescent="0.25">
      <c r="A116" s="198"/>
      <c r="B116" s="198"/>
      <c r="C116" s="198"/>
      <c r="D116" s="198"/>
      <c r="E116" s="198"/>
      <c r="F116" s="198"/>
    </row>
    <row r="117" spans="1:6" ht="15" x14ac:dyDescent="0.25">
      <c r="A117" s="198"/>
      <c r="B117" s="198"/>
      <c r="C117" s="198"/>
      <c r="D117" s="198"/>
      <c r="E117" s="198"/>
      <c r="F117" s="198"/>
    </row>
    <row r="118" spans="1:6" ht="15" x14ac:dyDescent="0.25">
      <c r="A118" s="198"/>
      <c r="B118" s="198"/>
      <c r="C118" s="198"/>
      <c r="D118" s="198"/>
      <c r="E118" s="198"/>
      <c r="F118" s="198"/>
    </row>
    <row r="119" spans="1:6" ht="15" x14ac:dyDescent="0.25">
      <c r="A119" s="198"/>
      <c r="B119" s="198"/>
      <c r="C119" s="198"/>
      <c r="D119" s="198"/>
      <c r="E119" s="198"/>
      <c r="F119" s="198"/>
    </row>
    <row r="120" spans="1:6" ht="15" x14ac:dyDescent="0.25">
      <c r="A120" s="198"/>
      <c r="B120" s="198"/>
      <c r="C120" s="198"/>
      <c r="D120" s="198"/>
      <c r="E120" s="198"/>
      <c r="F120" s="198"/>
    </row>
    <row r="121" spans="1:6" ht="15" x14ac:dyDescent="0.25">
      <c r="A121" s="198"/>
      <c r="B121" s="198"/>
      <c r="C121" s="198"/>
      <c r="D121" s="198"/>
      <c r="E121" s="198"/>
      <c r="F121" s="198"/>
    </row>
    <row r="122" spans="1:6" ht="15" x14ac:dyDescent="0.25">
      <c r="A122" s="198"/>
      <c r="B122" s="198"/>
      <c r="C122" s="198"/>
      <c r="D122" s="198"/>
      <c r="E122" s="198"/>
      <c r="F122" s="198"/>
    </row>
    <row r="123" spans="1:6" ht="15" x14ac:dyDescent="0.25">
      <c r="A123" s="198"/>
      <c r="B123" s="198"/>
      <c r="C123" s="198"/>
      <c r="D123" s="198"/>
      <c r="E123" s="198"/>
      <c r="F123" s="198"/>
    </row>
    <row r="124" spans="1:6" ht="15" x14ac:dyDescent="0.25">
      <c r="A124" s="198"/>
      <c r="B124" s="198"/>
      <c r="C124" s="198"/>
      <c r="D124" s="198"/>
      <c r="E124" s="198"/>
      <c r="F124" s="198"/>
    </row>
    <row r="125" spans="1:6" ht="15" x14ac:dyDescent="0.25">
      <c r="A125" s="198"/>
      <c r="B125" s="198"/>
      <c r="C125" s="198"/>
      <c r="D125" s="198"/>
      <c r="E125" s="198"/>
      <c r="F125" s="198"/>
    </row>
    <row r="126" spans="1:6" ht="15" x14ac:dyDescent="0.25">
      <c r="A126" s="198"/>
      <c r="B126" s="198"/>
      <c r="C126" s="198"/>
      <c r="D126" s="198"/>
      <c r="E126" s="198"/>
      <c r="F126" s="198"/>
    </row>
    <row r="127" spans="1:6" ht="15" x14ac:dyDescent="0.25">
      <c r="A127" s="198"/>
      <c r="B127" s="198"/>
      <c r="C127" s="198"/>
      <c r="D127" s="198"/>
      <c r="E127" s="198"/>
      <c r="F127" s="198"/>
    </row>
    <row r="128" spans="1:6" ht="15" x14ac:dyDescent="0.25">
      <c r="A128" s="198"/>
      <c r="B128" s="198"/>
      <c r="C128" s="198"/>
      <c r="D128" s="198"/>
      <c r="E128" s="198"/>
      <c r="F128" s="198"/>
    </row>
    <row r="129" spans="1:6" ht="15" x14ac:dyDescent="0.25">
      <c r="A129" s="198"/>
      <c r="B129" s="198"/>
      <c r="C129" s="198"/>
      <c r="D129" s="198"/>
      <c r="E129" s="198"/>
      <c r="F129" s="198"/>
    </row>
    <row r="130" spans="1:6" ht="15" x14ac:dyDescent="0.25">
      <c r="A130" s="198"/>
      <c r="B130" s="198"/>
      <c r="C130" s="198"/>
      <c r="D130" s="198"/>
      <c r="E130" s="198"/>
      <c r="F130" s="198"/>
    </row>
    <row r="131" spans="1:6" ht="15" x14ac:dyDescent="0.25">
      <c r="A131" s="198"/>
      <c r="B131" s="198"/>
      <c r="C131" s="198"/>
      <c r="D131" s="198"/>
      <c r="E131" s="198"/>
      <c r="F131" s="198"/>
    </row>
    <row r="132" spans="1:6" ht="15" x14ac:dyDescent="0.25">
      <c r="A132" s="198"/>
      <c r="B132" s="198"/>
      <c r="C132" s="198"/>
      <c r="D132" s="198"/>
      <c r="E132" s="198"/>
      <c r="F132" s="198"/>
    </row>
    <row r="133" spans="1:6" ht="15" x14ac:dyDescent="0.25">
      <c r="A133" s="198"/>
      <c r="B133" s="198"/>
      <c r="C133" s="198"/>
      <c r="D133" s="198"/>
      <c r="E133" s="198"/>
      <c r="F133" s="198"/>
    </row>
    <row r="134" spans="1:6" ht="15" x14ac:dyDescent="0.25">
      <c r="A134" s="198"/>
      <c r="B134" s="198"/>
      <c r="C134" s="198"/>
      <c r="D134" s="198"/>
      <c r="E134" s="198"/>
      <c r="F134" s="198"/>
    </row>
    <row r="135" spans="1:6" ht="15" x14ac:dyDescent="0.25">
      <c r="A135" s="198"/>
      <c r="B135" s="198"/>
      <c r="C135" s="198"/>
      <c r="D135" s="198"/>
      <c r="E135" s="198"/>
      <c r="F135" s="198"/>
    </row>
    <row r="136" spans="1:6" ht="15" x14ac:dyDescent="0.25">
      <c r="A136" s="198"/>
      <c r="B136" s="198"/>
      <c r="C136" s="198"/>
      <c r="D136" s="198"/>
      <c r="E136" s="198"/>
      <c r="F136" s="198"/>
    </row>
    <row r="137" spans="1:6" ht="15" x14ac:dyDescent="0.25">
      <c r="A137" s="198"/>
      <c r="B137" s="198"/>
      <c r="C137" s="198"/>
      <c r="D137" s="198"/>
      <c r="E137" s="198"/>
      <c r="F137" s="198"/>
    </row>
    <row r="138" spans="1:6" ht="15" x14ac:dyDescent="0.25">
      <c r="A138" s="198"/>
      <c r="B138" s="198"/>
      <c r="C138" s="198"/>
      <c r="D138" s="198"/>
      <c r="E138" s="198"/>
      <c r="F138" s="198"/>
    </row>
    <row r="139" spans="1:6" ht="15" x14ac:dyDescent="0.25">
      <c r="A139" s="198"/>
      <c r="B139" s="198"/>
      <c r="C139" s="198"/>
      <c r="D139" s="198"/>
      <c r="E139" s="198"/>
      <c r="F139" s="198"/>
    </row>
    <row r="140" spans="1:6" ht="15" x14ac:dyDescent="0.25">
      <c r="A140" s="198"/>
      <c r="B140" s="198"/>
      <c r="C140" s="198"/>
      <c r="D140" s="198"/>
      <c r="E140" s="198"/>
      <c r="F140" s="198"/>
    </row>
    <row r="141" spans="1:6" ht="15" x14ac:dyDescent="0.25">
      <c r="A141" s="198"/>
      <c r="B141" s="198"/>
      <c r="C141" s="198"/>
      <c r="D141" s="198"/>
      <c r="E141" s="198"/>
      <c r="F141" s="198"/>
    </row>
    <row r="142" spans="1:6" ht="15" x14ac:dyDescent="0.25">
      <c r="A142" s="198"/>
      <c r="B142" s="198"/>
      <c r="C142" s="198"/>
      <c r="D142" s="198"/>
      <c r="E142" s="198"/>
      <c r="F142" s="198"/>
    </row>
    <row r="143" spans="1:6" ht="15" x14ac:dyDescent="0.25">
      <c r="A143" s="198"/>
      <c r="B143" s="198"/>
      <c r="C143" s="198"/>
      <c r="D143" s="198"/>
      <c r="E143" s="198"/>
      <c r="F143" s="198"/>
    </row>
    <row r="144" spans="1:6" ht="15" x14ac:dyDescent="0.25">
      <c r="A144" s="198"/>
      <c r="B144" s="198"/>
      <c r="C144" s="198"/>
      <c r="D144" s="198"/>
      <c r="E144" s="198"/>
      <c r="F144" s="198"/>
    </row>
    <row r="145" spans="1:6" ht="15" x14ac:dyDescent="0.25">
      <c r="A145" s="198"/>
      <c r="B145" s="198"/>
      <c r="C145" s="198"/>
      <c r="D145" s="198"/>
      <c r="E145" s="198"/>
      <c r="F145" s="198"/>
    </row>
    <row r="146" spans="1:6" ht="15" x14ac:dyDescent="0.25">
      <c r="A146" s="198"/>
      <c r="B146" s="198"/>
      <c r="C146" s="198"/>
      <c r="D146" s="198"/>
      <c r="E146" s="198"/>
      <c r="F146" s="198"/>
    </row>
    <row r="147" spans="1:6" ht="15" x14ac:dyDescent="0.25">
      <c r="A147" s="198"/>
      <c r="B147" s="198"/>
      <c r="C147" s="198"/>
      <c r="D147" s="198"/>
      <c r="E147" s="198"/>
      <c r="F147" s="198"/>
    </row>
    <row r="148" spans="1:6" ht="15" x14ac:dyDescent="0.25">
      <c r="A148" s="198"/>
      <c r="B148" s="198"/>
      <c r="C148" s="198"/>
      <c r="D148" s="198"/>
      <c r="E148" s="198"/>
      <c r="F148" s="198"/>
    </row>
    <row r="149" spans="1:6" ht="15" x14ac:dyDescent="0.25">
      <c r="A149" s="198"/>
      <c r="B149" s="198"/>
      <c r="C149" s="198"/>
      <c r="D149" s="198"/>
      <c r="E149" s="198"/>
      <c r="F149" s="198"/>
    </row>
    <row r="150" spans="1:6" ht="15" x14ac:dyDescent="0.25">
      <c r="A150" s="198"/>
      <c r="B150" s="198"/>
      <c r="C150" s="198"/>
      <c r="D150" s="198"/>
      <c r="E150" s="198"/>
      <c r="F150" s="198"/>
    </row>
    <row r="151" spans="1:6" ht="15" x14ac:dyDescent="0.25">
      <c r="A151" s="198"/>
      <c r="B151" s="198"/>
      <c r="C151" s="198"/>
      <c r="D151" s="198"/>
      <c r="E151" s="198"/>
      <c r="F151" s="198"/>
    </row>
    <row r="152" spans="1:6" ht="15" x14ac:dyDescent="0.25">
      <c r="A152" s="198"/>
      <c r="B152" s="198"/>
      <c r="C152" s="198"/>
      <c r="D152" s="198"/>
      <c r="E152" s="198"/>
      <c r="F152" s="198"/>
    </row>
    <row r="153" spans="1:6" ht="15" x14ac:dyDescent="0.25">
      <c r="A153" s="198"/>
      <c r="B153" s="198"/>
      <c r="C153" s="198"/>
      <c r="D153" s="198"/>
      <c r="E153" s="198"/>
      <c r="F153" s="198"/>
    </row>
    <row r="154" spans="1:6" ht="15" x14ac:dyDescent="0.25">
      <c r="A154" s="198"/>
      <c r="B154" s="198"/>
      <c r="C154" s="198"/>
      <c r="D154" s="198"/>
      <c r="E154" s="198"/>
      <c r="F154" s="198"/>
    </row>
    <row r="155" spans="1:6" ht="15" x14ac:dyDescent="0.25">
      <c r="A155" s="198"/>
      <c r="B155" s="198"/>
      <c r="C155" s="198"/>
      <c r="D155" s="198"/>
      <c r="E155" s="198"/>
      <c r="F155" s="198"/>
    </row>
    <row r="156" spans="1:6" ht="15" x14ac:dyDescent="0.25">
      <c r="A156" s="198"/>
      <c r="B156" s="198"/>
      <c r="C156" s="198"/>
      <c r="D156" s="198"/>
      <c r="E156" s="198"/>
      <c r="F156" s="198"/>
    </row>
    <row r="157" spans="1:6" ht="15" x14ac:dyDescent="0.25">
      <c r="A157" s="198"/>
      <c r="B157" s="198"/>
      <c r="C157" s="198"/>
      <c r="D157" s="198"/>
      <c r="E157" s="198"/>
      <c r="F157" s="198"/>
    </row>
    <row r="158" spans="1:6" ht="15" x14ac:dyDescent="0.25">
      <c r="A158" s="198"/>
      <c r="B158" s="198"/>
      <c r="C158" s="198"/>
      <c r="D158" s="198"/>
      <c r="E158" s="198"/>
      <c r="F158" s="198"/>
    </row>
    <row r="159" spans="1:6" ht="15" x14ac:dyDescent="0.25">
      <c r="A159" s="198"/>
      <c r="B159" s="198"/>
      <c r="C159" s="198"/>
      <c r="D159" s="198"/>
      <c r="E159" s="198"/>
      <c r="F159" s="198"/>
    </row>
    <row r="160" spans="1:6" ht="15" x14ac:dyDescent="0.25">
      <c r="A160" s="198"/>
      <c r="B160" s="198"/>
      <c r="C160" s="198"/>
      <c r="D160" s="198"/>
      <c r="E160" s="198"/>
      <c r="F160" s="198"/>
    </row>
    <row r="161" spans="1:6" ht="15" x14ac:dyDescent="0.25">
      <c r="A161" s="198"/>
      <c r="B161" s="198"/>
      <c r="C161" s="198"/>
      <c r="D161" s="198"/>
      <c r="E161" s="198"/>
      <c r="F161" s="198"/>
    </row>
    <row r="162" spans="1:6" ht="15" x14ac:dyDescent="0.25">
      <c r="A162" s="198"/>
      <c r="B162" s="198"/>
      <c r="C162" s="198"/>
      <c r="D162" s="198"/>
      <c r="E162" s="198"/>
      <c r="F162" s="198"/>
    </row>
    <row r="163" spans="1:6" ht="15" x14ac:dyDescent="0.25">
      <c r="A163" s="198"/>
      <c r="B163" s="198"/>
      <c r="C163" s="198"/>
      <c r="D163" s="198"/>
      <c r="E163" s="198"/>
      <c r="F163" s="198"/>
    </row>
    <row r="164" spans="1:6" ht="15" x14ac:dyDescent="0.25">
      <c r="A164" s="198"/>
      <c r="B164" s="198"/>
      <c r="C164" s="198"/>
      <c r="D164" s="198"/>
      <c r="E164" s="198"/>
      <c r="F164" s="198"/>
    </row>
    <row r="165" spans="1:6" ht="15" x14ac:dyDescent="0.25">
      <c r="A165" s="198"/>
      <c r="B165" s="198"/>
      <c r="C165" s="198"/>
      <c r="D165" s="198"/>
      <c r="E165" s="198"/>
      <c r="F165" s="198"/>
    </row>
    <row r="166" spans="1:6" ht="15" x14ac:dyDescent="0.25">
      <c r="A166" s="198"/>
      <c r="B166" s="198"/>
      <c r="C166" s="198"/>
      <c r="D166" s="198"/>
      <c r="E166" s="198"/>
      <c r="F166" s="198"/>
    </row>
    <row r="167" spans="1:6" ht="15" x14ac:dyDescent="0.25">
      <c r="A167" s="198"/>
      <c r="B167" s="198"/>
      <c r="C167" s="198"/>
      <c r="D167" s="198"/>
      <c r="E167" s="198"/>
      <c r="F167" s="198"/>
    </row>
    <row r="168" spans="1:6" ht="15" x14ac:dyDescent="0.25">
      <c r="A168" s="198"/>
      <c r="B168" s="198"/>
      <c r="C168" s="198"/>
      <c r="D168" s="198"/>
      <c r="E168" s="198"/>
      <c r="F168" s="198"/>
    </row>
    <row r="169" spans="1:6" ht="15" x14ac:dyDescent="0.25">
      <c r="A169" s="198"/>
      <c r="B169" s="198"/>
      <c r="C169" s="198"/>
      <c r="D169" s="198"/>
      <c r="E169" s="198"/>
      <c r="F169" s="198"/>
    </row>
    <row r="170" spans="1:6" ht="15" x14ac:dyDescent="0.25">
      <c r="A170" s="198"/>
      <c r="B170" s="198"/>
      <c r="C170" s="198"/>
      <c r="D170" s="198"/>
      <c r="E170" s="198"/>
      <c r="F170" s="198"/>
    </row>
    <row r="171" spans="1:6" ht="15" x14ac:dyDescent="0.25">
      <c r="A171" s="198"/>
      <c r="B171" s="198"/>
      <c r="C171" s="198"/>
      <c r="D171" s="198"/>
      <c r="E171" s="198"/>
      <c r="F171" s="198"/>
    </row>
    <row r="172" spans="1:6" ht="15" x14ac:dyDescent="0.25">
      <c r="A172" s="198"/>
      <c r="B172" s="198"/>
      <c r="C172" s="198"/>
      <c r="D172" s="198"/>
      <c r="E172" s="198"/>
      <c r="F172" s="198"/>
    </row>
    <row r="173" spans="1:6" ht="15" x14ac:dyDescent="0.25">
      <c r="A173" s="198"/>
      <c r="B173" s="198"/>
      <c r="C173" s="198"/>
      <c r="D173" s="198"/>
      <c r="E173" s="198"/>
      <c r="F173" s="198"/>
    </row>
    <row r="174" spans="1:6" ht="15" x14ac:dyDescent="0.25">
      <c r="A174" s="198"/>
      <c r="B174" s="198"/>
      <c r="C174" s="198"/>
      <c r="D174" s="198"/>
      <c r="E174" s="198"/>
      <c r="F174" s="198"/>
    </row>
    <row r="175" spans="1:6" ht="15" x14ac:dyDescent="0.25">
      <c r="A175" s="198"/>
      <c r="B175" s="198"/>
      <c r="C175" s="198"/>
      <c r="D175" s="198"/>
      <c r="E175" s="198"/>
      <c r="F175" s="198"/>
    </row>
    <row r="176" spans="1:6" ht="15" x14ac:dyDescent="0.25">
      <c r="A176" s="198"/>
      <c r="B176" s="198"/>
      <c r="C176" s="198"/>
      <c r="D176" s="198"/>
      <c r="E176" s="198"/>
      <c r="F176" s="198"/>
    </row>
    <row r="177" spans="1:6" ht="15" x14ac:dyDescent="0.25">
      <c r="A177" s="198"/>
      <c r="B177" s="198"/>
      <c r="C177" s="198"/>
      <c r="D177" s="198"/>
      <c r="E177" s="198"/>
      <c r="F177" s="198"/>
    </row>
    <row r="178" spans="1:6" ht="15" x14ac:dyDescent="0.25">
      <c r="A178" s="198"/>
      <c r="B178" s="198"/>
      <c r="C178" s="198"/>
      <c r="D178" s="198"/>
      <c r="E178" s="198"/>
      <c r="F178" s="198"/>
    </row>
    <row r="179" spans="1:6" ht="15" x14ac:dyDescent="0.25">
      <c r="A179" s="198"/>
      <c r="B179" s="198"/>
      <c r="C179" s="198"/>
      <c r="D179" s="198"/>
      <c r="E179" s="198"/>
      <c r="F179" s="198"/>
    </row>
    <row r="180" spans="1:6" ht="15" x14ac:dyDescent="0.25">
      <c r="A180" s="198"/>
      <c r="B180" s="198"/>
      <c r="C180" s="198"/>
      <c r="D180" s="198"/>
      <c r="E180" s="198"/>
      <c r="F180" s="198"/>
    </row>
    <row r="181" spans="1:6" ht="15" x14ac:dyDescent="0.25">
      <c r="A181" s="198"/>
      <c r="B181" s="198"/>
      <c r="C181" s="198"/>
      <c r="D181" s="198"/>
      <c r="E181" s="198"/>
      <c r="F181" s="198"/>
    </row>
    <row r="182" spans="1:6" ht="15" x14ac:dyDescent="0.25">
      <c r="A182" s="198"/>
      <c r="B182" s="198"/>
      <c r="C182" s="198"/>
      <c r="D182" s="198"/>
      <c r="E182" s="198"/>
      <c r="F182" s="198"/>
    </row>
    <row r="183" spans="1:6" ht="15" x14ac:dyDescent="0.25">
      <c r="A183" s="198"/>
      <c r="B183" s="198"/>
      <c r="C183" s="198"/>
      <c r="D183" s="198"/>
      <c r="E183" s="198"/>
      <c r="F183" s="198"/>
    </row>
    <row r="184" spans="1:6" ht="15" x14ac:dyDescent="0.25">
      <c r="A184" s="198"/>
      <c r="B184" s="198"/>
      <c r="C184" s="198"/>
      <c r="D184" s="198"/>
      <c r="E184" s="198"/>
      <c r="F184" s="198"/>
    </row>
    <row r="185" spans="1:6" ht="15" x14ac:dyDescent="0.25">
      <c r="A185" s="198"/>
      <c r="B185" s="198"/>
      <c r="C185" s="198"/>
      <c r="D185" s="198"/>
      <c r="E185" s="198"/>
      <c r="F185" s="198"/>
    </row>
    <row r="186" spans="1:6" ht="15" x14ac:dyDescent="0.25">
      <c r="A186" s="198"/>
      <c r="B186" s="198"/>
      <c r="C186" s="198"/>
      <c r="D186" s="198"/>
      <c r="E186" s="198"/>
      <c r="F186" s="198"/>
    </row>
    <row r="187" spans="1:6" ht="15" x14ac:dyDescent="0.25">
      <c r="A187" s="198"/>
      <c r="B187" s="198"/>
      <c r="C187" s="198"/>
      <c r="D187" s="198"/>
      <c r="E187" s="198"/>
      <c r="F187" s="198"/>
    </row>
    <row r="188" spans="1:6" ht="15" x14ac:dyDescent="0.25">
      <c r="A188" s="198"/>
      <c r="B188" s="198"/>
      <c r="C188" s="198"/>
      <c r="D188" s="198"/>
      <c r="E188" s="198"/>
      <c r="F188" s="198"/>
    </row>
    <row r="189" spans="1:6" ht="15" x14ac:dyDescent="0.25">
      <c r="A189" s="198"/>
      <c r="B189" s="198"/>
      <c r="C189" s="198"/>
      <c r="D189" s="198"/>
      <c r="E189" s="198"/>
      <c r="F189" s="198"/>
    </row>
    <row r="190" spans="1:6" ht="15" x14ac:dyDescent="0.25">
      <c r="A190" s="198"/>
      <c r="B190" s="198"/>
      <c r="C190" s="198"/>
      <c r="D190" s="198"/>
      <c r="E190" s="198"/>
      <c r="F190" s="198"/>
    </row>
    <row r="191" spans="1:6" ht="15" x14ac:dyDescent="0.25">
      <c r="A191" s="198"/>
      <c r="B191" s="198"/>
      <c r="C191" s="198"/>
      <c r="D191" s="198"/>
      <c r="E191" s="198"/>
      <c r="F191" s="198"/>
    </row>
    <row r="192" spans="1:6" ht="15" x14ac:dyDescent="0.25">
      <c r="A192" s="198"/>
      <c r="B192" s="198"/>
      <c r="C192" s="198"/>
      <c r="D192" s="198"/>
      <c r="E192" s="198"/>
      <c r="F192" s="198"/>
    </row>
  </sheetData>
  <mergeCells count="8">
    <mergeCell ref="R33:R38"/>
    <mergeCell ref="S1:U1"/>
    <mergeCell ref="B1:E1"/>
    <mergeCell ref="G2:K2"/>
    <mergeCell ref="M1:P1"/>
    <mergeCell ref="R3:R12"/>
    <mergeCell ref="R13:R20"/>
    <mergeCell ref="R21:R32"/>
  </mergeCells>
  <hyperlinks>
    <hyperlink ref="B35" r:id="rId1"/>
  </hyperlinks>
  <pageMargins left="0.7" right="0.7" top="0.75" bottom="0.75" header="0.3" footer="0.3"/>
  <ignoredErrors>
    <ignoredError sqref="U3"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Z495"/>
  <sheetViews>
    <sheetView topLeftCell="D5" zoomScale="70" zoomScaleNormal="70" workbookViewId="0">
      <pane ySplit="3" topLeftCell="A25" activePane="bottomLeft" state="frozen"/>
      <selection activeCell="E5" sqref="E5"/>
      <selection pane="bottomLeft" activeCell="M25" sqref="M25"/>
    </sheetView>
  </sheetViews>
  <sheetFormatPr baseColWidth="10" defaultColWidth="11.42578125" defaultRowHeight="43.5" customHeight="1" x14ac:dyDescent="0.2"/>
  <cols>
    <col min="1" max="1" width="11.28515625" style="16" hidden="1" customWidth="1"/>
    <col min="2" max="2" width="7" style="16" hidden="1" customWidth="1"/>
    <col min="3" max="3" width="6.5703125" style="16" hidden="1" customWidth="1"/>
    <col min="4" max="4" width="15" style="16" customWidth="1"/>
    <col min="5" max="5" width="12.42578125" style="16" customWidth="1"/>
    <col min="6" max="6" width="20.28515625" style="266" customWidth="1"/>
    <col min="7" max="7" width="38.7109375" style="197" customWidth="1"/>
    <col min="8" max="8" width="23.42578125" style="266" customWidth="1"/>
    <col min="9" max="9" width="10.7109375" style="19" customWidth="1"/>
    <col min="10" max="13" width="9.7109375" style="19" customWidth="1"/>
    <col min="14" max="14" width="8.140625" style="19" customWidth="1"/>
    <col min="15" max="15" width="9.7109375" style="19" customWidth="1"/>
    <col min="16" max="16" width="80.7109375" style="19" customWidth="1"/>
    <col min="17" max="17" width="14.7109375" style="19" customWidth="1"/>
    <col min="18" max="18" width="12.5703125" style="19" customWidth="1"/>
    <col min="19" max="19" width="9.5703125" style="18" customWidth="1"/>
    <col min="20" max="20" width="13.5703125" style="18" customWidth="1"/>
    <col min="21" max="21" width="9.28515625" style="19" customWidth="1"/>
    <col min="22" max="22" width="13" style="18" customWidth="1"/>
    <col min="23" max="23" width="14.28515625" style="94" customWidth="1"/>
    <col min="24" max="24" width="16.42578125" style="94" customWidth="1"/>
    <col min="25" max="25" width="44.42578125" style="95" customWidth="1"/>
    <col min="26" max="31" width="44.42578125" style="18" customWidth="1"/>
    <col min="32" max="48" width="16.28515625" style="18" customWidth="1"/>
    <col min="49" max="49" width="16.85546875" style="18" customWidth="1"/>
    <col min="50" max="50" width="44.5703125" style="18" customWidth="1"/>
    <col min="51" max="16384" width="11.42578125" style="18"/>
  </cols>
  <sheetData>
    <row r="1" spans="1:338" s="21" customFormat="1" ht="77.25" hidden="1" customHeight="1" thickBot="1" x14ac:dyDescent="0.35">
      <c r="A1" s="23"/>
      <c r="B1" s="24"/>
      <c r="C1" s="24"/>
      <c r="D1" s="789"/>
      <c r="E1" s="789"/>
      <c r="F1" s="789"/>
      <c r="G1" s="789"/>
      <c r="H1" s="789"/>
      <c r="I1" s="789"/>
      <c r="J1" s="789"/>
      <c r="K1" s="789"/>
      <c r="L1" s="789"/>
      <c r="M1" s="789"/>
      <c r="N1" s="789"/>
      <c r="O1" s="789"/>
      <c r="P1" s="789"/>
      <c r="Q1" s="789"/>
      <c r="R1" s="789"/>
      <c r="S1" s="789"/>
      <c r="T1" s="789"/>
      <c r="U1" s="789"/>
      <c r="V1" s="789"/>
      <c r="W1" s="789"/>
      <c r="X1" s="789"/>
      <c r="Y1" s="789"/>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0"/>
    </row>
    <row r="2" spans="1:338" s="21" customFormat="1" ht="43.5" hidden="1" customHeight="1" thickBot="1" x14ac:dyDescent="0.35">
      <c r="A2" s="23"/>
      <c r="B2" s="24"/>
      <c r="C2" s="24"/>
      <c r="D2" s="790" t="s">
        <v>1672</v>
      </c>
      <c r="E2" s="790"/>
      <c r="F2" s="790"/>
      <c r="G2" s="790"/>
      <c r="H2" s="790"/>
      <c r="I2" s="790"/>
      <c r="J2" s="790"/>
      <c r="K2" s="790"/>
      <c r="L2" s="790"/>
      <c r="M2" s="790"/>
      <c r="N2" s="790"/>
      <c r="O2" s="790"/>
      <c r="P2" s="790"/>
      <c r="Q2" s="790"/>
      <c r="R2" s="790"/>
      <c r="S2" s="790"/>
      <c r="T2" s="790"/>
      <c r="U2" s="790"/>
      <c r="V2" s="790"/>
      <c r="W2" s="790"/>
      <c r="X2" s="790"/>
      <c r="Y2" s="790"/>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0"/>
    </row>
    <row r="3" spans="1:338" s="29" customFormat="1" ht="43.5" hidden="1" customHeight="1" thickBot="1" x14ac:dyDescent="0.3">
      <c r="A3" s="25"/>
      <c r="B3" s="26"/>
      <c r="C3" s="26"/>
      <c r="D3" s="791" t="s">
        <v>1673</v>
      </c>
      <c r="E3" s="791"/>
      <c r="F3" s="791"/>
      <c r="G3" s="791"/>
      <c r="H3" s="791"/>
      <c r="I3" s="791"/>
      <c r="J3" s="791"/>
      <c r="K3" s="791"/>
      <c r="L3" s="791"/>
      <c r="M3" s="791"/>
      <c r="N3" s="791"/>
      <c r="O3" s="791"/>
      <c r="P3" s="791"/>
      <c r="Q3" s="791"/>
      <c r="R3" s="791"/>
      <c r="S3" s="791"/>
      <c r="T3" s="791"/>
      <c r="U3" s="791"/>
      <c r="V3" s="791"/>
      <c r="W3" s="791"/>
      <c r="X3" s="791"/>
      <c r="Y3" s="791"/>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8"/>
    </row>
    <row r="4" spans="1:338" s="29" customFormat="1" ht="62.25" customHeight="1" thickBot="1" x14ac:dyDescent="0.3">
      <c r="A4" s="315"/>
      <c r="B4" s="315"/>
      <c r="C4" s="315"/>
      <c r="D4" s="796"/>
      <c r="E4" s="796"/>
      <c r="F4" s="796"/>
      <c r="G4" s="796"/>
      <c r="H4" s="796"/>
      <c r="I4" s="796"/>
      <c r="J4" s="796"/>
      <c r="K4" s="796"/>
      <c r="L4" s="796"/>
      <c r="M4" s="796"/>
      <c r="N4" s="796"/>
      <c r="O4" s="796"/>
      <c r="P4" s="796"/>
      <c r="Q4" s="796"/>
      <c r="R4" s="796"/>
      <c r="S4" s="796"/>
      <c r="T4" s="796"/>
      <c r="U4" s="796"/>
      <c r="V4" s="796"/>
      <c r="W4" s="796"/>
      <c r="X4" s="796"/>
      <c r="Y4" s="796"/>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8"/>
    </row>
    <row r="5" spans="1:338" s="21" customFormat="1" ht="33.75" customHeight="1" x14ac:dyDescent="0.3">
      <c r="A5" s="30"/>
      <c r="B5" s="30"/>
      <c r="C5" s="30"/>
      <c r="D5" s="793" t="s">
        <v>1672</v>
      </c>
      <c r="E5" s="794"/>
      <c r="F5" s="794"/>
      <c r="G5" s="794"/>
      <c r="H5" s="794"/>
      <c r="I5" s="794"/>
      <c r="J5" s="794"/>
      <c r="K5" s="794"/>
      <c r="L5" s="794"/>
      <c r="M5" s="795"/>
      <c r="N5" s="792" t="s">
        <v>1674</v>
      </c>
      <c r="O5" s="792"/>
      <c r="P5" s="792"/>
      <c r="Q5" s="792" t="s">
        <v>1675</v>
      </c>
      <c r="R5" s="792"/>
      <c r="S5" s="792"/>
      <c r="T5" s="792" t="s">
        <v>1676</v>
      </c>
      <c r="U5" s="792"/>
      <c r="V5" s="792"/>
      <c r="W5" s="792" t="s">
        <v>1677</v>
      </c>
      <c r="X5" s="792"/>
      <c r="Y5" s="792"/>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20"/>
    </row>
    <row r="6" spans="1:338" s="21" customFormat="1" ht="19.5" customHeight="1" x14ac:dyDescent="0.3">
      <c r="A6" s="30"/>
      <c r="B6" s="30"/>
      <c r="C6" s="30"/>
      <c r="D6" s="808" t="s">
        <v>1678</v>
      </c>
      <c r="E6" s="809"/>
      <c r="F6" s="809"/>
      <c r="G6" s="809"/>
      <c r="H6" s="809"/>
      <c r="I6" s="809"/>
      <c r="J6" s="809"/>
      <c r="K6" s="809"/>
      <c r="L6" s="809"/>
      <c r="M6" s="810"/>
      <c r="N6" s="495"/>
      <c r="O6" s="495"/>
      <c r="P6" s="495"/>
      <c r="Q6" s="495"/>
      <c r="R6" s="495"/>
      <c r="S6" s="495"/>
      <c r="T6" s="495"/>
      <c r="U6" s="495"/>
      <c r="V6" s="495"/>
      <c r="W6" s="495"/>
      <c r="X6" s="495"/>
      <c r="Y6" s="495"/>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20"/>
    </row>
    <row r="7" spans="1:338" s="37" customFormat="1" ht="47.25" customHeight="1" x14ac:dyDescent="0.2">
      <c r="A7" s="32" t="s">
        <v>1679</v>
      </c>
      <c r="B7" s="33" t="s">
        <v>1680</v>
      </c>
      <c r="C7" s="34" t="s">
        <v>1681</v>
      </c>
      <c r="D7" s="35" t="s">
        <v>1640</v>
      </c>
      <c r="E7" s="32" t="s">
        <v>1682</v>
      </c>
      <c r="F7" s="32" t="s">
        <v>1683</v>
      </c>
      <c r="G7" s="32" t="s">
        <v>1684</v>
      </c>
      <c r="H7" s="32" t="s">
        <v>1685</v>
      </c>
      <c r="I7" s="32" t="s">
        <v>1686</v>
      </c>
      <c r="J7" s="32" t="s">
        <v>1687</v>
      </c>
      <c r="K7" s="32" t="s">
        <v>1688</v>
      </c>
      <c r="L7" s="32" t="s">
        <v>1689</v>
      </c>
      <c r="M7" s="32" t="s">
        <v>1690</v>
      </c>
      <c r="N7" s="32" t="s">
        <v>1691</v>
      </c>
      <c r="O7" s="32" t="s">
        <v>1692</v>
      </c>
      <c r="P7" s="32" t="s">
        <v>1693</v>
      </c>
      <c r="Q7" s="32" t="s">
        <v>1691</v>
      </c>
      <c r="R7" s="32" t="s">
        <v>1692</v>
      </c>
      <c r="S7" s="32" t="s">
        <v>1693</v>
      </c>
      <c r="T7" s="32" t="s">
        <v>1691</v>
      </c>
      <c r="U7" s="32" t="s">
        <v>1692</v>
      </c>
      <c r="V7" s="32" t="s">
        <v>1693</v>
      </c>
      <c r="W7" s="32" t="s">
        <v>1691</v>
      </c>
      <c r="X7" s="32" t="s">
        <v>1692</v>
      </c>
      <c r="Y7" s="32" t="s">
        <v>1693</v>
      </c>
      <c r="Z7" s="36"/>
      <c r="AA7" s="36"/>
      <c r="AB7" s="36"/>
      <c r="AC7" s="36"/>
      <c r="AD7" s="36"/>
      <c r="AE7" s="36"/>
      <c r="AF7" s="36"/>
      <c r="AG7" s="36"/>
      <c r="AH7" s="36"/>
      <c r="AI7" s="36"/>
      <c r="AJ7" s="36"/>
      <c r="AK7" s="36"/>
      <c r="AL7" s="36"/>
      <c r="AM7" s="36"/>
      <c r="AN7" s="36"/>
      <c r="AO7" s="36"/>
      <c r="AP7" s="36"/>
      <c r="AQ7" s="36"/>
      <c r="AR7" s="36"/>
      <c r="AS7" s="36"/>
      <c r="AT7" s="36"/>
      <c r="AU7" s="36"/>
      <c r="AV7" s="36"/>
      <c r="AW7" s="36"/>
      <c r="AX7" s="36"/>
    </row>
    <row r="8" spans="1:338" s="37" customFormat="1" ht="6.75" customHeight="1" x14ac:dyDescent="0.2">
      <c r="A8" s="378"/>
      <c r="B8" s="33"/>
      <c r="C8" s="34"/>
      <c r="D8" s="35"/>
      <c r="E8" s="32"/>
      <c r="F8" s="32"/>
      <c r="G8" s="32"/>
      <c r="H8" s="32"/>
      <c r="I8" s="32"/>
      <c r="J8" s="32"/>
      <c r="K8" s="32"/>
      <c r="L8" s="32"/>
      <c r="M8" s="32"/>
      <c r="N8" s="32"/>
      <c r="O8" s="32"/>
      <c r="P8" s="379"/>
      <c r="Q8" s="32"/>
      <c r="R8" s="32"/>
      <c r="S8" s="32"/>
      <c r="T8" s="32"/>
      <c r="U8" s="32"/>
      <c r="V8" s="313"/>
      <c r="W8" s="32"/>
      <c r="X8" s="32"/>
      <c r="Y8" s="313"/>
      <c r="Z8" s="36"/>
      <c r="AA8" s="36"/>
      <c r="AB8" s="36"/>
      <c r="AC8" s="36"/>
      <c r="AD8" s="36"/>
      <c r="AE8" s="36"/>
      <c r="AF8" s="36"/>
      <c r="AG8" s="36"/>
      <c r="AH8" s="36"/>
      <c r="AI8" s="36"/>
      <c r="AJ8" s="36"/>
      <c r="AK8" s="36"/>
      <c r="AL8" s="36"/>
      <c r="AM8" s="36"/>
      <c r="AN8" s="36"/>
      <c r="AO8" s="36"/>
      <c r="AP8" s="36"/>
      <c r="AQ8" s="36"/>
      <c r="AR8" s="36"/>
      <c r="AS8" s="36"/>
      <c r="AT8" s="36"/>
      <c r="AU8" s="36"/>
      <c r="AV8" s="36"/>
      <c r="AW8" s="36"/>
      <c r="AX8" s="36"/>
    </row>
    <row r="9" spans="1:338" s="47" customFormat="1" ht="91.5" customHeight="1" x14ac:dyDescent="0.25">
      <c r="A9" s="38">
        <v>1</v>
      </c>
      <c r="B9" s="39">
        <v>0</v>
      </c>
      <c r="C9" s="40">
        <v>1</v>
      </c>
      <c r="D9" s="41" t="s">
        <v>1646</v>
      </c>
      <c r="E9" s="42" t="s">
        <v>1694</v>
      </c>
      <c r="F9" s="489" t="s">
        <v>1075</v>
      </c>
      <c r="G9" s="489" t="s">
        <v>181</v>
      </c>
      <c r="H9" s="489" t="s">
        <v>184</v>
      </c>
      <c r="I9" s="43">
        <v>0.2</v>
      </c>
      <c r="J9" s="43">
        <v>0.5</v>
      </c>
      <c r="K9" s="43">
        <v>0.5</v>
      </c>
      <c r="L9" s="43">
        <f>'Plan de Acción 2022'!R50</f>
        <v>0.7</v>
      </c>
      <c r="M9" s="43">
        <v>1</v>
      </c>
      <c r="N9" s="43">
        <f>('Plan de Acción 2022'!W38+'Plan de Acción 2022'!W39+'Plan de Acción 2022'!W40+'Plan de Acción 2022'!W41+'Plan de Acción 2022'!W42+'Plan de Acción 2022'!W43+'Plan de Acción 2022'!W44+'Plan de Acción 2022'!W45+'Plan de Acción 2022'!W46+'Plan de Acción 2022'!W47+'Plan de Acción 2022'!W48+'Plan de Acción 2022'!W49+'Plan de Acción 2022'!W50+'Plan de Acción 2022'!W52+'Plan de Acción 2022'!W53+'Plan de Acción 2022'!W54+'Plan de Acción 2022'!W55+'Plan de Acción 2022'!W56+'Plan de Acción 2022'!W57+'Plan de Acción 2022'!W283+'Plan de Acción 2022'!W284+'Plan de Acción 2022'!W293+'Plan de Acción 2022'!W293+'Plan de Acción 2022'!W320+'Plan de Acción 2022'!W331+'Plan de Acción 2022'!W332+'Plan de Acción 2022'!W347+'Plan de Acción 2022'!W348+'Plan de Acción 2022'!W349+'Plan de Acción 2022'!W350)/30</f>
        <v>0.24000000000000002</v>
      </c>
      <c r="O9" s="420">
        <f>(N9*20%)/(L9-K9)</f>
        <v>0.2400000000000001</v>
      </c>
      <c r="P9" s="56" t="s">
        <v>1695</v>
      </c>
      <c r="Q9" s="43">
        <f>('Plan de Acción 2022'!Z38+'Plan de Acción 2022'!Z39+'Plan de Acción 2022'!Z40+'Plan de Acción 2022'!Z41+'Plan de Acción 2022'!Z42+'Plan de Acción 2022'!Z43+'Plan de Acción 2022'!Z44+'Plan de Acción 2022'!Z45+'Plan de Acción 2022'!Z46+'Plan de Acción 2022'!Z47+'Plan de Acción 2022'!Z48+'Plan de Acción 2022'!Z49+'Plan de Acción 2022'!Z50+'Plan de Acción 2022'!Z52+'Plan de Acción 2022'!Z53+'Plan de Acción 2022'!Z54+'Plan de Acción 2022'!Z55+'Plan de Acción 2022'!Z56+'Plan de Acción 2022'!Z57+'Plan de Acción 2022'!Z283+'Plan de Acción 2022'!Z284+'Plan de Acción 2022'!Z293+'Plan de Acción 2022'!Z293+'Plan de Acción 2022'!Z320+'Plan de Acción 2022'!Z331+'Plan de Acción 2022'!Z332+'Plan de Acción 2022'!Z347+'Plan de Acción 2022'!Z348+'Plan de Acción 2022'!Z349+'Plan de Acción 2022'!Z350)/30</f>
        <v>0</v>
      </c>
      <c r="R9" s="43">
        <f>('Plan de Acción 2022'!AA38+'Plan de Acción 2022'!AA39+'Plan de Acción 2022'!AA40+'Plan de Acción 2022'!AA41+'Plan de Acción 2022'!AA42+'Plan de Acción 2022'!AA43+'Plan de Acción 2022'!AA44+'Plan de Acción 2022'!AA45+'Plan de Acción 2022'!AA46+'Plan de Acción 2022'!AA47+'Plan de Acción 2022'!AA48+'Plan de Acción 2022'!AA49+'Plan de Acción 2022'!AA50+'Plan de Acción 2022'!AA52+'Plan de Acción 2022'!AA53+'Plan de Acción 2022'!AA54+'Plan de Acción 2022'!AA55+'Plan de Acción 2022'!AA56+'Plan de Acción 2022'!AA57+'Plan de Acción 2022'!AA283+'Plan de Acción 2022'!AA284+'Plan de Acción 2022'!AA293+'Plan de Acción 2022'!AA293+'Plan de Acción 2022'!AA320+'Plan de Acción 2022'!AA331+'Plan de Acción 2022'!AA332+'Plan de Acción 2022'!AA347+'Plan de Acción 2022'!AA348+'Plan de Acción 2022'!AA349+'Plan de Acción 2022'!AA350)/28</f>
        <v>0</v>
      </c>
      <c r="S9" s="489"/>
      <c r="T9" s="43">
        <f>('Plan de Acción 2022'!AC38+'Plan de Acción 2022'!AC39+'Plan de Acción 2022'!AC40+'Plan de Acción 2022'!AC41+'Plan de Acción 2022'!AC42+'Plan de Acción 2022'!AC43+'Plan de Acción 2022'!AC44+'Plan de Acción 2022'!AC45+'Plan de Acción 2022'!AC46+'Plan de Acción 2022'!AC47+'Plan de Acción 2022'!AC48+'Plan de Acción 2022'!AC49+'Plan de Acción 2022'!AC50+'Plan de Acción 2022'!AC52+'Plan de Acción 2022'!AC53+'Plan de Acción 2022'!AC54+'Plan de Acción 2022'!AC55+'Plan de Acción 2022'!AC56+'Plan de Acción 2022'!AC57+'Plan de Acción 2022'!AC283+'Plan de Acción 2022'!AC284+'Plan de Acción 2022'!AC293+'Plan de Acción 2022'!AC293+'Plan de Acción 2022'!AC320+'Plan de Acción 2022'!AC331+'Plan de Acción 2022'!AC332+'Plan de Acción 2022'!AC347+'Plan de Acción 2022'!AC348+'Plan de Acción 2022'!AC349+'Plan de Acción 2022'!AC350)/30</f>
        <v>0</v>
      </c>
      <c r="U9" s="43">
        <f>(T9*100%)/(L9-K9)</f>
        <v>0</v>
      </c>
      <c r="V9" s="44"/>
      <c r="W9" s="43">
        <f>('Plan de Acción 2022'!AF38+'Plan de Acción 2022'!AF39+'Plan de Acción 2022'!AF40+'Plan de Acción 2022'!AF41+'Plan de Acción 2022'!AF42+'Plan de Acción 2022'!AF43+'Plan de Acción 2022'!AF44+'Plan de Acción 2022'!AF45+'Plan de Acción 2022'!AF46+'Plan de Acción 2022'!AF47+'Plan de Acción 2022'!AF48+'Plan de Acción 2022'!AF49+'Plan de Acción 2022'!AF50+'Plan de Acción 2022'!AF52+'Plan de Acción 2022'!AF53+'Plan de Acción 2022'!AF54+'Plan de Acción 2022'!AF55+'Plan de Acción 2022'!AF56+'Plan de Acción 2022'!AF57+'Plan de Acción 2022'!AF283+'Plan de Acción 2022'!AF284+'Plan de Acción 2022'!AF293+'Plan de Acción 2022'!AF293+'Plan de Acción 2022'!AF320+'Plan de Acción 2022'!AF331+'Plan de Acción 2022'!AF332+'Plan de Acción 2022'!AF347+'Plan de Acción 2022'!AF348+'Plan de Acción 2022'!AF349+'Plan de Acción 2022'!AF350)/30</f>
        <v>0</v>
      </c>
      <c r="X9" s="43">
        <f>(W9*100%)/(L9-K9)</f>
        <v>0</v>
      </c>
      <c r="Y9" s="45"/>
      <c r="Z9" s="46"/>
      <c r="AA9" s="31"/>
      <c r="AB9" s="31"/>
      <c r="AC9" s="31"/>
      <c r="AD9" s="31"/>
      <c r="AE9" s="31"/>
      <c r="AF9" s="31"/>
      <c r="AG9" s="31"/>
      <c r="AH9" s="31"/>
      <c r="AI9" s="31"/>
      <c r="AJ9" s="31"/>
      <c r="AK9" s="31"/>
      <c r="AL9" s="31"/>
      <c r="AM9" s="31"/>
      <c r="AN9" s="31"/>
      <c r="AO9" s="31"/>
      <c r="AP9" s="31"/>
      <c r="AQ9" s="31"/>
      <c r="AR9" s="31"/>
      <c r="AS9" s="31"/>
      <c r="AT9" s="31"/>
      <c r="AU9" s="31"/>
      <c r="AV9" s="31"/>
      <c r="AW9" s="31"/>
      <c r="AX9" s="31"/>
      <c r="AY9" s="18"/>
      <c r="AZ9" s="18"/>
    </row>
    <row r="10" spans="1:338" s="21" customFormat="1" ht="78.75" customHeight="1" x14ac:dyDescent="0.25">
      <c r="A10" s="491">
        <v>2</v>
      </c>
      <c r="B10" s="491">
        <v>1</v>
      </c>
      <c r="C10" s="48">
        <v>0</v>
      </c>
      <c r="D10" s="49" t="s">
        <v>1652</v>
      </c>
      <c r="E10" s="49" t="s">
        <v>1652</v>
      </c>
      <c r="F10" s="50" t="s">
        <v>646</v>
      </c>
      <c r="G10" s="50" t="s">
        <v>647</v>
      </c>
      <c r="H10" s="50" t="s">
        <v>649</v>
      </c>
      <c r="I10" s="51">
        <v>0</v>
      </c>
      <c r="J10" s="51">
        <v>0.2</v>
      </c>
      <c r="K10" s="76">
        <v>0</v>
      </c>
      <c r="L10" s="43">
        <f>'Plan de Acción 2022'!R173</f>
        <v>0.4</v>
      </c>
      <c r="M10" s="51">
        <v>1</v>
      </c>
      <c r="N10" s="51">
        <f>'Plan de Acción 2022'!W173</f>
        <v>0</v>
      </c>
      <c r="O10" s="414">
        <f>(N10*40%)/(L10-K10)</f>
        <v>0</v>
      </c>
      <c r="P10" s="408" t="s">
        <v>1696</v>
      </c>
      <c r="Q10" s="51">
        <f>'Plan de Acción 2022'!Z173</f>
        <v>0</v>
      </c>
      <c r="R10" s="43">
        <f>(Q10*40%)/(L10-K10)</f>
        <v>0</v>
      </c>
      <c r="S10" s="52"/>
      <c r="T10" s="51">
        <f>'Plan de Acción 2022'!AC173</f>
        <v>0</v>
      </c>
      <c r="U10" s="43">
        <f>(T10*100%)/(L10-K10)</f>
        <v>0</v>
      </c>
      <c r="V10" s="53"/>
      <c r="W10" s="51">
        <f>'Plan de Acción 2022'!AF173</f>
        <v>0</v>
      </c>
      <c r="X10" s="43">
        <f>(W10*100%)/(L10-K10)</f>
        <v>0</v>
      </c>
      <c r="Y10" s="54"/>
      <c r="Z10" s="55"/>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18"/>
      <c r="AZ10" s="18"/>
    </row>
    <row r="11" spans="1:338" s="21" customFormat="1" ht="127.5" customHeight="1" x14ac:dyDescent="0.25">
      <c r="A11" s="491">
        <v>3</v>
      </c>
      <c r="B11" s="491">
        <v>1</v>
      </c>
      <c r="C11" s="48">
        <v>0</v>
      </c>
      <c r="D11" s="49" t="s">
        <v>1654</v>
      </c>
      <c r="E11" s="42" t="s">
        <v>1697</v>
      </c>
      <c r="F11" s="52" t="s">
        <v>1023</v>
      </c>
      <c r="G11" s="50" t="s">
        <v>1024</v>
      </c>
      <c r="H11" s="50" t="s">
        <v>1027</v>
      </c>
      <c r="I11" s="56">
        <v>0.1</v>
      </c>
      <c r="J11" s="51">
        <v>0.2</v>
      </c>
      <c r="K11" s="56">
        <v>0.2</v>
      </c>
      <c r="L11" s="43">
        <f>'Plan de Acción 2022'!R282</f>
        <v>0.6</v>
      </c>
      <c r="M11" s="56">
        <v>1</v>
      </c>
      <c r="N11" s="56">
        <f>('Plan de Acción 2022'!W282+'Plan de Acción 2022'!W479+'Plan de Acción 2022'!W480+'Plan de Acción 2022'!W481+'Plan de Acción 2022'!W482+'Plan de Acción 2022'!W483+'Plan de Acción 2022'!W484+'Plan de Acción 2022'!W485+'Plan de Acción 2022'!W486+'Plan de Acción 2022'!W487+'Plan de Acción 2022'!W488+'Plan de Acción 2022'!W489+'Plan de Acción 2022'!W490+'Plan de Acción 2022'!W491+'Plan de Acción 2022'!W492+'Plan de Acción 2022'!W493+'Plan de Acción 2022'!W494+'Plan de Acción 2022'!W495+'Plan de Acción 2022'!W496+'Plan de Acción 2022'!W497+'Plan de Acción 2022'!W498+'Plan de Acción 2022'!W499+'Plan de Acción 2022'!W500)/23</f>
        <v>8.6956521739130432E-2</v>
      </c>
      <c r="O11" s="43">
        <f>(N11*40%)/(L11-K11)</f>
        <v>8.6956521739130446E-2</v>
      </c>
      <c r="P11" s="56" t="s">
        <v>1698</v>
      </c>
      <c r="Q11" s="56">
        <f>('Plan de Acción 2022'!Z282+'Plan de Acción 2022'!Z479+'Plan de Acción 2022'!Z480+'Plan de Acción 2022'!Z481+'Plan de Acción 2022'!Z482+'Plan de Acción 2022'!Z483+'Plan de Acción 2022'!Z484+'Plan de Acción 2022'!Z485+'Plan de Acción 2022'!Z486+'Plan de Acción 2022'!Z487+'Plan de Acción 2022'!Z488+'Plan de Acción 2022'!Z489+'Plan de Acción 2022'!Z490+'Plan de Acción 2022'!Z491+'Plan de Acción 2022'!Z492+'Plan de Acción 2022'!Z493+'Plan de Acción 2022'!Z494+'Plan de Acción 2022'!Z495+'Plan de Acción 2022'!Z496+'Plan de Acción 2022'!Z497+'Plan de Acción 2022'!Z498+'Plan de Acción 2022'!Z499+'Plan de Acción 2022'!Z500)/23</f>
        <v>0</v>
      </c>
      <c r="R11" s="43">
        <f>(Q11*40%)/(L11-K11)</f>
        <v>0</v>
      </c>
      <c r="S11" s="52"/>
      <c r="T11" s="56">
        <f>('Plan de Acción 2022'!AC282+'Plan de Acción 2022'!AC479+'Plan de Acción 2022'!AC480+'Plan de Acción 2022'!AC481+'Plan de Acción 2022'!AC482+'Plan de Acción 2022'!AC483+'Plan de Acción 2022'!AC484+'Plan de Acción 2022'!AC485+'Plan de Acción 2022'!AC486+'Plan de Acción 2022'!AC487+'Plan de Acción 2022'!AC488+'Plan de Acción 2022'!AC489+'Plan de Acción 2022'!AC490+'Plan de Acción 2022'!AC491+'Plan de Acción 2022'!AC492+'Plan de Acción 2022'!AC493+'Plan de Acción 2022'!AC494+'Plan de Acción 2022'!AC495+'Plan de Acción 2022'!AC496+'Plan de Acción 2022'!AC497+'Plan de Acción 2022'!AC498+'Plan de Acción 2022'!AC499+'Plan de Acción 2022'!AC500)/23</f>
        <v>0</v>
      </c>
      <c r="U11" s="43">
        <f>(T11*40%)/(L11-K11)</f>
        <v>0</v>
      </c>
      <c r="V11" s="57"/>
      <c r="W11" s="56">
        <f>('Plan de Acción 2022'!AF282+'Plan de Acción 2022'!AF479+'Plan de Acción 2022'!AF480+'Plan de Acción 2022'!AF481+'Plan de Acción 2022'!AF482+'Plan de Acción 2022'!AF483+'Plan de Acción 2022'!AF484+'Plan de Acción 2022'!AF485+'Plan de Acción 2022'!AF486+'Plan de Acción 2022'!AF487+'Plan de Acción 2022'!AF488+'Plan de Acción 2022'!AF489+'Plan de Acción 2022'!AF490+'Plan de Acción 2022'!AF491+'Plan de Acción 2022'!AF492+'Plan de Acción 2022'!AF493+'Plan de Acción 2022'!AF494+'Plan de Acción 2022'!AF495+'Plan de Acción 2022'!AF496+'Plan de Acción 2022'!AF497+'Plan de Acción 2022'!AF498+'Plan de Acción 2022'!AF499+'Plan de Acción 2022'!AF500)/23</f>
        <v>0</v>
      </c>
      <c r="X11" s="43">
        <f>(W11*40%)/(L11-K11)</f>
        <v>0</v>
      </c>
      <c r="Y11" s="58"/>
      <c r="Z11" s="59"/>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18"/>
      <c r="AZ11" s="18"/>
    </row>
    <row r="12" spans="1:338" s="21" customFormat="1" ht="114" customHeight="1" x14ac:dyDescent="0.25">
      <c r="A12" s="492">
        <v>4</v>
      </c>
      <c r="B12" s="491">
        <v>1</v>
      </c>
      <c r="C12" s="48">
        <v>0</v>
      </c>
      <c r="D12" s="49" t="s">
        <v>1654</v>
      </c>
      <c r="E12" s="42" t="s">
        <v>1697</v>
      </c>
      <c r="F12" s="50" t="s">
        <v>1039</v>
      </c>
      <c r="G12" s="50" t="s">
        <v>1040</v>
      </c>
      <c r="H12" s="50" t="s">
        <v>1090</v>
      </c>
      <c r="I12" s="51">
        <v>0</v>
      </c>
      <c r="J12" s="51">
        <v>0.3</v>
      </c>
      <c r="K12" s="56">
        <v>0.2</v>
      </c>
      <c r="L12" s="43">
        <f>'Plan de Acción 2022'!R286</f>
        <v>0.6</v>
      </c>
      <c r="M12" s="51">
        <v>1</v>
      </c>
      <c r="N12" s="51">
        <f>('Plan de Acción 2022'!W345+'Plan de Acción 2022'!W346+'Plan de Acción 2022'!W330++'Plan de Acción 2022'!W296+'Plan de Acción 2022'!W285+'Plan de Acción 2022'!W286)/6</f>
        <v>0.24166666666666667</v>
      </c>
      <c r="O12" s="420">
        <f>(N12*40%)/(L12-K12)</f>
        <v>0.24166666666666672</v>
      </c>
      <c r="P12" s="51" t="s">
        <v>1699</v>
      </c>
      <c r="Q12" s="51">
        <f>('Plan de Acción 2022'!Z345+'Plan de Acción 2022'!Z346+'Plan de Acción 2022'!Z330++'Plan de Acción 2022'!Z296+'Plan de Acción 2022'!Z285+'Plan de Acción 2022'!Z286)/6</f>
        <v>0</v>
      </c>
      <c r="R12" s="43">
        <f>(Q12*40%)/(L12-K12)</f>
        <v>0</v>
      </c>
      <c r="S12" s="52"/>
      <c r="T12" s="51">
        <f>('Plan de Acción 2022'!AC345+'Plan de Acción 2022'!AC346+'Plan de Acción 2022'!AC330++'Plan de Acción 2022'!AC296+'Plan de Acción 2022'!AC285+'Plan de Acción 2022'!AC286)/6</f>
        <v>0</v>
      </c>
      <c r="U12" s="43">
        <f>(T12*40%)/(L12-K12)</f>
        <v>0</v>
      </c>
      <c r="V12" s="57"/>
      <c r="W12" s="51">
        <f>('Plan de Acción 2022'!AF345+'Plan de Acción 2022'!AF346+'Plan de Acción 2022'!AF330++'Plan de Acción 2022'!AF296+'Plan de Acción 2022'!AF285+'Plan de Acción 2022'!AF286)/6</f>
        <v>0</v>
      </c>
      <c r="X12" s="43">
        <f>(W12*40%)/(L12-K12)</f>
        <v>0</v>
      </c>
      <c r="Y12" s="58"/>
      <c r="Z12" s="60"/>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18"/>
      <c r="AZ12" s="18"/>
    </row>
    <row r="13" spans="1:338" s="64" customFormat="1" ht="43.5" customHeight="1" x14ac:dyDescent="0.25">
      <c r="A13" s="798">
        <v>5</v>
      </c>
      <c r="B13" s="39">
        <v>0</v>
      </c>
      <c r="C13" s="40">
        <v>1</v>
      </c>
      <c r="D13" s="41" t="s">
        <v>1646</v>
      </c>
      <c r="E13" s="42" t="s">
        <v>1700</v>
      </c>
      <c r="F13" s="802" t="s">
        <v>684</v>
      </c>
      <c r="G13" s="493" t="s">
        <v>43</v>
      </c>
      <c r="H13" s="489" t="s">
        <v>46</v>
      </c>
      <c r="I13" s="61">
        <v>0.754</v>
      </c>
      <c r="J13" s="43">
        <v>0.86</v>
      </c>
      <c r="K13" s="62">
        <v>0.88800000000000001</v>
      </c>
      <c r="L13" s="43">
        <f>'Plan de Acción 2022'!R37</f>
        <v>0.87</v>
      </c>
      <c r="M13" s="43">
        <v>0.9</v>
      </c>
      <c r="N13" s="43">
        <f>'Plan de Acción 2022'!W37</f>
        <v>0.25</v>
      </c>
      <c r="O13" s="43">
        <f>N13</f>
        <v>0.25</v>
      </c>
      <c r="P13" s="43" t="s">
        <v>178</v>
      </c>
      <c r="Q13" s="43">
        <f>'Plan de Acción 2022'!Z37</f>
        <v>0</v>
      </c>
      <c r="R13" s="43">
        <f>Q13</f>
        <v>0</v>
      </c>
      <c r="S13" s="489"/>
      <c r="T13" s="43">
        <f>'Plan de Acción 2022'!AC37</f>
        <v>0</v>
      </c>
      <c r="U13" s="43">
        <f>T13</f>
        <v>0</v>
      </c>
      <c r="V13" s="53"/>
      <c r="W13" s="43">
        <f>'Plan de Acción 2022'!AF37</f>
        <v>0</v>
      </c>
      <c r="X13" s="43">
        <f>W13</f>
        <v>0</v>
      </c>
      <c r="Y13" s="54"/>
      <c r="Z13" s="63"/>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18"/>
      <c r="AZ13" s="18"/>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row>
    <row r="14" spans="1:338" s="64" customFormat="1" ht="60" customHeight="1" x14ac:dyDescent="0.25">
      <c r="A14" s="799"/>
      <c r="B14" s="39">
        <v>0</v>
      </c>
      <c r="C14" s="40">
        <v>1</v>
      </c>
      <c r="D14" s="41" t="s">
        <v>1646</v>
      </c>
      <c r="E14" s="42" t="s">
        <v>1700</v>
      </c>
      <c r="F14" s="802"/>
      <c r="G14" s="489" t="s">
        <v>166</v>
      </c>
      <c r="H14" s="489" t="s">
        <v>169</v>
      </c>
      <c r="I14" s="43">
        <v>0</v>
      </c>
      <c r="J14" s="43">
        <v>0.2</v>
      </c>
      <c r="K14" s="43">
        <v>0.05</v>
      </c>
      <c r="L14" s="43">
        <f>'Plan de Acción 2022'!R35</f>
        <v>0.5</v>
      </c>
      <c r="M14" s="43">
        <v>1</v>
      </c>
      <c r="N14" s="43">
        <f>'Plan de Acción 2022'!W35</f>
        <v>0</v>
      </c>
      <c r="O14" s="414">
        <f>(N14*45%)/(L14-K14)</f>
        <v>0</v>
      </c>
      <c r="P14" s="43" t="s">
        <v>1701</v>
      </c>
      <c r="Q14" s="43">
        <f>'Plan de Acción 2022'!Z35</f>
        <v>0</v>
      </c>
      <c r="R14" s="43">
        <f>(Q14*45%)/(L14-K14)</f>
        <v>0</v>
      </c>
      <c r="S14" s="489"/>
      <c r="T14" s="43">
        <f>'Plan de Acción 2022'!AC35</f>
        <v>0</v>
      </c>
      <c r="U14" s="43">
        <f>(T14*45%)/(L14-K14)</f>
        <v>0</v>
      </c>
      <c r="V14" s="44"/>
      <c r="W14" s="43">
        <f>'Plan de Acción 2022'!AF35</f>
        <v>0</v>
      </c>
      <c r="X14" s="43">
        <f>(W14*45%)/(L14-K14)</f>
        <v>0</v>
      </c>
      <c r="Y14" s="45"/>
      <c r="Z14" s="65"/>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18"/>
      <c r="AZ14" s="18"/>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row>
    <row r="15" spans="1:338" s="21" customFormat="1" ht="90" hidden="1" customHeight="1" x14ac:dyDescent="0.25">
      <c r="A15" s="800"/>
      <c r="B15" s="39">
        <v>1</v>
      </c>
      <c r="C15" s="40">
        <v>0</v>
      </c>
      <c r="D15" s="41" t="s">
        <v>1646</v>
      </c>
      <c r="E15" s="42" t="s">
        <v>1702</v>
      </c>
      <c r="F15" s="802"/>
      <c r="G15" s="493" t="s">
        <v>407</v>
      </c>
      <c r="H15" s="489" t="s">
        <v>410</v>
      </c>
      <c r="I15" s="489">
        <f>1+1+1+1+1</f>
        <v>5</v>
      </c>
      <c r="J15" s="489">
        <v>6</v>
      </c>
      <c r="K15" s="489">
        <v>6</v>
      </c>
      <c r="L15" s="489">
        <v>7</v>
      </c>
      <c r="M15" s="489">
        <v>9</v>
      </c>
      <c r="N15" s="43">
        <f>('Plan de Acción 2022'!W96+'Plan de Acción 2022'!W97+'Plan de Acción 2022'!W98+'Plan de Acción 2022'!W99+'Plan de Acción 2022'!W319)/5</f>
        <v>0.2</v>
      </c>
      <c r="O15" s="414">
        <f>(N15*100%)/(L15-K15)</f>
        <v>0.2</v>
      </c>
      <c r="P15" s="489" t="s">
        <v>1703</v>
      </c>
      <c r="Q15" s="43">
        <f>('Plan de Acción 2022'!Z96+'Plan de Acción 2022'!Z97+'Plan de Acción 2022'!Z98+'Plan de Acción 2022'!Z99+'Plan de Acción 2022'!Z319)/5</f>
        <v>0</v>
      </c>
      <c r="R15" s="43">
        <f>(Q15*100%)/(L15-K15)</f>
        <v>0</v>
      </c>
      <c r="S15" s="489"/>
      <c r="T15" s="43">
        <f>('Plan de Acción 2022'!AC96+'Plan de Acción 2022'!AC97+'Plan de Acción 2022'!AC98+'Plan de Acción 2022'!AC99+'Plan de Acción 2022'!AC319)/5</f>
        <v>0</v>
      </c>
      <c r="U15" s="43">
        <f>(T15*100%)/(L15-K15)</f>
        <v>0</v>
      </c>
      <c r="V15" s="44"/>
      <c r="W15" s="43">
        <f>('Plan de Acción 2022'!AF96+'Plan de Acción 2022'!AF97+'Plan de Acción 2022'!AF98+'Plan de Acción 2022'!AF99+'Plan de Acción 2022'!AF319)/5</f>
        <v>0</v>
      </c>
      <c r="X15" s="43">
        <f>(W15*100%)/(L15-K15)</f>
        <v>0</v>
      </c>
      <c r="Y15" s="45"/>
      <c r="Z15" s="65"/>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18"/>
      <c r="AZ15" s="18"/>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row>
    <row r="16" spans="1:338" s="64" customFormat="1" ht="114" hidden="1" customHeight="1" x14ac:dyDescent="0.25">
      <c r="A16" s="800"/>
      <c r="B16" s="39">
        <v>0</v>
      </c>
      <c r="C16" s="40">
        <v>1</v>
      </c>
      <c r="D16" s="41" t="s">
        <v>1652</v>
      </c>
      <c r="E16" s="42" t="s">
        <v>1704</v>
      </c>
      <c r="F16" s="802"/>
      <c r="G16" s="493" t="s">
        <v>1705</v>
      </c>
      <c r="H16" s="489" t="s">
        <v>1706</v>
      </c>
      <c r="I16" s="489">
        <v>0</v>
      </c>
      <c r="J16" s="489">
        <v>0.5</v>
      </c>
      <c r="K16" s="489">
        <v>0.2</v>
      </c>
      <c r="L16" s="489">
        <v>0.7</v>
      </c>
      <c r="M16" s="489">
        <v>1</v>
      </c>
      <c r="N16" s="43">
        <f>'Plan de Acción 2022'!W181</f>
        <v>0.2</v>
      </c>
      <c r="O16" s="414">
        <f>(N16*50%)/(L16-K16)</f>
        <v>0.20000000000000004</v>
      </c>
      <c r="P16" s="489" t="s">
        <v>1707</v>
      </c>
      <c r="Q16" s="43">
        <f>'Plan de Acción 2022'!Z181</f>
        <v>0</v>
      </c>
      <c r="R16" s="43">
        <f>(Q16*50%)/(L16-K16)</f>
        <v>0</v>
      </c>
      <c r="S16" s="489"/>
      <c r="T16" s="43">
        <f>'Plan de Acción 2022'!AC181</f>
        <v>0</v>
      </c>
      <c r="U16" s="43">
        <f>(T16*50%)/(L16-K16)</f>
        <v>0</v>
      </c>
      <c r="V16" s="44"/>
      <c r="W16" s="43">
        <f>'Plan de Acción 2022'!AF181</f>
        <v>0</v>
      </c>
      <c r="X16" s="43">
        <f>(W16*50%)/(L16-K16)</f>
        <v>0</v>
      </c>
      <c r="Y16" s="45"/>
      <c r="Z16" s="65"/>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18"/>
      <c r="AZ16" s="18"/>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row>
    <row r="17" spans="1:338" s="64" customFormat="1" ht="87" customHeight="1" x14ac:dyDescent="0.25">
      <c r="A17" s="800"/>
      <c r="B17" s="39">
        <v>0</v>
      </c>
      <c r="C17" s="40">
        <v>1</v>
      </c>
      <c r="D17" s="41" t="s">
        <v>1646</v>
      </c>
      <c r="E17" s="42" t="s">
        <v>1700</v>
      </c>
      <c r="F17" s="802"/>
      <c r="G17" s="493" t="s">
        <v>159</v>
      </c>
      <c r="H17" s="493" t="s">
        <v>162</v>
      </c>
      <c r="I17" s="66">
        <v>0</v>
      </c>
      <c r="J17" s="66">
        <v>0.08</v>
      </c>
      <c r="K17" s="68">
        <v>0.06</v>
      </c>
      <c r="L17" s="43">
        <f>'Plan de Acción 2022'!R34</f>
        <v>0.15</v>
      </c>
      <c r="M17" s="66">
        <v>0.25</v>
      </c>
      <c r="N17" s="66">
        <f>'Plan de Acción 2022'!W34</f>
        <v>0.1</v>
      </c>
      <c r="O17" s="414">
        <f>(N17*9%)/(L17-K17)</f>
        <v>9.9999999999999992E-2</v>
      </c>
      <c r="P17" s="43" t="s">
        <v>1701</v>
      </c>
      <c r="Q17" s="66">
        <f>'Plan de Acción 2022'!Z34</f>
        <v>0</v>
      </c>
      <c r="R17" s="43">
        <f>(Q17*9%)/(L17-K17)</f>
        <v>0</v>
      </c>
      <c r="S17" s="493"/>
      <c r="T17" s="66">
        <f>'Plan de Acción 2022'!AC34</f>
        <v>0</v>
      </c>
      <c r="U17" s="43">
        <f>(T17*9%)/(L17-K17)</f>
        <v>0</v>
      </c>
      <c r="V17" s="67"/>
      <c r="W17" s="66">
        <f>'Plan de Acción 2022'!AF34</f>
        <v>0</v>
      </c>
      <c r="X17" s="43">
        <f>(W17*9%)/(L17-K17)</f>
        <v>0</v>
      </c>
      <c r="Y17" s="69"/>
      <c r="Z17" s="70"/>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18"/>
      <c r="AZ17" s="18"/>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row>
    <row r="18" spans="1:338" s="64" customFormat="1" ht="77.25" customHeight="1" x14ac:dyDescent="0.25">
      <c r="A18" s="801"/>
      <c r="B18" s="39">
        <v>0</v>
      </c>
      <c r="C18" s="40">
        <v>1</v>
      </c>
      <c r="D18" s="41" t="s">
        <v>1652</v>
      </c>
      <c r="E18" s="42" t="s">
        <v>1704</v>
      </c>
      <c r="F18" s="802"/>
      <c r="G18" s="217" t="s">
        <v>691</v>
      </c>
      <c r="H18" s="217" t="s">
        <v>1708</v>
      </c>
      <c r="I18" s="493">
        <v>7.3</v>
      </c>
      <c r="J18" s="493">
        <v>7.5</v>
      </c>
      <c r="K18" s="493">
        <v>8.9</v>
      </c>
      <c r="L18" s="43" t="s">
        <v>52</v>
      </c>
      <c r="M18" s="493">
        <v>8</v>
      </c>
      <c r="N18" s="43" t="s">
        <v>52</v>
      </c>
      <c r="O18" s="43" t="s">
        <v>52</v>
      </c>
      <c r="P18" s="43" t="s">
        <v>52</v>
      </c>
      <c r="Q18" s="43" t="s">
        <v>52</v>
      </c>
      <c r="R18" s="43" t="s">
        <v>52</v>
      </c>
      <c r="S18" s="43" t="s">
        <v>52</v>
      </c>
      <c r="T18" s="43" t="s">
        <v>52</v>
      </c>
      <c r="U18" s="43" t="s">
        <v>52</v>
      </c>
      <c r="V18" s="43" t="s">
        <v>52</v>
      </c>
      <c r="W18" s="43" t="s">
        <v>52</v>
      </c>
      <c r="X18" s="43" t="s">
        <v>52</v>
      </c>
      <c r="Y18" s="43" t="s">
        <v>52</v>
      </c>
      <c r="Z18" s="73"/>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18"/>
      <c r="AZ18" s="18"/>
      <c r="BA18" s="74"/>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row>
    <row r="19" spans="1:338" s="64" customFormat="1" ht="90.75" customHeight="1" thickBot="1" x14ac:dyDescent="0.3">
      <c r="A19" s="75">
        <v>6</v>
      </c>
      <c r="B19" s="39">
        <v>0</v>
      </c>
      <c r="C19" s="40">
        <v>1</v>
      </c>
      <c r="D19" s="41" t="s">
        <v>1709</v>
      </c>
      <c r="E19" s="42" t="s">
        <v>1710</v>
      </c>
      <c r="F19" s="489" t="s">
        <v>1094</v>
      </c>
      <c r="G19" s="217" t="s">
        <v>1159</v>
      </c>
      <c r="H19" s="218" t="s">
        <v>1097</v>
      </c>
      <c r="I19" s="43">
        <v>0</v>
      </c>
      <c r="J19" s="43">
        <v>0.2</v>
      </c>
      <c r="K19" s="43">
        <v>0.2</v>
      </c>
      <c r="L19" s="43" t="str">
        <f>'Plan de Acción 2022'!R502</f>
        <v>N/A</v>
      </c>
      <c r="M19" s="43">
        <v>1</v>
      </c>
      <c r="N19" s="43" t="s">
        <v>52</v>
      </c>
      <c r="O19" s="43" t="s">
        <v>52</v>
      </c>
      <c r="P19" s="43" t="s">
        <v>52</v>
      </c>
      <c r="Q19" s="43" t="s">
        <v>52</v>
      </c>
      <c r="R19" s="43" t="s">
        <v>52</v>
      </c>
      <c r="S19" s="43" t="s">
        <v>52</v>
      </c>
      <c r="T19" s="43" t="s">
        <v>52</v>
      </c>
      <c r="U19" s="43" t="s">
        <v>52</v>
      </c>
      <c r="V19" s="43" t="s">
        <v>52</v>
      </c>
      <c r="W19" s="43" t="s">
        <v>52</v>
      </c>
      <c r="X19" s="43" t="s">
        <v>52</v>
      </c>
      <c r="Y19" s="43" t="s">
        <v>52</v>
      </c>
      <c r="Z19" s="65"/>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18"/>
      <c r="AZ19" s="18"/>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row>
    <row r="20" spans="1:338" s="64" customFormat="1" ht="81.75" customHeight="1" x14ac:dyDescent="0.25">
      <c r="A20" s="803">
        <v>7</v>
      </c>
      <c r="B20" s="39">
        <v>0</v>
      </c>
      <c r="C20" s="40">
        <v>1</v>
      </c>
      <c r="D20" s="41" t="s">
        <v>1646</v>
      </c>
      <c r="E20" s="489" t="s">
        <v>1700</v>
      </c>
      <c r="F20" s="802" t="s">
        <v>1711</v>
      </c>
      <c r="G20" s="489" t="s">
        <v>728</v>
      </c>
      <c r="H20" s="489" t="s">
        <v>693</v>
      </c>
      <c r="I20" s="43">
        <v>1</v>
      </c>
      <c r="J20" s="43">
        <v>1</v>
      </c>
      <c r="K20" s="43">
        <v>1</v>
      </c>
      <c r="L20" s="43">
        <f>'Plan de Acción 2022'!R185</f>
        <v>1</v>
      </c>
      <c r="M20" s="43">
        <v>1</v>
      </c>
      <c r="N20" s="43">
        <f>('Plan de Acción 2022'!W17+'Plan de Acción 2022'!W18+'Plan de Acción 2022'!W19+'Plan de Acción 2022'!W185+'Plan de Acción 2022'!W189+'Plan de Acción 2022'!W190+'Plan de Acción 2022'!W191+'Plan de Acción 2022'!W192+'Plan de Acción 2022'!W193+'Plan de Acción 2022'!W194+'Plan de Acción 2022'!W195+'Plan de Acción 2022'!W196+'Plan de Acción 2022'!W197+'Plan de Acción 2022'!W198+'Plan de Acción 2022'!W199+'Plan de Acción 2022'!W200+'Plan de Acción 2022'!W201+'Plan de Acción 2022'!W202)/18</f>
        <v>9.7222222222222224E-2</v>
      </c>
      <c r="O20" s="212">
        <f>(N20*100%)/L20</f>
        <v>9.7222222222222224E-2</v>
      </c>
      <c r="P20" s="115" t="s">
        <v>1712</v>
      </c>
      <c r="Q20" s="43">
        <f>('Plan de Acción 2022'!Z17+'Plan de Acción 2022'!Z18+'Plan de Acción 2022'!Z19+'Plan de Acción 2022'!Z185+'Plan de Acción 2022'!Z189+'Plan de Acción 2022'!Z190+'Plan de Acción 2022'!Z191+'Plan de Acción 2022'!Z192+'Plan de Acción 2022'!Z193+'Plan de Acción 2022'!Z194+'Plan de Acción 2022'!Z195+'Plan de Acción 2022'!Z196+'Plan de Acción 2022'!Z197+'Plan de Acción 2022'!Z198+'Plan de Acción 2022'!Z199+'Plan de Acción 2022'!Z200+'Plan de Acción 2022'!Z201+'Plan de Acción 2022'!Z202)/18</f>
        <v>0</v>
      </c>
      <c r="R20" s="212">
        <f>(Q20*100%)/L20</f>
        <v>0</v>
      </c>
      <c r="S20" s="115"/>
      <c r="T20" s="43">
        <f>('Plan de Acción 2022'!AC17+'Plan de Acción 2022'!AC18+'Plan de Acción 2022'!AC19+'Plan de Acción 2022'!AC185+'Plan de Acción 2022'!AC189+'Plan de Acción 2022'!AC190+'Plan de Acción 2022'!AC191+'Plan de Acción 2022'!AC192+'Plan de Acción 2022'!AC193+'Plan de Acción 2022'!AC194+'Plan de Acción 2022'!AC195+'Plan de Acción 2022'!AC196+'Plan de Acción 2022'!AC197+'Plan de Acción 2022'!AC198+'Plan de Acción 2022'!AC199+'Plan de Acción 2022'!AC200+'Plan de Acción 2022'!AC201+'Plan de Acción 2022'!AC202)/18</f>
        <v>0</v>
      </c>
      <c r="U20" s="212">
        <f>(T20*100%)/L20</f>
        <v>0</v>
      </c>
      <c r="V20" s="503"/>
      <c r="W20" s="43">
        <f>('Plan de Acción 2022'!AF17+'Plan de Acción 2022'!AF18+'Plan de Acción 2022'!AF19+'Plan de Acción 2022'!AF185+'Plan de Acción 2022'!AF189+'Plan de Acción 2022'!AF190+'Plan de Acción 2022'!AF191+'Plan de Acción 2022'!AF192+'Plan de Acción 2022'!AF193+'Plan de Acción 2022'!AF194+'Plan de Acción 2022'!AF195+'Plan de Acción 2022'!AF196+'Plan de Acción 2022'!AF197+'Plan de Acción 2022'!AF198+'Plan de Acción 2022'!AF199+'Plan de Acción 2022'!AF200+'Plan de Acción 2022'!AF201+'Plan de Acción 2022'!AF202)/18</f>
        <v>0</v>
      </c>
      <c r="X20" s="212">
        <f>(W20*100%)/L20</f>
        <v>0</v>
      </c>
      <c r="Y20" s="12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18"/>
      <c r="AZ20" s="18"/>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row>
    <row r="21" spans="1:338" s="21" customFormat="1" ht="120.75" customHeight="1" x14ac:dyDescent="0.25">
      <c r="A21" s="800"/>
      <c r="B21" s="39">
        <v>1</v>
      </c>
      <c r="C21" s="40">
        <v>0</v>
      </c>
      <c r="D21" s="41" t="s">
        <v>1713</v>
      </c>
      <c r="E21" s="42" t="s">
        <v>1704</v>
      </c>
      <c r="F21" s="802"/>
      <c r="G21" s="489" t="s">
        <v>1714</v>
      </c>
      <c r="H21" s="489" t="s">
        <v>714</v>
      </c>
      <c r="I21" s="66">
        <v>0.2</v>
      </c>
      <c r="J21" s="43">
        <v>1</v>
      </c>
      <c r="K21" s="76">
        <v>0.6</v>
      </c>
      <c r="L21" s="43">
        <f>'Plan de Acción 2022'!R186</f>
        <v>1</v>
      </c>
      <c r="M21" s="43">
        <v>1</v>
      </c>
      <c r="N21" s="43">
        <f>'Plan de Acción 2022'!W186</f>
        <v>0.25</v>
      </c>
      <c r="O21" s="420">
        <f>(N21*40%)/(L21-K21)</f>
        <v>0.25</v>
      </c>
      <c r="P21" s="43" t="s">
        <v>689</v>
      </c>
      <c r="Q21" s="43">
        <f>'Plan de Acción 2022'!Z186</f>
        <v>0</v>
      </c>
      <c r="R21" s="43">
        <f>(Q21*40%)/(L21-K21)</f>
        <v>0</v>
      </c>
      <c r="S21" s="489"/>
      <c r="T21" s="43">
        <f>'Plan de Acción 2022'!AC186</f>
        <v>0</v>
      </c>
      <c r="U21" s="43">
        <f>(T21*40%)/(L21-K21)</f>
        <v>0</v>
      </c>
      <c r="V21" s="44"/>
      <c r="W21" s="43">
        <f>'Plan de Acción 2022'!AF186</f>
        <v>0</v>
      </c>
      <c r="X21" s="43">
        <f>(W21*40%)/(L21-K21)</f>
        <v>0</v>
      </c>
      <c r="Y21" s="77"/>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18"/>
      <c r="AZ21" s="18"/>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row>
    <row r="22" spans="1:338" s="21" customFormat="1" ht="73.5" customHeight="1" x14ac:dyDescent="0.25">
      <c r="A22" s="801"/>
      <c r="B22" s="39">
        <v>1</v>
      </c>
      <c r="C22" s="40">
        <v>0</v>
      </c>
      <c r="D22" s="41" t="s">
        <v>1654</v>
      </c>
      <c r="E22" s="42" t="s">
        <v>1697</v>
      </c>
      <c r="F22" s="802"/>
      <c r="G22" s="493" t="s">
        <v>1715</v>
      </c>
      <c r="H22" s="489" t="s">
        <v>717</v>
      </c>
      <c r="I22" s="66">
        <v>0</v>
      </c>
      <c r="J22" s="43">
        <v>1</v>
      </c>
      <c r="K22" s="43">
        <v>0.55000000000000004</v>
      </c>
      <c r="L22" s="43">
        <f>'Plan de Acción 2022'!R187</f>
        <v>1</v>
      </c>
      <c r="M22" s="43">
        <v>1</v>
      </c>
      <c r="N22" s="43">
        <f>'Plan de Acción 2022'!W187</f>
        <v>0.25</v>
      </c>
      <c r="O22" s="43">
        <f>(N22*45%)/(L22-K22)</f>
        <v>0.25000000000000006</v>
      </c>
      <c r="P22" s="43" t="s">
        <v>719</v>
      </c>
      <c r="Q22" s="43">
        <f>'Plan de Acción 2022'!Z187</f>
        <v>0</v>
      </c>
      <c r="R22" s="43">
        <f>(Q22*45%)/(L22-K22)</f>
        <v>0</v>
      </c>
      <c r="S22" s="489"/>
      <c r="T22" s="43">
        <f>'Plan de Acción 2022'!AC187</f>
        <v>0</v>
      </c>
      <c r="U22" s="43">
        <f>(T22*45%)/(L22-K22)</f>
        <v>0</v>
      </c>
      <c r="V22" s="44"/>
      <c r="W22" s="43">
        <f>'Plan de Acción 2022'!AF187</f>
        <v>0</v>
      </c>
      <c r="X22" s="43">
        <f>(W22*45%)/(L22-K22)</f>
        <v>0</v>
      </c>
      <c r="Y22" s="78"/>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18"/>
      <c r="AZ22" s="18"/>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row>
    <row r="23" spans="1:338" s="21" customFormat="1" ht="77.25" customHeight="1" x14ac:dyDescent="0.25">
      <c r="A23" s="804">
        <v>8</v>
      </c>
      <c r="B23" s="39">
        <v>1</v>
      </c>
      <c r="C23" s="40">
        <v>0</v>
      </c>
      <c r="D23" s="41" t="s">
        <v>1652</v>
      </c>
      <c r="E23" s="42" t="s">
        <v>1704</v>
      </c>
      <c r="F23" s="802" t="s">
        <v>1716</v>
      </c>
      <c r="G23" s="493" t="s">
        <v>1717</v>
      </c>
      <c r="H23" s="493" t="s">
        <v>1718</v>
      </c>
      <c r="I23" s="66">
        <v>0.2</v>
      </c>
      <c r="J23" s="43">
        <v>0.4</v>
      </c>
      <c r="K23" s="66">
        <v>0.3</v>
      </c>
      <c r="L23" s="66">
        <f>'Plan de Acción 2022'!R188</f>
        <v>0.6</v>
      </c>
      <c r="M23" s="66">
        <v>1</v>
      </c>
      <c r="N23" s="66">
        <f>'Plan de Acción 2022'!W188</f>
        <v>0</v>
      </c>
      <c r="O23" s="414">
        <f>(N23*30%)/(L23-K23)</f>
        <v>0</v>
      </c>
      <c r="P23" s="409" t="s">
        <v>726</v>
      </c>
      <c r="Q23" s="66">
        <f>'Plan de Acción 2022'!Z188</f>
        <v>0</v>
      </c>
      <c r="R23" s="43">
        <f>(Q23*30%)/(L23-K23)</f>
        <v>0</v>
      </c>
      <c r="S23" s="493"/>
      <c r="T23" s="66">
        <f>'Plan de Acción 2022'!AC188</f>
        <v>0</v>
      </c>
      <c r="U23" s="43">
        <f>(T23*30%)/(L23-K23)</f>
        <v>0</v>
      </c>
      <c r="V23" s="71"/>
      <c r="W23" s="66">
        <f>'Plan de Acción 2022'!AF188</f>
        <v>0</v>
      </c>
      <c r="X23" s="43">
        <f>(W23*30%)/(L23-K23)</f>
        <v>0</v>
      </c>
      <c r="Y23" s="72"/>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18"/>
      <c r="AZ23" s="18"/>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row>
    <row r="24" spans="1:338" ht="43.5" customHeight="1" thickBot="1" x14ac:dyDescent="0.3">
      <c r="A24" s="805"/>
      <c r="B24" s="39">
        <v>1</v>
      </c>
      <c r="C24" s="40">
        <v>0</v>
      </c>
      <c r="D24" s="41" t="s">
        <v>1654</v>
      </c>
      <c r="E24" s="489" t="s">
        <v>1719</v>
      </c>
      <c r="F24" s="802"/>
      <c r="G24" s="493" t="s">
        <v>861</v>
      </c>
      <c r="H24" s="493" t="s">
        <v>864</v>
      </c>
      <c r="I24" s="66">
        <v>0</v>
      </c>
      <c r="J24" s="66">
        <v>0.1</v>
      </c>
      <c r="K24" s="66">
        <v>0.08</v>
      </c>
      <c r="L24" s="43">
        <f>'Plan de Acción 2022'!R244</f>
        <v>0.2</v>
      </c>
      <c r="M24" s="66">
        <v>1</v>
      </c>
      <c r="N24" s="66">
        <f>'Plan de Acción 2022'!W244</f>
        <v>0.25</v>
      </c>
      <c r="O24" s="420">
        <f>(N24*12%)/(L24-K24)</f>
        <v>0.24999999999999997</v>
      </c>
      <c r="P24" s="66" t="s">
        <v>866</v>
      </c>
      <c r="Q24" s="66">
        <f>'Plan de Acción 2022'!Z244</f>
        <v>0</v>
      </c>
      <c r="R24" s="43">
        <f>(Q24*12%)/(L24-K24)</f>
        <v>0</v>
      </c>
      <c r="S24" s="493"/>
      <c r="T24" s="66">
        <f>'Plan de Acción 2022'!AC244</f>
        <v>0</v>
      </c>
      <c r="U24" s="43">
        <f>(T24*12%)/(L24-K24)</f>
        <v>0</v>
      </c>
      <c r="V24" s="71"/>
      <c r="W24" s="66">
        <f>'Plan de Acción 2022'!AF244</f>
        <v>0</v>
      </c>
      <c r="X24" s="43">
        <f>(W24*12%)/(L24-K24)</f>
        <v>0</v>
      </c>
      <c r="Y24" s="72"/>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c r="LT24" s="79"/>
      <c r="LU24" s="79"/>
      <c r="LV24" s="79"/>
      <c r="LW24" s="79"/>
      <c r="LX24" s="79"/>
      <c r="LY24" s="79"/>
      <c r="LZ24" s="79"/>
    </row>
    <row r="25" spans="1:338" s="21" customFormat="1" ht="334.5" customHeight="1" x14ac:dyDescent="0.25">
      <c r="A25" s="803">
        <v>9</v>
      </c>
      <c r="B25" s="39">
        <v>1</v>
      </c>
      <c r="C25" s="40">
        <v>0</v>
      </c>
      <c r="D25" s="41" t="s">
        <v>1652</v>
      </c>
      <c r="E25" s="42" t="s">
        <v>1720</v>
      </c>
      <c r="F25" s="802" t="s">
        <v>788</v>
      </c>
      <c r="G25" s="489" t="s">
        <v>446</v>
      </c>
      <c r="H25" s="489" t="s">
        <v>449</v>
      </c>
      <c r="I25" s="43">
        <v>0.4</v>
      </c>
      <c r="J25" s="43">
        <v>0.5</v>
      </c>
      <c r="K25" s="66">
        <v>0.4</v>
      </c>
      <c r="L25" s="43">
        <f>'Plan de Acción 2022'!R239</f>
        <v>0.6</v>
      </c>
      <c r="M25" s="43">
        <v>0.8</v>
      </c>
      <c r="N25" s="43">
        <f>('Plan de Acción 2022'!W104+'Plan de Acción 2022'!W105+'Plan de Acción 2022'!W106+'Plan de Acción 2022'!W107+'Plan de Acción 2022'!W108+'Plan de Acción 2022'!W109+'Plan de Acción 2022'!W110+'Plan de Acción 2022'!W111+'Plan de Acción 2022'!W112+'Plan de Acción 2022'!W113+'Plan de Acción 2022'!W114+'Plan de Acción 2022'!W115+'Plan de Acción 2022'!W116+'Plan de Acción 2022'!W117+'Plan de Acción 2022'!W118+'Plan de Acción 2022'!W119+'Plan de Acción 2022'!W236+'Plan de Acción 2022'!W237+'Plan de Acción 2022'!W238+'Plan de Acción 2022'!W239+'Plan de Acción 2022'!W291+'Plan de Acción 2022'!W362+'Plan de Acción 2022'!W363+'Plan de Acción 2022'!W364+'Plan de Acción 2022'!W379+'Plan de Acción 2022'!W380+'Plan de Acción 2022'!W381+'Plan de Acción 2022'!W382+'Plan de Acción 2022'!W383+'Plan de Acción 2022'!W384+'Plan de Acción 2022'!W385+'Plan de Acción 2022'!W386+'Plan de Acción 2022'!W387+'Plan de Acción 2022'!W388+'Plan de Acción 2022'!W389+'Plan de Acción 2022'!W390+'Plan de Acción 2022'!W391+'Plan de Acción 2022'!W392+'Plan de Acción 2022'!W369+'Plan de Acción 2022'!W396+'Plan de Acción 2022'!W397+'Plan de Acción 2022'!W398+'Plan de Acción 2022'!W399)/43</f>
        <v>0.17976744186046517</v>
      </c>
      <c r="O25" s="43">
        <f>(N25*20%)/(L25-K25)</f>
        <v>0.17976744186046523</v>
      </c>
      <c r="P25" s="43" t="s">
        <v>1721</v>
      </c>
      <c r="Q25" s="43">
        <f>('Plan de Acción 2022'!Z104+'Plan de Acción 2022'!Z105+'Plan de Acción 2022'!Z106+'Plan de Acción 2022'!Z107+'Plan de Acción 2022'!Z108+'Plan de Acción 2022'!Z109+'Plan de Acción 2022'!Z110+'Plan de Acción 2022'!Z111+'Plan de Acción 2022'!Z112+'Plan de Acción 2022'!Z113+'Plan de Acción 2022'!Z114+'Plan de Acción 2022'!Z115+'Plan de Acción 2022'!Z116+'Plan de Acción 2022'!Z117+'Plan de Acción 2022'!Z118+'Plan de Acción 2022'!Z119+'Plan de Acción 2022'!Z236+'Plan de Acción 2022'!Z237+'Plan de Acción 2022'!Z238+'Plan de Acción 2022'!Z239+'Plan de Acción 2022'!Z291+'Plan de Acción 2022'!Z362+'Plan de Acción 2022'!Z363+'Plan de Acción 2022'!Z364+'Plan de Acción 2022'!Z379+'Plan de Acción 2022'!Z380+'Plan de Acción 2022'!Z381+'Plan de Acción 2022'!Z382+'Plan de Acción 2022'!Z383+'Plan de Acción 2022'!Z384+'Plan de Acción 2022'!Z385+'Plan de Acción 2022'!Z386+'Plan de Acción 2022'!Z387+'Plan de Acción 2022'!Z388+'Plan de Acción 2022'!Z389+'Plan de Acción 2022'!Z390+'Plan de Acción 2022'!Z391+'Plan de Acción 2022'!Z392+'Plan de Acción 2022'!Z369+'Plan de Acción 2022'!Z396+'Plan de Acción 2022'!Z397+'Plan de Acción 2022'!Z398+'Plan de Acción 2022'!Z399)/43</f>
        <v>0</v>
      </c>
      <c r="R25" s="43">
        <f>(Q25*20%)/(L25-K25)</f>
        <v>0</v>
      </c>
      <c r="S25" s="493"/>
      <c r="T25" s="43">
        <f>('Plan de Acción 2022'!AC104+'Plan de Acción 2022'!AC105+'Plan de Acción 2022'!AC106+'Plan de Acción 2022'!AC107+'Plan de Acción 2022'!AC108+'Plan de Acción 2022'!AC109+'Plan de Acción 2022'!AC110+'Plan de Acción 2022'!AC111+'Plan de Acción 2022'!AC112+'Plan de Acción 2022'!AC113+'Plan de Acción 2022'!AC114+'Plan de Acción 2022'!AC115+'Plan de Acción 2022'!AC116+'Plan de Acción 2022'!AC117+'Plan de Acción 2022'!AC118+'Plan de Acción 2022'!AC119+'Plan de Acción 2022'!AC236+'Plan de Acción 2022'!AC237+'Plan de Acción 2022'!AC238+'Plan de Acción 2022'!AC239+'Plan de Acción 2022'!AC291+'Plan de Acción 2022'!AC362+'Plan de Acción 2022'!AC363+'Plan de Acción 2022'!AC364+'Plan de Acción 2022'!AC379+'Plan de Acción 2022'!AC380+'Plan de Acción 2022'!AC381+'Plan de Acción 2022'!AC382+'Plan de Acción 2022'!AC383+'Plan de Acción 2022'!AC384+'Plan de Acción 2022'!AC385+'Plan de Acción 2022'!AC386+'Plan de Acción 2022'!AC387+'Plan de Acción 2022'!AC388+'Plan de Acción 2022'!AC389+'Plan de Acción 2022'!AC390+'Plan de Acción 2022'!AC391+'Plan de Acción 2022'!AC392+'Plan de Acción 2022'!AC369+'Plan de Acción 2022'!AC396+'Plan de Acción 2022'!AC397)/41</f>
        <v>0</v>
      </c>
      <c r="U25" s="43">
        <f>(T25*20%)/(L25-K25)</f>
        <v>0</v>
      </c>
      <c r="V25" s="71"/>
      <c r="W25" s="43">
        <f>('Plan de Acción 2022'!AF104+'Plan de Acción 2022'!AF105+'Plan de Acción 2022'!AF106+'Plan de Acción 2022'!AF107+'Plan de Acción 2022'!AF108+'Plan de Acción 2022'!AF109+'Plan de Acción 2022'!AF110+'Plan de Acción 2022'!AF111+'Plan de Acción 2022'!AF112+'Plan de Acción 2022'!AF113+'Plan de Acción 2022'!AF114+'Plan de Acción 2022'!AF115+'Plan de Acción 2022'!AF116+'Plan de Acción 2022'!AF117+'Plan de Acción 2022'!AF118+'Plan de Acción 2022'!AF119+'Plan de Acción 2022'!AF236+'Plan de Acción 2022'!AF237+'Plan de Acción 2022'!AF238+'Plan de Acción 2022'!AF239+'Plan de Acción 2022'!AF291+'Plan de Acción 2022'!AF362+'Plan de Acción 2022'!AF363+'Plan de Acción 2022'!AF364+'Plan de Acción 2022'!AF379+'Plan de Acción 2022'!AF380+'Plan de Acción 2022'!AF381+'Plan de Acción 2022'!AF382+'Plan de Acción 2022'!AF383+'Plan de Acción 2022'!AF384+'Plan de Acción 2022'!AF385+'Plan de Acción 2022'!AF386+'Plan de Acción 2022'!AF387+'Plan de Acción 2022'!AF388+'Plan de Acción 2022'!AF389+'Plan de Acción 2022'!AF390+'Plan de Acción 2022'!AF391+'Plan de Acción 2022'!AF392+'Plan de Acción 2022'!AF369+'Plan de Acción 2022'!AF396+'Plan de Acción 2022'!AF397+'Plan de Acción 2022'!AF398+'Plan de Acción 2022'!AF399)/43</f>
        <v>0</v>
      </c>
      <c r="X25" s="43">
        <f>(W25*42%)/(L25-K25)</f>
        <v>0</v>
      </c>
      <c r="Y25" s="72"/>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18"/>
      <c r="AZ25" s="18"/>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row>
    <row r="26" spans="1:338" s="64" customFormat="1" ht="123" customHeight="1" x14ac:dyDescent="0.25">
      <c r="A26" s="801"/>
      <c r="B26" s="39">
        <v>0</v>
      </c>
      <c r="C26" s="40">
        <v>1</v>
      </c>
      <c r="D26" s="41" t="s">
        <v>1652</v>
      </c>
      <c r="E26" s="489" t="s">
        <v>1722</v>
      </c>
      <c r="F26" s="802"/>
      <c r="G26" s="493" t="s">
        <v>789</v>
      </c>
      <c r="H26" s="489" t="s">
        <v>791</v>
      </c>
      <c r="I26" s="43">
        <v>0.2</v>
      </c>
      <c r="J26" s="43">
        <v>0.3</v>
      </c>
      <c r="K26" s="43">
        <v>0.3</v>
      </c>
      <c r="L26" s="43">
        <f>'Plan de Acción 2022'!R289</f>
        <v>0.5</v>
      </c>
      <c r="M26" s="43">
        <v>0.8</v>
      </c>
      <c r="N26" s="43">
        <f>('Plan de Acción 2022'!W212+'Plan de Acción 2022'!W213+'Plan de Acción 2022'!W214+'Plan de Acción 2022'!W215+'Plan de Acción 2022'!W216+'Plan de Acción 2022'!W217+'Plan de Acción 2022'!W218+'Plan de Acción 2022'!W219+'Plan de Acción 2022'!W220+'Plan de Acción 2022'!W221+'Plan de Acción 2022'!W222+'Plan de Acción 2022'!W223+'Plan de Acción 2022'!W224+'Plan de Acción 2022'!W225+'Plan de Acción 2022'!W226+'Plan de Acción 2022'!W227+'Plan de Acción 2022'!W228+'Plan de Acción 2022'!W229+'Plan de Acción 2022'!W230+'Plan de Acción 2022'!W231+'Plan de Acción 2022'!W232+'Plan de Acción 2022'!W233+'Plan de Acción 2022'!W234+'Plan de Acción 2022'!W235+'Plan de Acción 2022'!W289+'Plan de Acción 2022'!W290+'Plan de Acción 2022'!W333+'Plan de Acción 2022'!W334)/28</f>
        <v>7.1428571428571425E-2</v>
      </c>
      <c r="O26" s="414">
        <f>(N26*20%)/(L26-K26)</f>
        <v>7.1428571428571425E-2</v>
      </c>
      <c r="P26" s="43" t="s">
        <v>1723</v>
      </c>
      <c r="Q26" s="43">
        <f>('Plan de Acción 2022'!Z212+'Plan de Acción 2022'!Z213+'Plan de Acción 2022'!Z214+'Plan de Acción 2022'!Z215+'Plan de Acción 2022'!Z216+'Plan de Acción 2022'!Z217+'Plan de Acción 2022'!Z218+'Plan de Acción 2022'!Z219+'Plan de Acción 2022'!Z220+'Plan de Acción 2022'!Z221+'Plan de Acción 2022'!Z222+'Plan de Acción 2022'!Z223+'Plan de Acción 2022'!Z224+'Plan de Acción 2022'!Z225+'Plan de Acción 2022'!Z226+'Plan de Acción 2022'!Z227+'Plan de Acción 2022'!Z228+'Plan de Acción 2022'!Z229+'Plan de Acción 2022'!Z230+'Plan de Acción 2022'!Z231+'Plan de Acción 2022'!Z232+'Plan de Acción 2022'!Z233+'Plan de Acción 2022'!Z234+'Plan de Acción 2022'!Z235+'Plan de Acción 2022'!Z289+'Plan de Acción 2022'!Z290+'Plan de Acción 2022'!Z333+'Plan de Acción 2022'!Z334)/28</f>
        <v>0</v>
      </c>
      <c r="R26" s="43">
        <f>(Q26*20%)/(L26-K26)</f>
        <v>0</v>
      </c>
      <c r="S26" s="489"/>
      <c r="T26" s="43">
        <f>('Plan de Acción 2022'!AC212+'Plan de Acción 2022'!AC213+'Plan de Acción 2022'!AC214+'Plan de Acción 2022'!AC215+'Plan de Acción 2022'!AC216+'Plan de Acción 2022'!AC217+'Plan de Acción 2022'!AC218+'Plan de Acción 2022'!AC219+'Plan de Acción 2022'!AC220+'Plan de Acción 2022'!AC221+'Plan de Acción 2022'!AC222+'Plan de Acción 2022'!AC223+'Plan de Acción 2022'!AC224+'Plan de Acción 2022'!AC225+'Plan de Acción 2022'!AC226+'Plan de Acción 2022'!AC227+'Plan de Acción 2022'!AC228+'Plan de Acción 2022'!AC229+'Plan de Acción 2022'!AC230+'Plan de Acción 2022'!AC231+'Plan de Acción 2022'!AC232+'Plan de Acción 2022'!AC233+'Plan de Acción 2022'!AC234+'Plan de Acción 2022'!AC235+'Plan de Acción 2022'!AC289+'Plan de Acción 2022'!AC290+'Plan de Acción 2022'!AC333+'Plan de Acción 2022'!AC334)/28</f>
        <v>0</v>
      </c>
      <c r="U26" s="43">
        <f>(T26*20%)/(L26-K26)</f>
        <v>0</v>
      </c>
      <c r="V26" s="53"/>
      <c r="W26" s="43">
        <f>('Plan de Acción 2022'!AF212+'Plan de Acción 2022'!AF213+'Plan de Acción 2022'!AF214+'Plan de Acción 2022'!AF215+'Plan de Acción 2022'!AF216+'Plan de Acción 2022'!AF217+'Plan de Acción 2022'!AF218+'Plan de Acción 2022'!AF219+'Plan de Acción 2022'!AF220+'Plan de Acción 2022'!AF221+'Plan de Acción 2022'!AF222+'Plan de Acción 2022'!AF223+'Plan de Acción 2022'!AF224+'Plan de Acción 2022'!AF225+'Plan de Acción 2022'!AF226+'Plan de Acción 2022'!AF227+'Plan de Acción 2022'!AF228+'Plan de Acción 2022'!AF229+'Plan de Acción 2022'!AF230+'Plan de Acción 2022'!AF231+'Plan de Acción 2022'!AF232+'Plan de Acción 2022'!AF233+'Plan de Acción 2022'!AF234+'Plan de Acción 2022'!AF235+'Plan de Acción 2022'!AF289+'Plan de Acción 2022'!AF290+'Plan de Acción 2022'!AF333+'Plan de Acción 2022'!AF334)/28</f>
        <v>0</v>
      </c>
      <c r="X26" s="43">
        <f>(W26*20%)/(L26-K26)</f>
        <v>0</v>
      </c>
      <c r="Y26" s="54"/>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18"/>
      <c r="AZ26" s="18"/>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row>
    <row r="27" spans="1:338" s="21" customFormat="1" ht="50.25" customHeight="1" x14ac:dyDescent="0.25">
      <c r="A27" s="804">
        <v>10</v>
      </c>
      <c r="B27" s="39">
        <v>1</v>
      </c>
      <c r="C27" s="40">
        <v>0</v>
      </c>
      <c r="D27" s="41" t="s">
        <v>1652</v>
      </c>
      <c r="E27" s="42" t="s">
        <v>1720</v>
      </c>
      <c r="F27" s="802" t="s">
        <v>445</v>
      </c>
      <c r="G27" s="489" t="s">
        <v>848</v>
      </c>
      <c r="H27" s="489" t="s">
        <v>850</v>
      </c>
      <c r="I27" s="43">
        <v>0.8</v>
      </c>
      <c r="J27" s="43">
        <v>0.85</v>
      </c>
      <c r="K27" s="43">
        <v>0.8</v>
      </c>
      <c r="L27" s="43">
        <f>'Plan de Acción 2022'!R241</f>
        <v>0.9</v>
      </c>
      <c r="M27" s="43">
        <v>1</v>
      </c>
      <c r="N27" s="43">
        <f>('Plan de Acción 2022'!W241+'Plan de Acción 2022'!W15+'Plan de Acción 2022'!W16)/3</f>
        <v>0.3666666666666667</v>
      </c>
      <c r="O27" s="43">
        <f>(N27*10%)/(L27-K27)</f>
        <v>0.36666666666666681</v>
      </c>
      <c r="P27" s="43" t="s">
        <v>1724</v>
      </c>
      <c r="Q27" s="43">
        <f>('Plan de Acción 2022'!Z241+'Plan de Acción 2022'!Z15+'Plan de Acción 2022'!Z16)/3</f>
        <v>0</v>
      </c>
      <c r="R27" s="43">
        <f>(Q27*10%)/(L27-K27)</f>
        <v>0</v>
      </c>
      <c r="S27" s="489"/>
      <c r="T27" s="43">
        <f>('Plan de Acción 2022'!AC241+'Plan de Acción 2022'!AC15+'Plan de Acción 2022'!AC16)/3</f>
        <v>0</v>
      </c>
      <c r="U27" s="43">
        <f>(T27*10%)/(L27-K27)</f>
        <v>0</v>
      </c>
      <c r="V27" s="71"/>
      <c r="W27" s="43">
        <f>('Plan de Acción 2022'!AF241+'Plan de Acción 2022'!AF15+'Plan de Acción 2022'!AF16)/3</f>
        <v>0</v>
      </c>
      <c r="X27" s="43">
        <f>(W27*10%)/(L27-K27)</f>
        <v>0</v>
      </c>
      <c r="Y27" s="72"/>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18"/>
      <c r="AZ27" s="18"/>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row>
    <row r="28" spans="1:338" s="64" customFormat="1" ht="75" customHeight="1" x14ac:dyDescent="0.25">
      <c r="A28" s="804"/>
      <c r="B28" s="39">
        <v>0</v>
      </c>
      <c r="C28" s="40">
        <v>1</v>
      </c>
      <c r="D28" s="41" t="s">
        <v>1652</v>
      </c>
      <c r="E28" s="42" t="s">
        <v>1720</v>
      </c>
      <c r="F28" s="802"/>
      <c r="G28" s="42" t="s">
        <v>853</v>
      </c>
      <c r="H28" s="489" t="s">
        <v>855</v>
      </c>
      <c r="I28" s="61">
        <v>0.86099999999999999</v>
      </c>
      <c r="J28" s="43">
        <v>1</v>
      </c>
      <c r="K28" s="80">
        <v>0.98099999999999998</v>
      </c>
      <c r="L28" s="43">
        <f>'Plan de Acción 2022'!R242</f>
        <v>1</v>
      </c>
      <c r="M28" s="43">
        <v>1</v>
      </c>
      <c r="N28" s="43">
        <f>'Plan de Acción 2022'!W242</f>
        <v>0.25</v>
      </c>
      <c r="O28" s="43">
        <f>N28</f>
        <v>0.25</v>
      </c>
      <c r="P28" s="43" t="s">
        <v>1725</v>
      </c>
      <c r="Q28" s="43">
        <f>'Plan de Acción 2022'!Z242</f>
        <v>0</v>
      </c>
      <c r="R28" s="43">
        <f>Q28</f>
        <v>0</v>
      </c>
      <c r="S28" s="489"/>
      <c r="T28" s="43">
        <f>'Plan de Acción 2022'!AC242</f>
        <v>0</v>
      </c>
      <c r="U28" s="43">
        <f>T28</f>
        <v>0</v>
      </c>
      <c r="V28" s="44"/>
      <c r="W28" s="43">
        <f>'Plan de Acción 2022'!AF242</f>
        <v>0</v>
      </c>
      <c r="X28" s="43">
        <f>W28</f>
        <v>0</v>
      </c>
      <c r="Y28" s="45"/>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18"/>
      <c r="AZ28" s="18"/>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row>
    <row r="29" spans="1:338" s="21" customFormat="1" ht="255.75" customHeight="1" x14ac:dyDescent="0.25">
      <c r="A29" s="798">
        <v>11</v>
      </c>
      <c r="B29" s="39">
        <v>1</v>
      </c>
      <c r="C29" s="40">
        <v>0</v>
      </c>
      <c r="D29" s="41" t="s">
        <v>1646</v>
      </c>
      <c r="E29" s="42" t="s">
        <v>1702</v>
      </c>
      <c r="F29" s="797" t="s">
        <v>1726</v>
      </c>
      <c r="G29" s="489" t="s">
        <v>426</v>
      </c>
      <c r="H29" s="489" t="s">
        <v>429</v>
      </c>
      <c r="I29" s="43">
        <v>0</v>
      </c>
      <c r="J29" s="43">
        <v>0.25</v>
      </c>
      <c r="K29" s="43">
        <v>0.25</v>
      </c>
      <c r="L29" s="43">
        <f>'Plan de Acción 2022'!R100</f>
        <v>0.5</v>
      </c>
      <c r="M29" s="43">
        <v>1</v>
      </c>
      <c r="N29" s="43">
        <f>('Plan de Acción 2022'!W100+'Plan de Acción 2022'!W101+'Plan de Acción 2022'!W102+'Plan de Acción 2022'!W180)/4</f>
        <v>0.25</v>
      </c>
      <c r="O29" s="420">
        <f>(N29*25%)/(L29-K29)</f>
        <v>0.25</v>
      </c>
      <c r="P29" s="43" t="s">
        <v>1727</v>
      </c>
      <c r="Q29" s="43">
        <f>('Plan de Acción 2022'!Z100+'Plan de Acción 2022'!Z101+'Plan de Acción 2022'!Z102+'Plan de Acción 2022'!Z180)/4</f>
        <v>0</v>
      </c>
      <c r="R29" s="43">
        <f>(Q29*100%)/(L29-K29)</f>
        <v>0</v>
      </c>
      <c r="S29" s="489"/>
      <c r="T29" s="43">
        <f>('Plan de Acción 2022'!AC100+'Plan de Acción 2022'!AC101+'Plan de Acción 2022'!AC102+'Plan de Acción 2022'!AC180)/4</f>
        <v>0</v>
      </c>
      <c r="U29" s="43">
        <f>(T29*100%)/(L29-K29)</f>
        <v>0</v>
      </c>
      <c r="V29" s="44"/>
      <c r="W29" s="43">
        <f>('Plan de Acción 2022'!AF100+'Plan de Acción 2022'!AF101+'Plan de Acción 2022'!AF102+'Plan de Acción 2022'!AF180)/4</f>
        <v>0</v>
      </c>
      <c r="X29" s="43">
        <f>(W29*100%)/(L29-K29)</f>
        <v>0</v>
      </c>
      <c r="Y29" s="45"/>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18"/>
      <c r="AZ29" s="18"/>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row>
    <row r="30" spans="1:338" s="64" customFormat="1" ht="63.75" customHeight="1" thickBot="1" x14ac:dyDescent="0.3">
      <c r="A30" s="829"/>
      <c r="B30" s="39">
        <v>0</v>
      </c>
      <c r="C30" s="40">
        <v>1</v>
      </c>
      <c r="D30" s="41" t="s">
        <v>1713</v>
      </c>
      <c r="E30" s="489" t="s">
        <v>1728</v>
      </c>
      <c r="F30" s="797"/>
      <c r="G30" s="489" t="s">
        <v>652</v>
      </c>
      <c r="H30" s="489" t="s">
        <v>655</v>
      </c>
      <c r="I30" s="489">
        <v>0</v>
      </c>
      <c r="J30" s="43">
        <v>0.05</v>
      </c>
      <c r="K30" s="43">
        <v>4.8000000000000001E-2</v>
      </c>
      <c r="L30" s="43">
        <f>'Plan de Acción 2022'!R174</f>
        <v>0.09</v>
      </c>
      <c r="M30" s="43">
        <v>0.13</v>
      </c>
      <c r="N30" s="43">
        <f>('Plan de Acción 2022'!W174+'Plan de Acción 2022'!W175+'Plan de Acción 2022'!W176+'Plan de Acción 2022'!W177+'Plan de Acción 2022'!W178)/5</f>
        <v>0.15</v>
      </c>
      <c r="O30" s="43">
        <f>(N30*4.1%)/(L30-K30)</f>
        <v>0.14642857142857144</v>
      </c>
      <c r="P30" s="43" t="s">
        <v>1729</v>
      </c>
      <c r="Q30" s="43">
        <f>('Plan de Acción 2022'!Z174+'Plan de Acción 2022'!Z175+'Plan de Acción 2022'!Z176+'Plan de Acción 2022'!Z177+'Plan de Acción 2022'!Z178)/5</f>
        <v>0</v>
      </c>
      <c r="R30" s="43">
        <f>(Q30*4.1%)/(L30-K30)</f>
        <v>0</v>
      </c>
      <c r="S30" s="489"/>
      <c r="T30" s="43">
        <f>('Plan de Acción 2022'!AC174+'Plan de Acción 2022'!AC175+'Plan de Acción 2022'!AC176+'Plan de Acción 2022'!AC177+'Plan de Acción 2022'!AC178)/5</f>
        <v>0</v>
      </c>
      <c r="U30" s="43">
        <f>(T30*4.1%)/(L30-K30)</f>
        <v>0</v>
      </c>
      <c r="V30" s="44"/>
      <c r="W30" s="43">
        <f>('Plan de Acción 2022'!AF174+'Plan de Acción 2022'!AF175+'Plan de Acción 2022'!AF176+'Plan de Acción 2022'!AF177+'Plan de Acción 2022'!AF178)/5</f>
        <v>0</v>
      </c>
      <c r="X30" s="43">
        <f>(W30*4.1%)/(L30-K30)</f>
        <v>0</v>
      </c>
      <c r="Y30" s="498"/>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18"/>
      <c r="AZ30" s="18"/>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row>
    <row r="31" spans="1:338" s="64" customFormat="1" ht="180" customHeight="1" thickBot="1" x14ac:dyDescent="0.3">
      <c r="A31" s="82">
        <v>12</v>
      </c>
      <c r="B31" s="39">
        <v>0</v>
      </c>
      <c r="C31" s="40">
        <v>1</v>
      </c>
      <c r="D31" s="41" t="s">
        <v>1646</v>
      </c>
      <c r="E31" s="489" t="s">
        <v>1730</v>
      </c>
      <c r="F31" s="489" t="s">
        <v>1731</v>
      </c>
      <c r="G31" s="493" t="s">
        <v>102</v>
      </c>
      <c r="H31" s="489" t="s">
        <v>104</v>
      </c>
      <c r="I31" s="66">
        <v>0.2</v>
      </c>
      <c r="J31" s="66">
        <v>0.4</v>
      </c>
      <c r="K31" s="66">
        <v>0.5</v>
      </c>
      <c r="L31" s="43">
        <f>'Plan de Acción 2022'!R20</f>
        <v>0.6</v>
      </c>
      <c r="M31" s="66">
        <v>1</v>
      </c>
      <c r="N31" s="66">
        <f>('Plan de Acción 2022'!W20+'Plan de Acción 2022'!W298+'Plan de Acción 2022'!W299+'Plan de Acción 2022'!W305+'Plan de Acción 2022'!W306+'Plan de Acción 2022'!W307+'Plan de Acción 2022'!W308+'Plan de Acción 2022'!W309+'Plan de Acción 2022'!W310+'Plan de Acción 2022'!W311+'Plan de Acción 2022'!W312+'Plan de Acción 2022'!W313+'Plan de Acción 2022'!W314+'Plan de Acción 2022'!W321+'Plan de Acción 2022'!W321+'Plan de Acción 2022'!W322+'Plan de Acción 2022'!W323+'Plan de Acción 2022'!W324+'Plan de Acción 2022'!W325+'Plan de Acción 2022'!W326+'Plan de Acción 2022'!W327+'Plan de Acción 2022'!W328)/21</f>
        <v>0.15000000000000002</v>
      </c>
      <c r="O31" s="43">
        <f>(N31*10%)/(L31-K31)</f>
        <v>0.15000000000000005</v>
      </c>
      <c r="P31" s="66" t="s">
        <v>1732</v>
      </c>
      <c r="Q31" s="66">
        <f>('Plan de Acción 2022'!Z20+'Plan de Acción 2022'!Z298+'Plan de Acción 2022'!Z299+'Plan de Acción 2022'!Z305+'Plan de Acción 2022'!Z306+'Plan de Acción 2022'!Z307+'Plan de Acción 2022'!Z308+'Plan de Acción 2022'!Z309+'Plan de Acción 2022'!Z310+'Plan de Acción 2022'!Z311+'Plan de Acción 2022'!Z312+'Plan de Acción 2022'!Z313+'Plan de Acción 2022'!Z314+'Plan de Acción 2022'!Z321+'Plan de Acción 2022'!Z321+'Plan de Acción 2022'!Z322+'Plan de Acción 2022'!Z323+'Plan de Acción 2022'!Z324+'Plan de Acción 2022'!Z325+'Plan de Acción 2022'!Z326+'Plan de Acción 2022'!Z327+'Plan de Acción 2022'!Z328)/21</f>
        <v>0</v>
      </c>
      <c r="R31" s="43">
        <f>(Q31*10%)/(L31-K31)</f>
        <v>0</v>
      </c>
      <c r="S31" s="493"/>
      <c r="T31" s="66">
        <f>('Plan de Acción 2022'!AC20+'Plan de Acción 2022'!AC298+'Plan de Acción 2022'!AC299+'Plan de Acción 2022'!AC305+'Plan de Acción 2022'!AC306+'Plan de Acción 2022'!AC307+'Plan de Acción 2022'!AC308+'Plan de Acción 2022'!AC309+'Plan de Acción 2022'!AC310+'Plan de Acción 2022'!AC311+'Plan de Acción 2022'!AC312+'Plan de Acción 2022'!AC313+'Plan de Acción 2022'!AC314+'Plan de Acción 2022'!AC321+'Plan de Acción 2022'!AC321+'Plan de Acción 2022'!AC322+'Plan de Acción 2022'!AC323+'Plan de Acción 2022'!AC324+'Plan de Acción 2022'!AC325+'Plan de Acción 2022'!AC326+'Plan de Acción 2022'!AC327+'Plan de Acción 2022'!AC328)/21</f>
        <v>0</v>
      </c>
      <c r="U31" s="43">
        <f>(T31*10%)/(L31-K31)</f>
        <v>0</v>
      </c>
      <c r="V31" s="83"/>
      <c r="W31" s="66">
        <f>('Plan de Acción 2022'!AF20+'Plan de Acción 2022'!AF298+'Plan de Acción 2022'!AF299+'Plan de Acción 2022'!AF305+'Plan de Acción 2022'!AF306+'Plan de Acción 2022'!AF307+'Plan de Acción 2022'!AF308+'Plan de Acción 2022'!AF309+'Plan de Acción 2022'!AF310+'Plan de Acción 2022'!AF311+'Plan de Acción 2022'!AF312+'Plan de Acción 2022'!AF313+'Plan de Acción 2022'!AF314+'Plan de Acción 2022'!AF321+'Plan de Acción 2022'!AF321+'Plan de Acción 2022'!AF322+'Plan de Acción 2022'!AF323+'Plan de Acción 2022'!AF324+'Plan de Acción 2022'!AF325+'Plan de Acción 2022'!AF326+'Plan de Acción 2022'!AF327+'Plan de Acción 2022'!AF328)/21</f>
        <v>0</v>
      </c>
      <c r="X31" s="43">
        <f>(W31*10%)/(L31-K31)</f>
        <v>0</v>
      </c>
      <c r="Y31" s="21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18"/>
      <c r="AZ31" s="18"/>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row>
    <row r="32" spans="1:338" s="21" customFormat="1" ht="80.25" customHeight="1" x14ac:dyDescent="0.25">
      <c r="A32" s="803">
        <v>13</v>
      </c>
      <c r="B32" s="39">
        <v>1</v>
      </c>
      <c r="C32" s="40">
        <v>0</v>
      </c>
      <c r="D32" s="41" t="s">
        <v>1652</v>
      </c>
      <c r="E32" s="52" t="s">
        <v>1652</v>
      </c>
      <c r="F32" s="802" t="s">
        <v>1733</v>
      </c>
      <c r="G32" s="489" t="s">
        <v>1734</v>
      </c>
      <c r="H32" s="489" t="s">
        <v>1735</v>
      </c>
      <c r="I32" s="43">
        <v>0.2</v>
      </c>
      <c r="J32" s="43">
        <v>0.5</v>
      </c>
      <c r="K32" s="43">
        <v>0.5</v>
      </c>
      <c r="L32" s="43">
        <f>'Plan de Acción 2022'!R132</f>
        <v>0.65</v>
      </c>
      <c r="M32" s="43">
        <v>1</v>
      </c>
      <c r="N32" s="43">
        <f>'Plan de Acción 2022'!W132</f>
        <v>0.02</v>
      </c>
      <c r="O32" s="414">
        <f>(N32*15%)/(L32-K32)</f>
        <v>1.9999999999999997E-2</v>
      </c>
      <c r="P32" s="43" t="s">
        <v>1736</v>
      </c>
      <c r="Q32" s="43">
        <f>'Plan de Acción 2022'!Z132</f>
        <v>0</v>
      </c>
      <c r="R32" s="43">
        <f>(Q32*15%)/(L32-K32)</f>
        <v>0</v>
      </c>
      <c r="S32" s="489"/>
      <c r="T32" s="43">
        <f>'Plan de Acción 2022'!AC132</f>
        <v>0</v>
      </c>
      <c r="U32" s="43">
        <f>(T32*15%)/(L32-K32)</f>
        <v>0</v>
      </c>
      <c r="V32" s="44"/>
      <c r="W32" s="43">
        <f>'Plan de Acción 2022'!AF132</f>
        <v>0</v>
      </c>
      <c r="X32" s="43">
        <f>(W32*15%)/(L32-K32)</f>
        <v>0</v>
      </c>
      <c r="Y32" s="45"/>
      <c r="Z32" s="65"/>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18"/>
      <c r="AZ32" s="18"/>
    </row>
    <row r="33" spans="1:52" s="21" customFormat="1" ht="77.25" customHeight="1" x14ac:dyDescent="0.25">
      <c r="A33" s="800"/>
      <c r="B33" s="39">
        <v>1</v>
      </c>
      <c r="C33" s="40">
        <v>0</v>
      </c>
      <c r="D33" s="41" t="s">
        <v>1652</v>
      </c>
      <c r="E33" s="42" t="s">
        <v>1652</v>
      </c>
      <c r="F33" s="802"/>
      <c r="G33" s="797" t="s">
        <v>1737</v>
      </c>
      <c r="H33" s="489" t="s">
        <v>1738</v>
      </c>
      <c r="I33" s="43">
        <v>0.5</v>
      </c>
      <c r="J33" s="43">
        <v>0.7</v>
      </c>
      <c r="K33" s="43">
        <v>0.55000000000000004</v>
      </c>
      <c r="L33" s="43">
        <f>'Plan de Acción 2022'!R133</f>
        <v>0.8</v>
      </c>
      <c r="M33" s="43">
        <v>1</v>
      </c>
      <c r="N33" s="43">
        <f>'Plan de Acción 2022'!W133</f>
        <v>0.25</v>
      </c>
      <c r="O33" s="43">
        <f>(N33*25%)/(L33-K33)</f>
        <v>0.25</v>
      </c>
      <c r="P33" s="43" t="s">
        <v>1739</v>
      </c>
      <c r="Q33" s="43">
        <f>'Plan de Acción 2022'!Z133</f>
        <v>0</v>
      </c>
      <c r="R33" s="43">
        <f>(Q33*25%)/(L33-K33)</f>
        <v>0</v>
      </c>
      <c r="S33" s="489"/>
      <c r="T33" s="43">
        <f>'Plan de Acción 2022'!AC133</f>
        <v>0</v>
      </c>
      <c r="U33" s="43">
        <f>(T33*25%)/(L33-K33)</f>
        <v>0</v>
      </c>
      <c r="V33" s="310"/>
      <c r="W33" s="43">
        <f>'Plan de Acción 2022'!AF133</f>
        <v>0</v>
      </c>
      <c r="X33" s="43">
        <f>(W33*25%)/(L33-K33)</f>
        <v>0</v>
      </c>
      <c r="Y33" s="45"/>
      <c r="Z33" s="84"/>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18"/>
      <c r="AZ33" s="18"/>
    </row>
    <row r="34" spans="1:52" s="21" customFormat="1" ht="43.5" customHeight="1" x14ac:dyDescent="0.25">
      <c r="A34" s="800"/>
      <c r="B34" s="39">
        <v>1</v>
      </c>
      <c r="C34" s="40">
        <v>0</v>
      </c>
      <c r="D34" s="41" t="s">
        <v>1652</v>
      </c>
      <c r="E34" s="42" t="s">
        <v>1652</v>
      </c>
      <c r="F34" s="802"/>
      <c r="G34" s="797"/>
      <c r="H34" s="489" t="s">
        <v>512</v>
      </c>
      <c r="I34" s="43">
        <v>0.4</v>
      </c>
      <c r="J34" s="43">
        <v>0.6</v>
      </c>
      <c r="K34" s="43">
        <v>0.42</v>
      </c>
      <c r="L34" s="43">
        <v>0.75</v>
      </c>
      <c r="M34" s="43">
        <f>'Plan de Acción 2022'!R134</f>
        <v>0.75</v>
      </c>
      <c r="N34" s="43">
        <f>'Plan de Acción 2022'!W134</f>
        <v>0.02</v>
      </c>
      <c r="O34" s="414">
        <f>(N34*33%)/(L34-K34)</f>
        <v>0.02</v>
      </c>
      <c r="P34" s="43" t="s">
        <v>1740</v>
      </c>
      <c r="Q34" s="43">
        <f>'Plan de Acción 2022'!Z134</f>
        <v>0</v>
      </c>
      <c r="R34" s="43">
        <f>(Q34*33%)/(L34-K34)</f>
        <v>0</v>
      </c>
      <c r="S34" s="489"/>
      <c r="T34" s="43">
        <f>'Plan de Acción 2022'!AC134</f>
        <v>0</v>
      </c>
      <c r="U34" s="43">
        <f>(T34*33%)/(L34-K34)</f>
        <v>0</v>
      </c>
      <c r="V34" s="309"/>
      <c r="W34" s="43">
        <f>'Plan de Acción 2022'!AF134</f>
        <v>0</v>
      </c>
      <c r="X34" s="43">
        <f>(W34*33%)/(L34-K34)</f>
        <v>0</v>
      </c>
      <c r="Y34" s="45"/>
      <c r="Z34" s="84"/>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18"/>
      <c r="AZ34" s="18"/>
    </row>
    <row r="35" spans="1:52" s="21" customFormat="1" ht="127.5" customHeight="1" x14ac:dyDescent="0.25">
      <c r="A35" s="800"/>
      <c r="B35" s="39">
        <v>1</v>
      </c>
      <c r="C35" s="40">
        <v>0</v>
      </c>
      <c r="D35" s="41" t="s">
        <v>1652</v>
      </c>
      <c r="E35" s="41" t="s">
        <v>1652</v>
      </c>
      <c r="F35" s="802"/>
      <c r="G35" s="802" t="s">
        <v>1741</v>
      </c>
      <c r="H35" s="489" t="s">
        <v>1387</v>
      </c>
      <c r="I35" s="43">
        <v>0</v>
      </c>
      <c r="J35" s="43">
        <v>0.9</v>
      </c>
      <c r="K35" s="43">
        <v>0.9</v>
      </c>
      <c r="L35" s="43">
        <f>'Plan de Acción 2022'!R135</f>
        <v>1</v>
      </c>
      <c r="M35" s="43">
        <v>1</v>
      </c>
      <c r="N35" s="43">
        <f>('Plan de Acción 2022'!W135+'Plan de Acción 2022'!W400+'Plan de Acción 2022'!W401+'Plan de Acción 2022'!W402+'Plan de Acción 2022'!W403+'Plan de Acción 2022'!W404+'Plan de Acción 2022'!W405)/7</f>
        <v>0.31428571428571433</v>
      </c>
      <c r="O35" s="43">
        <f>(N35*10%)/(L35-K35)</f>
        <v>0.31428571428571445</v>
      </c>
      <c r="P35" s="43" t="s">
        <v>1742</v>
      </c>
      <c r="Q35" s="43">
        <f>('Plan de Acción 2022'!Z135+'Plan de Acción 2022'!Z400+'Plan de Acción 2022'!Z402+'Plan de Acción 2022'!Z403+'Plan de Acción 2022'!Z405)/5</f>
        <v>0</v>
      </c>
      <c r="R35" s="43">
        <f>(Q35*20%)/(L35-K35)</f>
        <v>0</v>
      </c>
      <c r="S35" s="489"/>
      <c r="T35" s="43">
        <f>('Plan de Acción 2022'!AC135+'Plan de Acción 2022'!AC400+'Plan de Acción 2022'!AC402+'Plan de Acción 2022'!AC403+'Plan de Acción 2022'!AC405)/5</f>
        <v>0</v>
      </c>
      <c r="U35" s="43">
        <f>(T35*20%)/(L35-K35)</f>
        <v>0</v>
      </c>
      <c r="V35" s="44"/>
      <c r="W35" s="43">
        <f>('Plan de Acción 2022'!AF135+'Plan de Acción 2022'!AF400+'Plan de Acción 2022'!AF402+'Plan de Acción 2022'!AF403+'Plan de Acción 2022'!AF405)/5</f>
        <v>0</v>
      </c>
      <c r="X35" s="43">
        <f>(W35*20%)/(L35-K35)</f>
        <v>0</v>
      </c>
      <c r="Y35" s="45"/>
      <c r="Z35" s="65"/>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18"/>
      <c r="AZ35" s="18"/>
    </row>
    <row r="36" spans="1:52" s="21" customFormat="1" ht="75" customHeight="1" x14ac:dyDescent="0.25">
      <c r="A36" s="800"/>
      <c r="B36" s="39">
        <v>1</v>
      </c>
      <c r="C36" s="40">
        <v>0</v>
      </c>
      <c r="D36" s="41" t="s">
        <v>1652</v>
      </c>
      <c r="E36" s="42" t="s">
        <v>1652</v>
      </c>
      <c r="F36" s="802"/>
      <c r="G36" s="802"/>
      <c r="H36" s="489" t="s">
        <v>1397</v>
      </c>
      <c r="I36" s="43">
        <v>0</v>
      </c>
      <c r="J36" s="43">
        <v>0.2</v>
      </c>
      <c r="K36" s="43">
        <v>0.2</v>
      </c>
      <c r="L36" s="43">
        <f>'Plan de Acción 2022'!R136</f>
        <v>0.5</v>
      </c>
      <c r="M36" s="43">
        <v>1</v>
      </c>
      <c r="N36" s="43">
        <f>('Plan de Acción 2022'!W136+'Plan de Acción 2022'!W401+'Plan de Acción 2022'!W404)/3</f>
        <v>0.16666666666666666</v>
      </c>
      <c r="O36" s="43">
        <f>(N36*30%)/(L36-K36)</f>
        <v>0.16666666666666666</v>
      </c>
      <c r="P36" s="43" t="s">
        <v>1743</v>
      </c>
      <c r="Q36" s="43">
        <f>('Plan de Acción 2022'!Z136+'Plan de Acción 2022'!Z401+'Plan de Acción 2022'!Z404)/3</f>
        <v>0</v>
      </c>
      <c r="R36" s="43">
        <f>(Q36*30%)/(L36-K36)</f>
        <v>0</v>
      </c>
      <c r="S36" s="489"/>
      <c r="T36" s="43">
        <f>('Plan de Acción 2022'!AC136+'Plan de Acción 2022'!AC401+'Plan de Acción 2022'!AC404)/3</f>
        <v>0</v>
      </c>
      <c r="U36" s="43">
        <f>(T36*30%)/(L36-K36)</f>
        <v>0</v>
      </c>
      <c r="V36" s="44"/>
      <c r="W36" s="43">
        <f>('Plan de Acción 2022'!AF136+'Plan de Acción 2022'!AF401+'Plan de Acción 2022'!AF404)/3</f>
        <v>0</v>
      </c>
      <c r="X36" s="43">
        <f>(W36*30%)/(L36-K36)</f>
        <v>0</v>
      </c>
      <c r="Y36" s="45"/>
      <c r="Z36" s="65"/>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18"/>
      <c r="AZ36" s="18"/>
    </row>
    <row r="37" spans="1:52" s="21" customFormat="1" ht="77.25" customHeight="1" x14ac:dyDescent="0.25">
      <c r="A37" s="800"/>
      <c r="B37" s="39">
        <v>1</v>
      </c>
      <c r="C37" s="40">
        <v>0</v>
      </c>
      <c r="D37" s="41" t="s">
        <v>1652</v>
      </c>
      <c r="E37" s="42" t="s">
        <v>1652</v>
      </c>
      <c r="F37" s="802"/>
      <c r="G37" s="489" t="s">
        <v>1744</v>
      </c>
      <c r="H37" s="489" t="s">
        <v>524</v>
      </c>
      <c r="I37" s="43">
        <v>0.1</v>
      </c>
      <c r="J37" s="43">
        <v>0.5</v>
      </c>
      <c r="K37" s="76">
        <v>0.5</v>
      </c>
      <c r="L37" s="43">
        <f>'Plan de Acción 2022'!R137</f>
        <v>1</v>
      </c>
      <c r="M37" s="43">
        <v>1</v>
      </c>
      <c r="N37" s="43">
        <f>('Plan de Acción 2022'!W137+'Plan de Acción 2022'!W171)/2</f>
        <v>0.5</v>
      </c>
      <c r="O37" s="43">
        <f>(N37*50%)/(L37-K37)</f>
        <v>0.5</v>
      </c>
      <c r="P37" s="43" t="s">
        <v>519</v>
      </c>
      <c r="Q37" s="43">
        <f>('Plan de Acción 2022'!Z137+'Plan de Acción 2022'!Z171)/2</f>
        <v>0</v>
      </c>
      <c r="R37" s="43">
        <f>(Q37*50%)/(L37-K37)</f>
        <v>0</v>
      </c>
      <c r="S37" s="489"/>
      <c r="T37" s="43">
        <f>('Plan de Acción 2022'!AC137+'Plan de Acción 2022'!AC171)/2</f>
        <v>0</v>
      </c>
      <c r="U37" s="43">
        <f>(T37*50%)/(L37-K37)</f>
        <v>0</v>
      </c>
      <c r="V37" s="53"/>
      <c r="W37" s="43">
        <f>('Plan de Acción 2022'!AF137+'Plan de Acción 2022'!AF171)/2</f>
        <v>0</v>
      </c>
      <c r="X37" s="43">
        <f>(W37*50%)/(L37-K37)</f>
        <v>0</v>
      </c>
      <c r="Y37" s="54"/>
      <c r="Z37" s="63"/>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18"/>
      <c r="AZ37" s="18"/>
    </row>
    <row r="38" spans="1:52" s="21" customFormat="1" ht="83.25" customHeight="1" thickBot="1" x14ac:dyDescent="0.3">
      <c r="A38" s="829"/>
      <c r="B38" s="39">
        <v>1</v>
      </c>
      <c r="C38" s="40">
        <v>0</v>
      </c>
      <c r="D38" s="85" t="s">
        <v>1652</v>
      </c>
      <c r="E38" s="86" t="s">
        <v>1652</v>
      </c>
      <c r="F38" s="830"/>
      <c r="G38" s="87" t="s">
        <v>1745</v>
      </c>
      <c r="H38" s="87" t="s">
        <v>530</v>
      </c>
      <c r="I38" s="88">
        <v>0</v>
      </c>
      <c r="J38" s="88">
        <v>0.25</v>
      </c>
      <c r="K38" s="88">
        <v>0.2</v>
      </c>
      <c r="L38" s="43">
        <f>'Plan de Acción 2022'!R139</f>
        <v>0.5</v>
      </c>
      <c r="M38" s="88">
        <v>1</v>
      </c>
      <c r="N38" s="88">
        <f>'Plan de Acción 2022'!W139</f>
        <v>0</v>
      </c>
      <c r="O38" s="415">
        <f>(N38*30%)/(L38-K38)</f>
        <v>0</v>
      </c>
      <c r="P38" s="88" t="s">
        <v>1746</v>
      </c>
      <c r="Q38" s="88">
        <f>'Plan de Acción 2022'!Z139</f>
        <v>0</v>
      </c>
      <c r="R38" s="88">
        <f>(Q38*30%)/(L38-K38)</f>
        <v>0</v>
      </c>
      <c r="S38" s="494"/>
      <c r="T38" s="88">
        <f>'Plan de Acción 2022'!AC139</f>
        <v>0</v>
      </c>
      <c r="U38" s="88">
        <f>(T38*30%)/(L38-K38)</f>
        <v>0</v>
      </c>
      <c r="V38" s="89"/>
      <c r="W38" s="88">
        <f>'Plan de Acción 2022'!AF139</f>
        <v>0</v>
      </c>
      <c r="X38" s="88">
        <f>(W38*30%)/(L38-K38)</f>
        <v>0</v>
      </c>
      <c r="Y38" s="90"/>
      <c r="Z38" s="65"/>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18"/>
      <c r="AZ38" s="18"/>
    </row>
    <row r="39" spans="1:52" ht="43.5" customHeight="1" thickBot="1" x14ac:dyDescent="0.3">
      <c r="A39" s="91">
        <v>13</v>
      </c>
      <c r="B39" s="91"/>
      <c r="C39" s="91"/>
      <c r="D39" s="827"/>
      <c r="E39" s="828"/>
      <c r="F39" s="828"/>
      <c r="G39" s="828"/>
      <c r="H39" s="828"/>
      <c r="I39" s="828"/>
      <c r="J39" s="828"/>
      <c r="K39" s="490"/>
      <c r="L39" s="490"/>
      <c r="M39" s="490"/>
      <c r="N39" s="228"/>
      <c r="O39" s="229"/>
      <c r="P39" s="228"/>
      <c r="Q39" s="228"/>
      <c r="R39" s="229"/>
      <c r="S39" s="230"/>
      <c r="T39" s="228"/>
      <c r="U39" s="229"/>
      <c r="V39" s="230"/>
      <c r="W39" s="228"/>
      <c r="X39" s="229"/>
      <c r="Y39" s="232">
        <f>AVERAGE(Y40:Y42)/4</f>
        <v>4.2414749245670645E-2</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row>
    <row r="40" spans="1:52" ht="28.5" customHeight="1" x14ac:dyDescent="0.2">
      <c r="E40" s="17"/>
      <c r="G40" s="266"/>
      <c r="I40" s="17"/>
      <c r="J40" s="17"/>
      <c r="K40" s="17"/>
      <c r="L40" s="17"/>
      <c r="M40" s="17"/>
      <c r="N40" s="226" t="s">
        <v>1646</v>
      </c>
      <c r="O40" s="233">
        <f>AVERAGE(O9+O13+O14+O15+O17+O20+O29+O31)/8</f>
        <v>0.16090277777777781</v>
      </c>
      <c r="P40" s="233"/>
      <c r="Q40" s="233"/>
      <c r="R40" s="233">
        <f>AVERAGE(R9,R13,R14,R15,R17,R20,R29,R31)/8</f>
        <v>0</v>
      </c>
      <c r="S40" s="233"/>
      <c r="T40" s="233"/>
      <c r="U40" s="233">
        <f>AVERAGE(U9+U13+U14+U15+U17+U20+U29+U31)/8</f>
        <v>0</v>
      </c>
      <c r="V40" s="233"/>
      <c r="W40" s="233"/>
      <c r="X40" s="233">
        <f>AVERAGE(X9+X13+X14+X15+X17+X20+X29+X31)/8</f>
        <v>0</v>
      </c>
      <c r="Y40" s="222">
        <f>AVERAGE(O40+R40+U40+X40)</f>
        <v>0.16090277777777781</v>
      </c>
    </row>
    <row r="41" spans="1:52" ht="41.25" customHeight="1" x14ac:dyDescent="0.2">
      <c r="E41" s="17"/>
      <c r="G41" s="266"/>
      <c r="I41" s="17"/>
      <c r="J41" s="17"/>
      <c r="K41" s="17"/>
      <c r="L41" s="17"/>
      <c r="M41" s="17"/>
      <c r="N41" s="221" t="s">
        <v>1654</v>
      </c>
      <c r="O41" s="222">
        <f>AVERAGE(O11+O12+O22+O23+O24)/5</f>
        <v>0.16572463768115947</v>
      </c>
      <c r="P41" s="222"/>
      <c r="Q41" s="222"/>
      <c r="R41" s="222">
        <f>AVERAGE(R11+R12+R22+R23+R24)/5</f>
        <v>0</v>
      </c>
      <c r="S41" s="222"/>
      <c r="T41" s="222"/>
      <c r="U41" s="222">
        <f>AVERAGE(U11+U12+U22+U23+U24)/5</f>
        <v>0</v>
      </c>
      <c r="V41" s="222"/>
      <c r="W41" s="222"/>
      <c r="X41" s="222">
        <f>AVERAGE(X11+X12+X22+X23+X24)/5</f>
        <v>0</v>
      </c>
      <c r="Y41" s="222">
        <f>AVERAGE(O41+R41+U41+X41)</f>
        <v>0.16572463768115947</v>
      </c>
    </row>
    <row r="42" spans="1:52" ht="54.75" customHeight="1" x14ac:dyDescent="0.2">
      <c r="E42" s="17"/>
      <c r="G42" s="266"/>
      <c r="I42" s="17"/>
      <c r="J42" s="17"/>
      <c r="K42" s="17"/>
      <c r="L42" s="17"/>
      <c r="M42" s="17"/>
      <c r="N42" s="221" t="s">
        <v>1652</v>
      </c>
      <c r="O42" s="222">
        <f>AVERAGE(O16+O10+O21+O25+O26+O27+O28+O30+O32+O33+O34+O35+O36+O37+O38)/15</f>
        <v>0.1823495754891104</v>
      </c>
      <c r="P42" s="222"/>
      <c r="Q42" s="222"/>
      <c r="R42" s="222">
        <f>AVERAGE(R16+R10+R21+R25+R26+R27+R28+R30+R32+R33+R34+R35+R36+R37+R38)/15</f>
        <v>0</v>
      </c>
      <c r="S42" s="222"/>
      <c r="T42" s="222"/>
      <c r="U42" s="222">
        <f>AVERAGE(U16+U10+U21+U25+U26+U27+U28+U30+U32+U33+U34+U35+U36+U37+U38)/15</f>
        <v>0</v>
      </c>
      <c r="V42" s="222"/>
      <c r="W42" s="222"/>
      <c r="X42" s="222">
        <f>AVERAGE(X16+X10+X21+X25+X26+X27+X28+X30+X32+X33+X34+X35+X36+X37+X38)/15</f>
        <v>0</v>
      </c>
      <c r="Y42" s="222">
        <f>AVERAGE(O42+R42+U42+X42)</f>
        <v>0.1823495754891104</v>
      </c>
    </row>
    <row r="43" spans="1:52" ht="43.5" customHeight="1" thickBot="1" x14ac:dyDescent="0.25">
      <c r="Q43" s="93"/>
      <c r="R43" s="92"/>
      <c r="W43" s="19"/>
      <c r="X43" s="19"/>
      <c r="Y43" s="17"/>
    </row>
    <row r="44" spans="1:52" s="347" customFormat="1" ht="10.5" customHeight="1" thickTop="1" x14ac:dyDescent="0.2">
      <c r="A44" s="811" t="s">
        <v>1632</v>
      </c>
      <c r="B44" s="812"/>
      <c r="C44" s="812"/>
      <c r="D44" s="812"/>
      <c r="E44" s="812"/>
      <c r="F44" s="812"/>
      <c r="G44" s="812"/>
      <c r="H44" s="812"/>
      <c r="I44" s="813"/>
      <c r="J44" s="817" t="s">
        <v>1633</v>
      </c>
      <c r="K44" s="818"/>
      <c r="L44" s="818"/>
      <c r="M44" s="818"/>
      <c r="N44" s="818"/>
      <c r="O44" s="818"/>
      <c r="P44" s="819"/>
      <c r="Q44" s="817" t="s">
        <v>1634</v>
      </c>
      <c r="R44" s="823"/>
      <c r="S44" s="811" t="s">
        <v>1635</v>
      </c>
      <c r="T44" s="812"/>
      <c r="U44" s="812"/>
      <c r="V44" s="812"/>
      <c r="W44" s="825"/>
      <c r="X44" s="806">
        <v>1</v>
      </c>
      <c r="Y44" s="346"/>
      <c r="AB44" s="346"/>
      <c r="AE44" s="346"/>
    </row>
    <row r="45" spans="1:52" s="347" customFormat="1" ht="13.15" customHeight="1" thickBot="1" x14ac:dyDescent="0.25">
      <c r="A45" s="814"/>
      <c r="B45" s="815"/>
      <c r="C45" s="815"/>
      <c r="D45" s="815"/>
      <c r="E45" s="815"/>
      <c r="F45" s="815"/>
      <c r="G45" s="815"/>
      <c r="H45" s="815"/>
      <c r="I45" s="816"/>
      <c r="J45" s="820"/>
      <c r="K45" s="821"/>
      <c r="L45" s="821"/>
      <c r="M45" s="821"/>
      <c r="N45" s="821"/>
      <c r="O45" s="821"/>
      <c r="P45" s="822"/>
      <c r="Q45" s="820"/>
      <c r="R45" s="824"/>
      <c r="S45" s="814"/>
      <c r="T45" s="815"/>
      <c r="U45" s="815"/>
      <c r="V45" s="815"/>
      <c r="W45" s="826"/>
      <c r="X45" s="807"/>
      <c r="Y45" s="346"/>
      <c r="AB45" s="346"/>
      <c r="AE45" s="346"/>
    </row>
    <row r="46" spans="1:52" ht="43.5" customHeight="1" x14ac:dyDescent="0.2">
      <c r="W46" s="19"/>
      <c r="X46" s="19"/>
      <c r="Y46" s="18"/>
    </row>
    <row r="47" spans="1:52" ht="43.5" customHeight="1" x14ac:dyDescent="0.2">
      <c r="W47" s="19"/>
      <c r="X47" s="19"/>
      <c r="Y47" s="18"/>
    </row>
    <row r="48" spans="1:52" ht="43.5" customHeight="1" x14ac:dyDescent="0.2">
      <c r="W48" s="19"/>
      <c r="X48" s="19"/>
      <c r="Y48" s="18"/>
    </row>
    <row r="49" spans="23:25" ht="43.5" customHeight="1" x14ac:dyDescent="0.2">
      <c r="W49" s="19"/>
      <c r="X49" s="19"/>
      <c r="Y49" s="18"/>
    </row>
    <row r="50" spans="23:25" ht="43.5" customHeight="1" x14ac:dyDescent="0.2">
      <c r="W50" s="19"/>
      <c r="X50" s="19"/>
      <c r="Y50" s="18"/>
    </row>
    <row r="51" spans="23:25" ht="43.5" customHeight="1" x14ac:dyDescent="0.2">
      <c r="W51" s="19"/>
      <c r="X51" s="19"/>
      <c r="Y51" s="18"/>
    </row>
    <row r="52" spans="23:25" ht="43.5" customHeight="1" x14ac:dyDescent="0.2">
      <c r="W52" s="19"/>
      <c r="X52" s="19"/>
      <c r="Y52" s="18"/>
    </row>
    <row r="53" spans="23:25" ht="43.5" customHeight="1" x14ac:dyDescent="0.2">
      <c r="W53" s="19"/>
      <c r="X53" s="19"/>
      <c r="Y53" s="18"/>
    </row>
    <row r="54" spans="23:25" ht="43.5" customHeight="1" x14ac:dyDescent="0.2">
      <c r="W54" s="19"/>
      <c r="X54" s="19"/>
      <c r="Y54" s="18"/>
    </row>
    <row r="55" spans="23:25" ht="43.5" customHeight="1" x14ac:dyDescent="0.2">
      <c r="W55" s="19"/>
      <c r="X55" s="19"/>
      <c r="Y55" s="18"/>
    </row>
    <row r="56" spans="23:25" ht="43.5" customHeight="1" x14ac:dyDescent="0.2">
      <c r="W56" s="19"/>
      <c r="X56" s="19"/>
      <c r="Y56" s="18"/>
    </row>
    <row r="57" spans="23:25" ht="43.5" customHeight="1" x14ac:dyDescent="0.2">
      <c r="W57" s="19"/>
      <c r="X57" s="19"/>
      <c r="Y57" s="18"/>
    </row>
    <row r="58" spans="23:25" ht="43.5" customHeight="1" x14ac:dyDescent="0.2">
      <c r="W58" s="19"/>
      <c r="X58" s="19"/>
      <c r="Y58" s="18"/>
    </row>
    <row r="59" spans="23:25" ht="43.5" customHeight="1" x14ac:dyDescent="0.2">
      <c r="W59" s="19"/>
      <c r="X59" s="19"/>
      <c r="Y59" s="18"/>
    </row>
    <row r="60" spans="23:25" ht="43.5" customHeight="1" x14ac:dyDescent="0.2">
      <c r="W60" s="19"/>
      <c r="X60" s="19"/>
      <c r="Y60" s="18"/>
    </row>
    <row r="61" spans="23:25" ht="43.5" customHeight="1" x14ac:dyDescent="0.2">
      <c r="W61" s="19"/>
      <c r="X61" s="19"/>
      <c r="Y61" s="18"/>
    </row>
    <row r="62" spans="23:25" ht="43.5" customHeight="1" x14ac:dyDescent="0.2">
      <c r="W62" s="19"/>
      <c r="X62" s="19"/>
      <c r="Y62" s="18"/>
    </row>
    <row r="63" spans="23:25" ht="43.5" customHeight="1" x14ac:dyDescent="0.2">
      <c r="W63" s="19"/>
      <c r="X63" s="19"/>
      <c r="Y63" s="18"/>
    </row>
    <row r="64" spans="23:25" ht="43.5" customHeight="1" x14ac:dyDescent="0.2">
      <c r="W64" s="19"/>
      <c r="X64" s="19"/>
      <c r="Y64" s="18"/>
    </row>
    <row r="65" spans="23:25" ht="43.5" customHeight="1" x14ac:dyDescent="0.2">
      <c r="W65" s="19"/>
      <c r="X65" s="19"/>
      <c r="Y65" s="18"/>
    </row>
    <row r="66" spans="23:25" ht="43.5" customHeight="1" x14ac:dyDescent="0.2">
      <c r="W66" s="19"/>
      <c r="X66" s="19"/>
      <c r="Y66" s="18"/>
    </row>
    <row r="67" spans="23:25" ht="43.5" customHeight="1" x14ac:dyDescent="0.2">
      <c r="W67" s="19"/>
      <c r="X67" s="19"/>
      <c r="Y67" s="18"/>
    </row>
    <row r="68" spans="23:25" ht="43.5" customHeight="1" x14ac:dyDescent="0.2">
      <c r="W68" s="19"/>
      <c r="X68" s="19"/>
      <c r="Y68" s="18"/>
    </row>
    <row r="69" spans="23:25" ht="43.5" customHeight="1" x14ac:dyDescent="0.2">
      <c r="W69" s="19"/>
      <c r="X69" s="19"/>
      <c r="Y69" s="18"/>
    </row>
    <row r="70" spans="23:25" ht="43.5" customHeight="1" x14ac:dyDescent="0.2">
      <c r="W70" s="19"/>
      <c r="X70" s="19"/>
      <c r="Y70" s="18"/>
    </row>
    <row r="71" spans="23:25" ht="43.5" customHeight="1" x14ac:dyDescent="0.2">
      <c r="W71" s="19"/>
      <c r="X71" s="19"/>
      <c r="Y71" s="18"/>
    </row>
    <row r="72" spans="23:25" ht="43.5" customHeight="1" x14ac:dyDescent="0.2">
      <c r="W72" s="19"/>
      <c r="X72" s="19"/>
      <c r="Y72" s="18"/>
    </row>
    <row r="73" spans="23:25" ht="43.5" customHeight="1" x14ac:dyDescent="0.2">
      <c r="W73" s="19"/>
      <c r="X73" s="19"/>
      <c r="Y73" s="18"/>
    </row>
    <row r="74" spans="23:25" ht="43.5" customHeight="1" x14ac:dyDescent="0.2">
      <c r="W74" s="19"/>
      <c r="X74" s="19"/>
      <c r="Y74" s="18"/>
    </row>
    <row r="75" spans="23:25" ht="43.5" customHeight="1" x14ac:dyDescent="0.2">
      <c r="W75" s="19"/>
      <c r="X75" s="19"/>
      <c r="Y75" s="18"/>
    </row>
    <row r="76" spans="23:25" ht="43.5" customHeight="1" x14ac:dyDescent="0.2">
      <c r="W76" s="19"/>
      <c r="X76" s="19"/>
      <c r="Y76" s="18"/>
    </row>
    <row r="77" spans="23:25" ht="43.5" customHeight="1" x14ac:dyDescent="0.2">
      <c r="W77" s="19"/>
      <c r="X77" s="19"/>
      <c r="Y77" s="18"/>
    </row>
    <row r="78" spans="23:25" ht="43.5" customHeight="1" x14ac:dyDescent="0.2">
      <c r="W78" s="19"/>
      <c r="X78" s="19"/>
      <c r="Y78" s="18"/>
    </row>
    <row r="79" spans="23:25" ht="43.5" customHeight="1" x14ac:dyDescent="0.2">
      <c r="W79" s="19"/>
      <c r="X79" s="19"/>
      <c r="Y79" s="18"/>
    </row>
    <row r="80" spans="23:25" ht="43.5" customHeight="1" x14ac:dyDescent="0.2">
      <c r="W80" s="19"/>
      <c r="X80" s="19"/>
      <c r="Y80" s="18"/>
    </row>
    <row r="81" spans="23:25" ht="43.5" customHeight="1" x14ac:dyDescent="0.2">
      <c r="W81" s="19"/>
      <c r="X81" s="19"/>
      <c r="Y81" s="18"/>
    </row>
    <row r="82" spans="23:25" ht="43.5" customHeight="1" x14ac:dyDescent="0.2">
      <c r="W82" s="19"/>
      <c r="X82" s="19"/>
      <c r="Y82" s="18"/>
    </row>
    <row r="83" spans="23:25" ht="43.5" customHeight="1" x14ac:dyDescent="0.2">
      <c r="W83" s="19"/>
      <c r="X83" s="19"/>
      <c r="Y83" s="18"/>
    </row>
    <row r="84" spans="23:25" ht="43.5" customHeight="1" x14ac:dyDescent="0.2">
      <c r="W84" s="19"/>
      <c r="X84" s="19"/>
      <c r="Y84" s="18"/>
    </row>
    <row r="85" spans="23:25" ht="43.5" customHeight="1" x14ac:dyDescent="0.2">
      <c r="W85" s="19"/>
      <c r="X85" s="19"/>
      <c r="Y85" s="18"/>
    </row>
    <row r="86" spans="23:25" ht="43.5" customHeight="1" x14ac:dyDescent="0.2">
      <c r="W86" s="19"/>
      <c r="X86" s="19"/>
      <c r="Y86" s="18"/>
    </row>
    <row r="87" spans="23:25" ht="43.5" customHeight="1" x14ac:dyDescent="0.2">
      <c r="W87" s="19"/>
      <c r="X87" s="19"/>
      <c r="Y87" s="18"/>
    </row>
    <row r="88" spans="23:25" ht="43.5" customHeight="1" x14ac:dyDescent="0.2">
      <c r="W88" s="19"/>
      <c r="X88" s="19"/>
      <c r="Y88" s="18"/>
    </row>
    <row r="89" spans="23:25" ht="43.5" customHeight="1" x14ac:dyDescent="0.2">
      <c r="W89" s="19"/>
      <c r="X89" s="19"/>
      <c r="Y89" s="18"/>
    </row>
    <row r="90" spans="23:25" ht="43.5" customHeight="1" x14ac:dyDescent="0.2">
      <c r="W90" s="19"/>
      <c r="X90" s="19"/>
      <c r="Y90" s="18"/>
    </row>
    <row r="91" spans="23:25" ht="43.5" customHeight="1" x14ac:dyDescent="0.2">
      <c r="W91" s="19"/>
      <c r="X91" s="19"/>
      <c r="Y91" s="18"/>
    </row>
    <row r="92" spans="23:25" ht="43.5" customHeight="1" x14ac:dyDescent="0.2">
      <c r="W92" s="19"/>
      <c r="X92" s="19"/>
      <c r="Y92" s="18"/>
    </row>
    <row r="93" spans="23:25" ht="43.5" customHeight="1" x14ac:dyDescent="0.2">
      <c r="W93" s="19"/>
      <c r="X93" s="19"/>
      <c r="Y93" s="18"/>
    </row>
    <row r="94" spans="23:25" ht="43.5" customHeight="1" x14ac:dyDescent="0.2">
      <c r="W94" s="19"/>
      <c r="X94" s="19"/>
      <c r="Y94" s="18"/>
    </row>
    <row r="95" spans="23:25" ht="43.5" customHeight="1" x14ac:dyDescent="0.2">
      <c r="W95" s="19"/>
      <c r="X95" s="19"/>
      <c r="Y95" s="18"/>
    </row>
    <row r="96" spans="23:25" ht="43.5" customHeight="1" x14ac:dyDescent="0.2">
      <c r="W96" s="19"/>
      <c r="X96" s="19"/>
      <c r="Y96" s="18"/>
    </row>
    <row r="97" spans="23:25" ht="43.5" customHeight="1" x14ac:dyDescent="0.2">
      <c r="W97" s="19"/>
      <c r="X97" s="19"/>
      <c r="Y97" s="18"/>
    </row>
    <row r="98" spans="23:25" ht="43.5" customHeight="1" x14ac:dyDescent="0.2">
      <c r="W98" s="19"/>
      <c r="X98" s="19"/>
      <c r="Y98" s="18"/>
    </row>
    <row r="99" spans="23:25" ht="43.5" customHeight="1" x14ac:dyDescent="0.2">
      <c r="W99" s="19"/>
      <c r="X99" s="19"/>
      <c r="Y99" s="18"/>
    </row>
    <row r="100" spans="23:25" ht="43.5" customHeight="1" x14ac:dyDescent="0.2">
      <c r="W100" s="19"/>
      <c r="X100" s="19"/>
      <c r="Y100" s="18"/>
    </row>
    <row r="101" spans="23:25" ht="43.5" customHeight="1" x14ac:dyDescent="0.2">
      <c r="W101" s="19"/>
      <c r="X101" s="19"/>
      <c r="Y101" s="18"/>
    </row>
    <row r="102" spans="23:25" ht="43.5" customHeight="1" x14ac:dyDescent="0.2">
      <c r="W102" s="19"/>
      <c r="X102" s="19"/>
      <c r="Y102" s="18"/>
    </row>
    <row r="103" spans="23:25" ht="43.5" customHeight="1" x14ac:dyDescent="0.2">
      <c r="W103" s="19"/>
      <c r="X103" s="19"/>
      <c r="Y103" s="18"/>
    </row>
    <row r="104" spans="23:25" ht="43.5" customHeight="1" x14ac:dyDescent="0.2">
      <c r="W104" s="19"/>
      <c r="X104" s="19"/>
      <c r="Y104" s="18"/>
    </row>
    <row r="105" spans="23:25" ht="43.5" customHeight="1" x14ac:dyDescent="0.2">
      <c r="W105" s="19"/>
      <c r="X105" s="19"/>
      <c r="Y105" s="18"/>
    </row>
    <row r="106" spans="23:25" ht="43.5" customHeight="1" x14ac:dyDescent="0.2">
      <c r="W106" s="19"/>
      <c r="X106" s="19"/>
      <c r="Y106" s="18"/>
    </row>
    <row r="107" spans="23:25" ht="43.5" customHeight="1" x14ac:dyDescent="0.2">
      <c r="W107" s="19"/>
      <c r="X107" s="19"/>
      <c r="Y107" s="18"/>
    </row>
    <row r="108" spans="23:25" ht="43.5" customHeight="1" x14ac:dyDescent="0.2">
      <c r="W108" s="19"/>
      <c r="X108" s="19"/>
      <c r="Y108" s="18"/>
    </row>
    <row r="109" spans="23:25" ht="43.5" customHeight="1" x14ac:dyDescent="0.2">
      <c r="W109" s="19"/>
      <c r="X109" s="19"/>
      <c r="Y109" s="18"/>
    </row>
    <row r="110" spans="23:25" ht="43.5" customHeight="1" x14ac:dyDescent="0.2">
      <c r="W110" s="19"/>
      <c r="X110" s="19"/>
      <c r="Y110" s="18"/>
    </row>
    <row r="111" spans="23:25" ht="43.5" customHeight="1" x14ac:dyDescent="0.2">
      <c r="W111" s="19"/>
      <c r="X111" s="19"/>
      <c r="Y111" s="18"/>
    </row>
    <row r="112" spans="23:25" ht="43.5" customHeight="1" x14ac:dyDescent="0.2">
      <c r="W112" s="19"/>
      <c r="X112" s="19"/>
      <c r="Y112" s="18"/>
    </row>
    <row r="113" spans="23:25" ht="43.5" customHeight="1" x14ac:dyDescent="0.2">
      <c r="W113" s="19"/>
      <c r="X113" s="19"/>
      <c r="Y113" s="18"/>
    </row>
    <row r="114" spans="23:25" ht="43.5" customHeight="1" x14ac:dyDescent="0.2">
      <c r="W114" s="19"/>
      <c r="X114" s="19"/>
      <c r="Y114" s="18"/>
    </row>
    <row r="115" spans="23:25" ht="43.5" customHeight="1" x14ac:dyDescent="0.2">
      <c r="W115" s="19"/>
      <c r="X115" s="19"/>
      <c r="Y115" s="18"/>
    </row>
    <row r="116" spans="23:25" ht="43.5" customHeight="1" x14ac:dyDescent="0.2">
      <c r="W116" s="19"/>
      <c r="X116" s="19"/>
      <c r="Y116" s="18"/>
    </row>
    <row r="117" spans="23:25" ht="43.5" customHeight="1" x14ac:dyDescent="0.2">
      <c r="W117" s="19"/>
      <c r="X117" s="19"/>
      <c r="Y117" s="18"/>
    </row>
    <row r="118" spans="23:25" ht="43.5" customHeight="1" x14ac:dyDescent="0.2">
      <c r="W118" s="19"/>
      <c r="X118" s="19"/>
      <c r="Y118" s="18"/>
    </row>
    <row r="119" spans="23:25" ht="43.5" customHeight="1" x14ac:dyDescent="0.2">
      <c r="W119" s="19"/>
      <c r="X119" s="19"/>
      <c r="Y119" s="18"/>
    </row>
    <row r="120" spans="23:25" ht="43.5" customHeight="1" x14ac:dyDescent="0.2">
      <c r="W120" s="19"/>
      <c r="X120" s="19"/>
      <c r="Y120" s="18"/>
    </row>
    <row r="121" spans="23:25" ht="43.5" customHeight="1" x14ac:dyDescent="0.2">
      <c r="W121" s="19"/>
      <c r="X121" s="19"/>
      <c r="Y121" s="18"/>
    </row>
    <row r="122" spans="23:25" ht="43.5" customHeight="1" x14ac:dyDescent="0.2">
      <c r="W122" s="19"/>
      <c r="X122" s="19"/>
      <c r="Y122" s="18"/>
    </row>
    <row r="123" spans="23:25" ht="43.5" customHeight="1" x14ac:dyDescent="0.2">
      <c r="W123" s="19"/>
      <c r="X123" s="19"/>
      <c r="Y123" s="18"/>
    </row>
    <row r="124" spans="23:25" ht="43.5" customHeight="1" x14ac:dyDescent="0.2">
      <c r="W124" s="19"/>
      <c r="X124" s="19"/>
      <c r="Y124" s="18"/>
    </row>
    <row r="125" spans="23:25" ht="43.5" customHeight="1" x14ac:dyDescent="0.2">
      <c r="W125" s="19"/>
      <c r="X125" s="19"/>
      <c r="Y125" s="18"/>
    </row>
    <row r="126" spans="23:25" ht="43.5" customHeight="1" x14ac:dyDescent="0.2">
      <c r="W126" s="19"/>
      <c r="X126" s="19"/>
      <c r="Y126" s="18"/>
    </row>
    <row r="127" spans="23:25" ht="43.5" customHeight="1" x14ac:dyDescent="0.2">
      <c r="W127" s="19"/>
      <c r="X127" s="19"/>
      <c r="Y127" s="18"/>
    </row>
    <row r="128" spans="23:25" ht="43.5" customHeight="1" x14ac:dyDescent="0.2">
      <c r="W128" s="19"/>
      <c r="X128" s="19"/>
      <c r="Y128" s="18"/>
    </row>
    <row r="129" spans="23:25" ht="43.5" customHeight="1" x14ac:dyDescent="0.2">
      <c r="W129" s="19"/>
      <c r="X129" s="19"/>
      <c r="Y129" s="18"/>
    </row>
    <row r="130" spans="23:25" ht="43.5" customHeight="1" x14ac:dyDescent="0.2">
      <c r="W130" s="19"/>
      <c r="X130" s="19"/>
      <c r="Y130" s="18"/>
    </row>
    <row r="131" spans="23:25" ht="43.5" customHeight="1" x14ac:dyDescent="0.2">
      <c r="W131" s="19"/>
      <c r="X131" s="19"/>
      <c r="Y131" s="18"/>
    </row>
    <row r="132" spans="23:25" ht="43.5" customHeight="1" x14ac:dyDescent="0.2">
      <c r="W132" s="19"/>
      <c r="X132" s="19"/>
      <c r="Y132" s="18"/>
    </row>
    <row r="133" spans="23:25" ht="43.5" customHeight="1" x14ac:dyDescent="0.2">
      <c r="W133" s="19"/>
      <c r="X133" s="19"/>
      <c r="Y133" s="18"/>
    </row>
    <row r="134" spans="23:25" ht="43.5" customHeight="1" x14ac:dyDescent="0.2">
      <c r="W134" s="19"/>
      <c r="X134" s="19"/>
      <c r="Y134" s="18"/>
    </row>
    <row r="135" spans="23:25" ht="43.5" customHeight="1" x14ac:dyDescent="0.2">
      <c r="W135" s="19"/>
      <c r="X135" s="19"/>
      <c r="Y135" s="18"/>
    </row>
    <row r="136" spans="23:25" ht="43.5" customHeight="1" x14ac:dyDescent="0.2">
      <c r="W136" s="19"/>
      <c r="X136" s="19"/>
      <c r="Y136" s="18"/>
    </row>
    <row r="137" spans="23:25" ht="43.5" customHeight="1" x14ac:dyDescent="0.2">
      <c r="W137" s="19"/>
      <c r="X137" s="19"/>
      <c r="Y137" s="18"/>
    </row>
    <row r="138" spans="23:25" ht="43.5" customHeight="1" x14ac:dyDescent="0.2">
      <c r="W138" s="19"/>
      <c r="X138" s="19"/>
      <c r="Y138" s="18"/>
    </row>
    <row r="139" spans="23:25" ht="43.5" customHeight="1" x14ac:dyDescent="0.2">
      <c r="W139" s="19"/>
      <c r="X139" s="19"/>
      <c r="Y139" s="18"/>
    </row>
    <row r="140" spans="23:25" ht="43.5" customHeight="1" x14ac:dyDescent="0.2">
      <c r="W140" s="19"/>
      <c r="X140" s="19"/>
      <c r="Y140" s="18"/>
    </row>
    <row r="141" spans="23:25" ht="43.5" customHeight="1" x14ac:dyDescent="0.2">
      <c r="W141" s="19"/>
      <c r="X141" s="19"/>
      <c r="Y141" s="18"/>
    </row>
    <row r="142" spans="23:25" ht="43.5" customHeight="1" x14ac:dyDescent="0.2">
      <c r="W142" s="19"/>
      <c r="X142" s="19"/>
      <c r="Y142" s="18"/>
    </row>
    <row r="143" spans="23:25" ht="43.5" customHeight="1" x14ac:dyDescent="0.2">
      <c r="W143" s="19"/>
      <c r="X143" s="19"/>
      <c r="Y143" s="18"/>
    </row>
    <row r="144" spans="23:25" ht="43.5" customHeight="1" x14ac:dyDescent="0.2">
      <c r="W144" s="19"/>
      <c r="X144" s="19"/>
      <c r="Y144" s="18"/>
    </row>
    <row r="145" spans="23:25" ht="43.5" customHeight="1" x14ac:dyDescent="0.2">
      <c r="W145" s="19"/>
      <c r="X145" s="19"/>
      <c r="Y145" s="18"/>
    </row>
    <row r="146" spans="23:25" ht="43.5" customHeight="1" x14ac:dyDescent="0.2">
      <c r="W146" s="19"/>
      <c r="X146" s="19"/>
      <c r="Y146" s="18"/>
    </row>
    <row r="147" spans="23:25" ht="43.5" customHeight="1" x14ac:dyDescent="0.2">
      <c r="W147" s="19"/>
      <c r="X147" s="19"/>
      <c r="Y147" s="18"/>
    </row>
    <row r="148" spans="23:25" ht="43.5" customHeight="1" x14ac:dyDescent="0.2">
      <c r="W148" s="19"/>
      <c r="X148" s="19"/>
      <c r="Y148" s="18"/>
    </row>
    <row r="149" spans="23:25" ht="43.5" customHeight="1" x14ac:dyDescent="0.2">
      <c r="W149" s="19"/>
      <c r="X149" s="19"/>
      <c r="Y149" s="18"/>
    </row>
    <row r="150" spans="23:25" ht="43.5" customHeight="1" x14ac:dyDescent="0.2">
      <c r="W150" s="19"/>
      <c r="X150" s="19"/>
      <c r="Y150" s="18"/>
    </row>
    <row r="151" spans="23:25" ht="43.5" customHeight="1" x14ac:dyDescent="0.2">
      <c r="W151" s="19"/>
      <c r="X151" s="19"/>
      <c r="Y151" s="18"/>
    </row>
    <row r="152" spans="23:25" ht="43.5" customHeight="1" x14ac:dyDescent="0.2">
      <c r="W152" s="19"/>
      <c r="X152" s="19"/>
      <c r="Y152" s="18"/>
    </row>
    <row r="153" spans="23:25" ht="43.5" customHeight="1" x14ac:dyDescent="0.2">
      <c r="W153" s="19"/>
      <c r="X153" s="19"/>
      <c r="Y153" s="18"/>
    </row>
    <row r="154" spans="23:25" ht="43.5" customHeight="1" x14ac:dyDescent="0.2">
      <c r="W154" s="19"/>
      <c r="X154" s="19"/>
      <c r="Y154" s="18"/>
    </row>
    <row r="155" spans="23:25" ht="43.5" customHeight="1" x14ac:dyDescent="0.2">
      <c r="W155" s="19"/>
      <c r="X155" s="19"/>
      <c r="Y155" s="18"/>
    </row>
    <row r="156" spans="23:25" ht="43.5" customHeight="1" x14ac:dyDescent="0.2">
      <c r="W156" s="19"/>
      <c r="X156" s="19"/>
      <c r="Y156" s="18"/>
    </row>
    <row r="157" spans="23:25" ht="43.5" customHeight="1" x14ac:dyDescent="0.2">
      <c r="W157" s="19"/>
      <c r="X157" s="19"/>
      <c r="Y157" s="18"/>
    </row>
    <row r="158" spans="23:25" ht="43.5" customHeight="1" x14ac:dyDescent="0.2">
      <c r="W158" s="19"/>
      <c r="X158" s="19"/>
      <c r="Y158" s="18"/>
    </row>
    <row r="159" spans="23:25" ht="43.5" customHeight="1" x14ac:dyDescent="0.2">
      <c r="W159" s="19"/>
      <c r="X159" s="19"/>
      <c r="Y159" s="18"/>
    </row>
    <row r="160" spans="23:25" ht="43.5" customHeight="1" x14ac:dyDescent="0.2">
      <c r="W160" s="19"/>
      <c r="X160" s="19"/>
      <c r="Y160" s="18"/>
    </row>
    <row r="161" spans="23:25" ht="43.5" customHeight="1" x14ac:dyDescent="0.2">
      <c r="W161" s="19"/>
      <c r="X161" s="19"/>
      <c r="Y161" s="18"/>
    </row>
    <row r="162" spans="23:25" ht="43.5" customHeight="1" x14ac:dyDescent="0.2">
      <c r="W162" s="19"/>
      <c r="X162" s="19"/>
      <c r="Y162" s="18"/>
    </row>
    <row r="163" spans="23:25" ht="43.5" customHeight="1" x14ac:dyDescent="0.2">
      <c r="W163" s="19"/>
      <c r="X163" s="19"/>
      <c r="Y163" s="18"/>
    </row>
    <row r="164" spans="23:25" ht="43.5" customHeight="1" x14ac:dyDescent="0.2">
      <c r="W164" s="19"/>
      <c r="X164" s="19"/>
      <c r="Y164" s="18"/>
    </row>
    <row r="165" spans="23:25" ht="43.5" customHeight="1" x14ac:dyDescent="0.2">
      <c r="W165" s="19"/>
      <c r="X165" s="19"/>
      <c r="Y165" s="18"/>
    </row>
    <row r="166" spans="23:25" ht="43.5" customHeight="1" x14ac:dyDescent="0.2">
      <c r="W166" s="19"/>
      <c r="X166" s="19"/>
      <c r="Y166" s="18"/>
    </row>
    <row r="167" spans="23:25" ht="43.5" customHeight="1" x14ac:dyDescent="0.2">
      <c r="W167" s="19"/>
      <c r="X167" s="19"/>
      <c r="Y167" s="18"/>
    </row>
    <row r="168" spans="23:25" ht="43.5" customHeight="1" x14ac:dyDescent="0.2">
      <c r="W168" s="19"/>
      <c r="X168" s="19"/>
      <c r="Y168" s="18"/>
    </row>
    <row r="169" spans="23:25" ht="43.5" customHeight="1" x14ac:dyDescent="0.2">
      <c r="W169" s="19"/>
      <c r="X169" s="19"/>
      <c r="Y169" s="18"/>
    </row>
    <row r="170" spans="23:25" ht="43.5" customHeight="1" x14ac:dyDescent="0.2">
      <c r="W170" s="19"/>
      <c r="X170" s="19"/>
      <c r="Y170" s="18"/>
    </row>
    <row r="171" spans="23:25" ht="43.5" customHeight="1" x14ac:dyDescent="0.2">
      <c r="W171" s="19"/>
      <c r="X171" s="19"/>
      <c r="Y171" s="18"/>
    </row>
    <row r="172" spans="23:25" ht="43.5" customHeight="1" x14ac:dyDescent="0.2">
      <c r="W172" s="19"/>
      <c r="X172" s="19"/>
      <c r="Y172" s="18"/>
    </row>
    <row r="173" spans="23:25" ht="43.5" customHeight="1" x14ac:dyDescent="0.2">
      <c r="W173" s="19"/>
      <c r="X173" s="19"/>
      <c r="Y173" s="18"/>
    </row>
    <row r="174" spans="23:25" ht="43.5" customHeight="1" x14ac:dyDescent="0.2">
      <c r="W174" s="19"/>
      <c r="X174" s="19"/>
      <c r="Y174" s="18"/>
    </row>
    <row r="175" spans="23:25" ht="43.5" customHeight="1" x14ac:dyDescent="0.2">
      <c r="W175" s="19"/>
      <c r="X175" s="19"/>
      <c r="Y175" s="18"/>
    </row>
    <row r="176" spans="23:25" ht="43.5" customHeight="1" x14ac:dyDescent="0.2">
      <c r="W176" s="19"/>
      <c r="X176" s="19"/>
      <c r="Y176" s="18"/>
    </row>
    <row r="177" spans="23:25" ht="43.5" customHeight="1" x14ac:dyDescent="0.2">
      <c r="W177" s="19"/>
      <c r="X177" s="19"/>
      <c r="Y177" s="18"/>
    </row>
    <row r="178" spans="23:25" ht="43.5" customHeight="1" x14ac:dyDescent="0.2">
      <c r="W178" s="19"/>
      <c r="X178" s="19"/>
      <c r="Y178" s="18"/>
    </row>
    <row r="179" spans="23:25" ht="43.5" customHeight="1" x14ac:dyDescent="0.2">
      <c r="W179" s="19"/>
      <c r="X179" s="19"/>
      <c r="Y179" s="18"/>
    </row>
    <row r="180" spans="23:25" ht="43.5" customHeight="1" x14ac:dyDescent="0.2">
      <c r="W180" s="19"/>
      <c r="X180" s="19"/>
      <c r="Y180" s="18"/>
    </row>
    <row r="181" spans="23:25" ht="43.5" customHeight="1" x14ac:dyDescent="0.2">
      <c r="W181" s="19"/>
      <c r="X181" s="19"/>
      <c r="Y181" s="18"/>
    </row>
    <row r="182" spans="23:25" ht="43.5" customHeight="1" x14ac:dyDescent="0.2">
      <c r="W182" s="19"/>
      <c r="X182" s="19"/>
      <c r="Y182" s="18"/>
    </row>
    <row r="183" spans="23:25" ht="43.5" customHeight="1" x14ac:dyDescent="0.2">
      <c r="W183" s="19"/>
      <c r="X183" s="19"/>
      <c r="Y183" s="18"/>
    </row>
    <row r="184" spans="23:25" ht="43.5" customHeight="1" x14ac:dyDescent="0.2">
      <c r="W184" s="19"/>
      <c r="X184" s="19"/>
      <c r="Y184" s="18"/>
    </row>
    <row r="185" spans="23:25" ht="43.5" customHeight="1" x14ac:dyDescent="0.2">
      <c r="W185" s="19"/>
      <c r="X185" s="19"/>
      <c r="Y185" s="18"/>
    </row>
    <row r="186" spans="23:25" ht="43.5" customHeight="1" x14ac:dyDescent="0.2">
      <c r="W186" s="19"/>
      <c r="X186" s="19"/>
      <c r="Y186" s="18"/>
    </row>
    <row r="187" spans="23:25" ht="43.5" customHeight="1" x14ac:dyDescent="0.2">
      <c r="W187" s="19"/>
      <c r="X187" s="19"/>
      <c r="Y187" s="18"/>
    </row>
    <row r="188" spans="23:25" ht="43.5" customHeight="1" x14ac:dyDescent="0.2">
      <c r="W188" s="19"/>
      <c r="X188" s="19"/>
      <c r="Y188" s="18"/>
    </row>
    <row r="189" spans="23:25" ht="43.5" customHeight="1" x14ac:dyDescent="0.2">
      <c r="W189" s="19"/>
      <c r="X189" s="19"/>
      <c r="Y189" s="18"/>
    </row>
    <row r="190" spans="23:25" ht="43.5" customHeight="1" x14ac:dyDescent="0.2">
      <c r="W190" s="19"/>
      <c r="X190" s="19"/>
      <c r="Y190" s="18"/>
    </row>
    <row r="191" spans="23:25" ht="43.5" customHeight="1" x14ac:dyDescent="0.2">
      <c r="W191" s="19"/>
      <c r="X191" s="19"/>
      <c r="Y191" s="18"/>
    </row>
    <row r="192" spans="23:25" ht="43.5" customHeight="1" x14ac:dyDescent="0.2">
      <c r="W192" s="19"/>
      <c r="X192" s="19"/>
      <c r="Y192" s="18"/>
    </row>
    <row r="193" spans="23:25" ht="43.5" customHeight="1" x14ac:dyDescent="0.2">
      <c r="W193" s="19"/>
      <c r="X193" s="19"/>
      <c r="Y193" s="18"/>
    </row>
    <row r="194" spans="23:25" ht="43.5" customHeight="1" x14ac:dyDescent="0.2">
      <c r="W194" s="19"/>
      <c r="X194" s="19"/>
      <c r="Y194" s="18"/>
    </row>
    <row r="195" spans="23:25" ht="43.5" customHeight="1" x14ac:dyDescent="0.2">
      <c r="W195" s="19"/>
      <c r="X195" s="19"/>
      <c r="Y195" s="18"/>
    </row>
    <row r="196" spans="23:25" ht="43.5" customHeight="1" x14ac:dyDescent="0.2">
      <c r="W196" s="19"/>
      <c r="X196" s="19"/>
      <c r="Y196" s="18"/>
    </row>
    <row r="197" spans="23:25" ht="43.5" customHeight="1" x14ac:dyDescent="0.2">
      <c r="W197" s="19"/>
      <c r="X197" s="19"/>
      <c r="Y197" s="18"/>
    </row>
    <row r="198" spans="23:25" ht="43.5" customHeight="1" x14ac:dyDescent="0.2">
      <c r="W198" s="19"/>
      <c r="X198" s="19"/>
      <c r="Y198" s="18"/>
    </row>
    <row r="199" spans="23:25" ht="43.5" customHeight="1" x14ac:dyDescent="0.2">
      <c r="W199" s="19"/>
      <c r="X199" s="19"/>
      <c r="Y199" s="18"/>
    </row>
    <row r="200" spans="23:25" ht="43.5" customHeight="1" x14ac:dyDescent="0.2">
      <c r="W200" s="19"/>
      <c r="X200" s="19"/>
      <c r="Y200" s="18"/>
    </row>
    <row r="201" spans="23:25" ht="43.5" customHeight="1" x14ac:dyDescent="0.2">
      <c r="W201" s="19"/>
      <c r="X201" s="19"/>
      <c r="Y201" s="18"/>
    </row>
    <row r="202" spans="23:25" ht="43.5" customHeight="1" x14ac:dyDescent="0.2">
      <c r="W202" s="19"/>
      <c r="X202" s="19"/>
      <c r="Y202" s="18"/>
    </row>
    <row r="203" spans="23:25" ht="43.5" customHeight="1" x14ac:dyDescent="0.2">
      <c r="W203" s="19"/>
      <c r="X203" s="19"/>
      <c r="Y203" s="18"/>
    </row>
    <row r="204" spans="23:25" ht="43.5" customHeight="1" x14ac:dyDescent="0.2">
      <c r="W204" s="19"/>
      <c r="X204" s="19"/>
      <c r="Y204" s="18"/>
    </row>
    <row r="205" spans="23:25" ht="43.5" customHeight="1" x14ac:dyDescent="0.2">
      <c r="W205" s="19"/>
      <c r="X205" s="19"/>
      <c r="Y205" s="18"/>
    </row>
    <row r="206" spans="23:25" ht="43.5" customHeight="1" x14ac:dyDescent="0.2">
      <c r="W206" s="19"/>
      <c r="X206" s="19"/>
      <c r="Y206" s="18"/>
    </row>
    <row r="207" spans="23:25" ht="43.5" customHeight="1" x14ac:dyDescent="0.2">
      <c r="W207" s="19"/>
      <c r="X207" s="19"/>
      <c r="Y207" s="18"/>
    </row>
    <row r="208" spans="23:25" ht="43.5" customHeight="1" x14ac:dyDescent="0.2">
      <c r="W208" s="19"/>
      <c r="X208" s="19"/>
      <c r="Y208" s="18"/>
    </row>
    <row r="209" spans="23:25" ht="43.5" customHeight="1" x14ac:dyDescent="0.2">
      <c r="W209" s="19"/>
      <c r="X209" s="19"/>
      <c r="Y209" s="18"/>
    </row>
    <row r="210" spans="23:25" ht="43.5" customHeight="1" x14ac:dyDescent="0.2">
      <c r="W210" s="19"/>
      <c r="X210" s="19"/>
      <c r="Y210" s="18"/>
    </row>
    <row r="211" spans="23:25" ht="43.5" customHeight="1" x14ac:dyDescent="0.2">
      <c r="W211" s="19"/>
      <c r="X211" s="19"/>
      <c r="Y211" s="18"/>
    </row>
    <row r="212" spans="23:25" ht="43.5" customHeight="1" x14ac:dyDescent="0.2">
      <c r="W212" s="19"/>
      <c r="X212" s="19"/>
      <c r="Y212" s="18"/>
    </row>
    <row r="213" spans="23:25" ht="43.5" customHeight="1" x14ac:dyDescent="0.2">
      <c r="W213" s="19"/>
      <c r="X213" s="19"/>
      <c r="Y213" s="18"/>
    </row>
    <row r="214" spans="23:25" ht="43.5" customHeight="1" x14ac:dyDescent="0.2">
      <c r="W214" s="19"/>
      <c r="X214" s="19"/>
      <c r="Y214" s="18"/>
    </row>
    <row r="215" spans="23:25" ht="43.5" customHeight="1" x14ac:dyDescent="0.2">
      <c r="W215" s="19"/>
      <c r="X215" s="19"/>
      <c r="Y215" s="18"/>
    </row>
    <row r="216" spans="23:25" ht="43.5" customHeight="1" x14ac:dyDescent="0.2">
      <c r="W216" s="19"/>
      <c r="X216" s="19"/>
      <c r="Y216" s="18"/>
    </row>
    <row r="217" spans="23:25" ht="43.5" customHeight="1" x14ac:dyDescent="0.2">
      <c r="W217" s="19"/>
      <c r="X217" s="19"/>
      <c r="Y217" s="18"/>
    </row>
    <row r="218" spans="23:25" ht="43.5" customHeight="1" x14ac:dyDescent="0.2">
      <c r="W218" s="19"/>
      <c r="X218" s="19"/>
      <c r="Y218" s="18"/>
    </row>
    <row r="219" spans="23:25" ht="43.5" customHeight="1" x14ac:dyDescent="0.2">
      <c r="W219" s="19"/>
      <c r="X219" s="19"/>
      <c r="Y219" s="18"/>
    </row>
    <row r="220" spans="23:25" ht="43.5" customHeight="1" x14ac:dyDescent="0.2">
      <c r="W220" s="19"/>
      <c r="X220" s="19"/>
      <c r="Y220" s="18"/>
    </row>
    <row r="221" spans="23:25" ht="43.5" customHeight="1" x14ac:dyDescent="0.2">
      <c r="W221" s="19"/>
      <c r="X221" s="19"/>
      <c r="Y221" s="18"/>
    </row>
    <row r="222" spans="23:25" ht="43.5" customHeight="1" x14ac:dyDescent="0.2">
      <c r="W222" s="19"/>
      <c r="X222" s="19"/>
      <c r="Y222" s="18"/>
    </row>
    <row r="223" spans="23:25" ht="43.5" customHeight="1" x14ac:dyDescent="0.2">
      <c r="W223" s="19"/>
      <c r="X223" s="19"/>
      <c r="Y223" s="18"/>
    </row>
    <row r="224" spans="23:25" ht="43.5" customHeight="1" x14ac:dyDescent="0.2">
      <c r="W224" s="19"/>
      <c r="X224" s="19"/>
      <c r="Y224" s="18"/>
    </row>
    <row r="225" spans="23:25" ht="43.5" customHeight="1" x14ac:dyDescent="0.2">
      <c r="W225" s="19"/>
      <c r="X225" s="19"/>
      <c r="Y225" s="18"/>
    </row>
    <row r="226" spans="23:25" ht="43.5" customHeight="1" x14ac:dyDescent="0.2">
      <c r="W226" s="19"/>
      <c r="X226" s="19"/>
      <c r="Y226" s="18"/>
    </row>
    <row r="227" spans="23:25" ht="43.5" customHeight="1" x14ac:dyDescent="0.2">
      <c r="W227" s="19"/>
      <c r="X227" s="19"/>
      <c r="Y227" s="18"/>
    </row>
    <row r="228" spans="23:25" ht="43.5" customHeight="1" x14ac:dyDescent="0.2">
      <c r="W228" s="19"/>
      <c r="X228" s="19"/>
      <c r="Y228" s="18"/>
    </row>
    <row r="229" spans="23:25" ht="43.5" customHeight="1" x14ac:dyDescent="0.2">
      <c r="W229" s="19"/>
      <c r="X229" s="19"/>
      <c r="Y229" s="18"/>
    </row>
    <row r="230" spans="23:25" ht="43.5" customHeight="1" x14ac:dyDescent="0.2">
      <c r="W230" s="19"/>
      <c r="X230" s="19"/>
      <c r="Y230" s="18"/>
    </row>
    <row r="231" spans="23:25" ht="43.5" customHeight="1" x14ac:dyDescent="0.2">
      <c r="W231" s="19"/>
      <c r="X231" s="19"/>
      <c r="Y231" s="18"/>
    </row>
    <row r="232" spans="23:25" ht="43.5" customHeight="1" x14ac:dyDescent="0.2">
      <c r="W232" s="19"/>
      <c r="X232" s="19"/>
      <c r="Y232" s="18"/>
    </row>
    <row r="233" spans="23:25" ht="43.5" customHeight="1" x14ac:dyDescent="0.2">
      <c r="W233" s="19"/>
      <c r="X233" s="19"/>
      <c r="Y233" s="18"/>
    </row>
    <row r="234" spans="23:25" ht="43.5" customHeight="1" x14ac:dyDescent="0.2">
      <c r="W234" s="19"/>
      <c r="X234" s="19"/>
      <c r="Y234" s="18"/>
    </row>
    <row r="235" spans="23:25" ht="43.5" customHeight="1" x14ac:dyDescent="0.2">
      <c r="W235" s="19"/>
      <c r="X235" s="19"/>
      <c r="Y235" s="18"/>
    </row>
    <row r="236" spans="23:25" ht="43.5" customHeight="1" x14ac:dyDescent="0.2">
      <c r="W236" s="19"/>
      <c r="X236" s="19"/>
      <c r="Y236" s="18"/>
    </row>
    <row r="237" spans="23:25" ht="43.5" customHeight="1" x14ac:dyDescent="0.2">
      <c r="W237" s="19"/>
      <c r="X237" s="19"/>
      <c r="Y237" s="18"/>
    </row>
    <row r="238" spans="23:25" ht="43.5" customHeight="1" x14ac:dyDescent="0.2">
      <c r="W238" s="19"/>
      <c r="X238" s="19"/>
      <c r="Y238" s="18"/>
    </row>
    <row r="239" spans="23:25" ht="43.5" customHeight="1" x14ac:dyDescent="0.2">
      <c r="W239" s="19"/>
      <c r="X239" s="19"/>
      <c r="Y239" s="18"/>
    </row>
    <row r="240" spans="23:25" ht="43.5" customHeight="1" x14ac:dyDescent="0.2">
      <c r="W240" s="19"/>
      <c r="X240" s="19"/>
      <c r="Y240" s="18"/>
    </row>
    <row r="241" spans="23:25" ht="43.5" customHeight="1" x14ac:dyDescent="0.2">
      <c r="W241" s="19"/>
      <c r="X241" s="19"/>
      <c r="Y241" s="18"/>
    </row>
    <row r="242" spans="23:25" ht="43.5" customHeight="1" x14ac:dyDescent="0.2">
      <c r="W242" s="19"/>
      <c r="X242" s="19"/>
      <c r="Y242" s="18"/>
    </row>
    <row r="243" spans="23:25" ht="43.5" customHeight="1" x14ac:dyDescent="0.2">
      <c r="W243" s="19"/>
      <c r="X243" s="19"/>
      <c r="Y243" s="18"/>
    </row>
    <row r="244" spans="23:25" ht="43.5" customHeight="1" x14ac:dyDescent="0.2">
      <c r="W244" s="19"/>
      <c r="X244" s="19"/>
      <c r="Y244" s="18"/>
    </row>
    <row r="245" spans="23:25" ht="43.5" customHeight="1" x14ac:dyDescent="0.2">
      <c r="W245" s="19"/>
      <c r="X245" s="19"/>
      <c r="Y245" s="18"/>
    </row>
    <row r="246" spans="23:25" ht="43.5" customHeight="1" x14ac:dyDescent="0.2">
      <c r="W246" s="19"/>
      <c r="X246" s="19"/>
      <c r="Y246" s="18"/>
    </row>
    <row r="247" spans="23:25" ht="43.5" customHeight="1" x14ac:dyDescent="0.2">
      <c r="W247" s="19"/>
      <c r="X247" s="19"/>
      <c r="Y247" s="18"/>
    </row>
    <row r="248" spans="23:25" ht="43.5" customHeight="1" x14ac:dyDescent="0.2">
      <c r="W248" s="19"/>
      <c r="X248" s="19"/>
      <c r="Y248" s="18"/>
    </row>
    <row r="249" spans="23:25" ht="43.5" customHeight="1" x14ac:dyDescent="0.2">
      <c r="W249" s="19"/>
      <c r="X249" s="19"/>
      <c r="Y249" s="18"/>
    </row>
    <row r="250" spans="23:25" ht="43.5" customHeight="1" x14ac:dyDescent="0.2">
      <c r="W250" s="19"/>
      <c r="X250" s="19"/>
      <c r="Y250" s="18"/>
    </row>
    <row r="251" spans="23:25" ht="43.5" customHeight="1" x14ac:dyDescent="0.2">
      <c r="W251" s="19"/>
      <c r="X251" s="19"/>
      <c r="Y251" s="18"/>
    </row>
    <row r="252" spans="23:25" ht="43.5" customHeight="1" x14ac:dyDescent="0.2">
      <c r="W252" s="19"/>
      <c r="X252" s="19"/>
      <c r="Y252" s="18"/>
    </row>
    <row r="253" spans="23:25" ht="43.5" customHeight="1" x14ac:dyDescent="0.2">
      <c r="W253" s="19"/>
      <c r="X253" s="19"/>
      <c r="Y253" s="18"/>
    </row>
    <row r="254" spans="23:25" ht="43.5" customHeight="1" x14ac:dyDescent="0.2">
      <c r="W254" s="19"/>
      <c r="X254" s="19"/>
      <c r="Y254" s="18"/>
    </row>
    <row r="255" spans="23:25" ht="43.5" customHeight="1" x14ac:dyDescent="0.2">
      <c r="W255" s="19"/>
      <c r="X255" s="19"/>
      <c r="Y255" s="18"/>
    </row>
    <row r="256" spans="23:25" ht="43.5" customHeight="1" x14ac:dyDescent="0.2">
      <c r="W256" s="19"/>
      <c r="X256" s="19"/>
      <c r="Y256" s="18"/>
    </row>
    <row r="257" spans="23:25" ht="43.5" customHeight="1" x14ac:dyDescent="0.2">
      <c r="W257" s="19"/>
      <c r="X257" s="19"/>
      <c r="Y257" s="18"/>
    </row>
    <row r="258" spans="23:25" ht="43.5" customHeight="1" x14ac:dyDescent="0.2">
      <c r="W258" s="19"/>
      <c r="X258" s="19"/>
      <c r="Y258" s="18"/>
    </row>
    <row r="259" spans="23:25" ht="43.5" customHeight="1" x14ac:dyDescent="0.2">
      <c r="W259" s="19"/>
      <c r="X259" s="19"/>
      <c r="Y259" s="18"/>
    </row>
    <row r="260" spans="23:25" ht="43.5" customHeight="1" x14ac:dyDescent="0.2">
      <c r="W260" s="19"/>
      <c r="X260" s="19"/>
      <c r="Y260" s="18"/>
    </row>
    <row r="261" spans="23:25" ht="43.5" customHeight="1" x14ac:dyDescent="0.2">
      <c r="W261" s="19"/>
      <c r="X261" s="19"/>
      <c r="Y261" s="18"/>
    </row>
    <row r="262" spans="23:25" ht="43.5" customHeight="1" x14ac:dyDescent="0.2">
      <c r="W262" s="19"/>
      <c r="X262" s="19"/>
      <c r="Y262" s="18"/>
    </row>
    <row r="263" spans="23:25" ht="43.5" customHeight="1" x14ac:dyDescent="0.2">
      <c r="W263" s="19"/>
      <c r="X263" s="19"/>
      <c r="Y263" s="18"/>
    </row>
    <row r="264" spans="23:25" ht="43.5" customHeight="1" x14ac:dyDescent="0.2">
      <c r="W264" s="19"/>
      <c r="X264" s="19"/>
      <c r="Y264" s="18"/>
    </row>
    <row r="265" spans="23:25" ht="43.5" customHeight="1" x14ac:dyDescent="0.2">
      <c r="W265" s="19"/>
      <c r="X265" s="19"/>
      <c r="Y265" s="18"/>
    </row>
    <row r="266" spans="23:25" ht="43.5" customHeight="1" x14ac:dyDescent="0.2">
      <c r="W266" s="19"/>
      <c r="X266" s="19"/>
      <c r="Y266" s="18"/>
    </row>
    <row r="267" spans="23:25" ht="43.5" customHeight="1" x14ac:dyDescent="0.2">
      <c r="W267" s="19"/>
      <c r="X267" s="19"/>
      <c r="Y267" s="18"/>
    </row>
    <row r="268" spans="23:25" ht="43.5" customHeight="1" x14ac:dyDescent="0.2">
      <c r="W268" s="19"/>
      <c r="X268" s="19"/>
      <c r="Y268" s="18"/>
    </row>
    <row r="269" spans="23:25" ht="43.5" customHeight="1" x14ac:dyDescent="0.2">
      <c r="W269" s="19"/>
      <c r="X269" s="19"/>
      <c r="Y269" s="18"/>
    </row>
    <row r="270" spans="23:25" ht="43.5" customHeight="1" x14ac:dyDescent="0.2">
      <c r="W270" s="19"/>
      <c r="X270" s="19"/>
      <c r="Y270" s="18"/>
    </row>
    <row r="271" spans="23:25" ht="43.5" customHeight="1" x14ac:dyDescent="0.2">
      <c r="W271" s="19"/>
      <c r="X271" s="19"/>
      <c r="Y271" s="18"/>
    </row>
    <row r="272" spans="23:25" ht="43.5" customHeight="1" x14ac:dyDescent="0.2">
      <c r="W272" s="19"/>
      <c r="X272" s="19"/>
      <c r="Y272" s="18"/>
    </row>
    <row r="273" spans="23:25" ht="43.5" customHeight="1" x14ac:dyDescent="0.2">
      <c r="W273" s="19"/>
      <c r="X273" s="19"/>
      <c r="Y273" s="18"/>
    </row>
    <row r="274" spans="23:25" ht="43.5" customHeight="1" x14ac:dyDescent="0.2">
      <c r="W274" s="19"/>
      <c r="X274" s="19"/>
      <c r="Y274" s="18"/>
    </row>
    <row r="275" spans="23:25" ht="43.5" customHeight="1" x14ac:dyDescent="0.2">
      <c r="W275" s="19"/>
      <c r="X275" s="19"/>
      <c r="Y275" s="18"/>
    </row>
    <row r="276" spans="23:25" ht="43.5" customHeight="1" x14ac:dyDescent="0.2">
      <c r="W276" s="19"/>
      <c r="X276" s="19"/>
      <c r="Y276" s="18"/>
    </row>
    <row r="277" spans="23:25" ht="43.5" customHeight="1" x14ac:dyDescent="0.2">
      <c r="W277" s="19"/>
      <c r="X277" s="19"/>
      <c r="Y277" s="18"/>
    </row>
    <row r="278" spans="23:25" ht="43.5" customHeight="1" x14ac:dyDescent="0.2">
      <c r="W278" s="19"/>
      <c r="X278" s="19"/>
      <c r="Y278" s="18"/>
    </row>
    <row r="279" spans="23:25" ht="43.5" customHeight="1" x14ac:dyDescent="0.2">
      <c r="W279" s="19"/>
      <c r="X279" s="19"/>
      <c r="Y279" s="18"/>
    </row>
    <row r="280" spans="23:25" ht="43.5" customHeight="1" x14ac:dyDescent="0.2">
      <c r="W280" s="19"/>
      <c r="X280" s="19"/>
      <c r="Y280" s="18"/>
    </row>
    <row r="281" spans="23:25" ht="43.5" customHeight="1" x14ac:dyDescent="0.2">
      <c r="W281" s="19"/>
      <c r="X281" s="19"/>
      <c r="Y281" s="18"/>
    </row>
    <row r="282" spans="23:25" ht="43.5" customHeight="1" x14ac:dyDescent="0.2">
      <c r="W282" s="19"/>
      <c r="X282" s="19"/>
      <c r="Y282" s="18"/>
    </row>
    <row r="283" spans="23:25" ht="43.5" customHeight="1" x14ac:dyDescent="0.2">
      <c r="W283" s="19"/>
      <c r="X283" s="19"/>
      <c r="Y283" s="18"/>
    </row>
    <row r="284" spans="23:25" ht="43.5" customHeight="1" x14ac:dyDescent="0.2">
      <c r="W284" s="19"/>
      <c r="X284" s="19"/>
      <c r="Y284" s="18"/>
    </row>
    <row r="285" spans="23:25" ht="43.5" customHeight="1" x14ac:dyDescent="0.2">
      <c r="W285" s="19"/>
      <c r="X285" s="19"/>
      <c r="Y285" s="18"/>
    </row>
    <row r="286" spans="23:25" ht="43.5" customHeight="1" x14ac:dyDescent="0.2">
      <c r="W286" s="19"/>
      <c r="X286" s="19"/>
      <c r="Y286" s="18"/>
    </row>
    <row r="287" spans="23:25" ht="43.5" customHeight="1" x14ac:dyDescent="0.2">
      <c r="W287" s="19"/>
      <c r="X287" s="19"/>
      <c r="Y287" s="18"/>
    </row>
    <row r="288" spans="23:25" ht="43.5" customHeight="1" x14ac:dyDescent="0.2">
      <c r="W288" s="19"/>
      <c r="X288" s="19"/>
      <c r="Y288" s="18"/>
    </row>
    <row r="289" spans="23:25" ht="43.5" customHeight="1" x14ac:dyDescent="0.2">
      <c r="W289" s="19"/>
      <c r="X289" s="19"/>
      <c r="Y289" s="18"/>
    </row>
    <row r="290" spans="23:25" ht="43.5" customHeight="1" x14ac:dyDescent="0.2">
      <c r="W290" s="19"/>
      <c r="X290" s="19"/>
      <c r="Y290" s="18"/>
    </row>
    <row r="291" spans="23:25" ht="43.5" customHeight="1" x14ac:dyDescent="0.2">
      <c r="W291" s="19"/>
      <c r="X291" s="19"/>
      <c r="Y291" s="18"/>
    </row>
    <row r="292" spans="23:25" ht="43.5" customHeight="1" x14ac:dyDescent="0.2">
      <c r="W292" s="19"/>
      <c r="X292" s="19"/>
      <c r="Y292" s="18"/>
    </row>
    <row r="293" spans="23:25" ht="43.5" customHeight="1" x14ac:dyDescent="0.2">
      <c r="W293" s="19"/>
      <c r="X293" s="19"/>
      <c r="Y293" s="18"/>
    </row>
    <row r="294" spans="23:25" ht="43.5" customHeight="1" x14ac:dyDescent="0.2">
      <c r="W294" s="19"/>
      <c r="X294" s="19"/>
      <c r="Y294" s="18"/>
    </row>
    <row r="295" spans="23:25" ht="43.5" customHeight="1" x14ac:dyDescent="0.2">
      <c r="W295" s="19"/>
      <c r="X295" s="19"/>
      <c r="Y295" s="18"/>
    </row>
    <row r="296" spans="23:25" ht="43.5" customHeight="1" x14ac:dyDescent="0.2">
      <c r="W296" s="19"/>
      <c r="X296" s="19"/>
      <c r="Y296" s="18"/>
    </row>
    <row r="297" spans="23:25" ht="43.5" customHeight="1" x14ac:dyDescent="0.2">
      <c r="W297" s="19"/>
      <c r="X297" s="19"/>
      <c r="Y297" s="18"/>
    </row>
    <row r="298" spans="23:25" ht="43.5" customHeight="1" x14ac:dyDescent="0.2">
      <c r="W298" s="19"/>
      <c r="X298" s="19"/>
      <c r="Y298" s="18"/>
    </row>
    <row r="299" spans="23:25" ht="43.5" customHeight="1" x14ac:dyDescent="0.2">
      <c r="W299" s="19"/>
      <c r="X299" s="19"/>
      <c r="Y299" s="18"/>
    </row>
    <row r="300" spans="23:25" ht="43.5" customHeight="1" x14ac:dyDescent="0.2">
      <c r="W300" s="19"/>
      <c r="X300" s="19"/>
      <c r="Y300" s="18"/>
    </row>
    <row r="301" spans="23:25" ht="43.5" customHeight="1" x14ac:dyDescent="0.2">
      <c r="W301" s="19"/>
      <c r="X301" s="19"/>
      <c r="Y301" s="18"/>
    </row>
    <row r="302" spans="23:25" ht="43.5" customHeight="1" x14ac:dyDescent="0.2">
      <c r="W302" s="19"/>
      <c r="X302" s="19"/>
      <c r="Y302" s="18"/>
    </row>
    <row r="303" spans="23:25" ht="43.5" customHeight="1" x14ac:dyDescent="0.2">
      <c r="W303" s="19"/>
      <c r="X303" s="19"/>
      <c r="Y303" s="18"/>
    </row>
    <row r="304" spans="23:25" ht="43.5" customHeight="1" x14ac:dyDescent="0.2">
      <c r="W304" s="19"/>
      <c r="X304" s="19"/>
      <c r="Y304" s="18"/>
    </row>
    <row r="305" spans="23:25" ht="43.5" customHeight="1" x14ac:dyDescent="0.2">
      <c r="W305" s="19"/>
      <c r="X305" s="19"/>
      <c r="Y305" s="18"/>
    </row>
    <row r="306" spans="23:25" ht="43.5" customHeight="1" x14ac:dyDescent="0.2">
      <c r="W306" s="19"/>
      <c r="X306" s="19"/>
      <c r="Y306" s="18"/>
    </row>
    <row r="307" spans="23:25" ht="43.5" customHeight="1" x14ac:dyDescent="0.2">
      <c r="W307" s="19"/>
      <c r="X307" s="19"/>
      <c r="Y307" s="18"/>
    </row>
    <row r="308" spans="23:25" ht="43.5" customHeight="1" x14ac:dyDescent="0.2">
      <c r="W308" s="19"/>
      <c r="X308" s="19"/>
      <c r="Y308" s="18"/>
    </row>
    <row r="309" spans="23:25" ht="43.5" customHeight="1" x14ac:dyDescent="0.2">
      <c r="W309" s="19"/>
      <c r="X309" s="19"/>
      <c r="Y309" s="18"/>
    </row>
    <row r="310" spans="23:25" ht="43.5" customHeight="1" x14ac:dyDescent="0.2">
      <c r="W310" s="19"/>
      <c r="X310" s="19"/>
      <c r="Y310" s="18"/>
    </row>
    <row r="311" spans="23:25" ht="43.5" customHeight="1" x14ac:dyDescent="0.2">
      <c r="W311" s="19"/>
      <c r="X311" s="19"/>
      <c r="Y311" s="18"/>
    </row>
    <row r="312" spans="23:25" ht="43.5" customHeight="1" x14ac:dyDescent="0.2">
      <c r="W312" s="19"/>
      <c r="X312" s="19"/>
      <c r="Y312" s="18"/>
    </row>
    <row r="313" spans="23:25" ht="43.5" customHeight="1" x14ac:dyDescent="0.2">
      <c r="W313" s="19"/>
      <c r="X313" s="19"/>
      <c r="Y313" s="18"/>
    </row>
    <row r="314" spans="23:25" ht="43.5" customHeight="1" x14ac:dyDescent="0.2">
      <c r="W314" s="19"/>
      <c r="X314" s="19"/>
      <c r="Y314" s="18"/>
    </row>
    <row r="315" spans="23:25" ht="43.5" customHeight="1" x14ac:dyDescent="0.2">
      <c r="W315" s="19"/>
      <c r="X315" s="19"/>
      <c r="Y315" s="18"/>
    </row>
    <row r="316" spans="23:25" ht="43.5" customHeight="1" x14ac:dyDescent="0.2">
      <c r="W316" s="19"/>
      <c r="X316" s="19"/>
      <c r="Y316" s="18"/>
    </row>
    <row r="317" spans="23:25" ht="43.5" customHeight="1" x14ac:dyDescent="0.2">
      <c r="W317" s="19"/>
      <c r="X317" s="19"/>
      <c r="Y317" s="18"/>
    </row>
    <row r="318" spans="23:25" ht="43.5" customHeight="1" x14ac:dyDescent="0.2">
      <c r="W318" s="19"/>
      <c r="X318" s="19"/>
      <c r="Y318" s="18"/>
    </row>
    <row r="319" spans="23:25" ht="43.5" customHeight="1" x14ac:dyDescent="0.2">
      <c r="W319" s="19"/>
      <c r="X319" s="19"/>
      <c r="Y319" s="18"/>
    </row>
    <row r="320" spans="23:25" ht="43.5" customHeight="1" x14ac:dyDescent="0.2">
      <c r="W320" s="19"/>
      <c r="X320" s="19"/>
      <c r="Y320" s="18"/>
    </row>
    <row r="321" spans="23:25" ht="43.5" customHeight="1" x14ac:dyDescent="0.2">
      <c r="W321" s="19"/>
      <c r="X321" s="19"/>
      <c r="Y321" s="18"/>
    </row>
    <row r="322" spans="23:25" ht="43.5" customHeight="1" x14ac:dyDescent="0.2">
      <c r="W322" s="19"/>
      <c r="X322" s="19"/>
      <c r="Y322" s="18"/>
    </row>
    <row r="323" spans="23:25" ht="43.5" customHeight="1" x14ac:dyDescent="0.2">
      <c r="W323" s="19"/>
      <c r="X323" s="19"/>
      <c r="Y323" s="18"/>
    </row>
    <row r="324" spans="23:25" ht="43.5" customHeight="1" x14ac:dyDescent="0.2">
      <c r="W324" s="19"/>
      <c r="X324" s="19"/>
      <c r="Y324" s="18"/>
    </row>
    <row r="325" spans="23:25" ht="43.5" customHeight="1" x14ac:dyDescent="0.2">
      <c r="W325" s="19"/>
      <c r="X325" s="19"/>
      <c r="Y325" s="18"/>
    </row>
    <row r="326" spans="23:25" ht="43.5" customHeight="1" x14ac:dyDescent="0.2">
      <c r="W326" s="19"/>
      <c r="X326" s="19"/>
      <c r="Y326" s="18"/>
    </row>
    <row r="327" spans="23:25" ht="43.5" customHeight="1" x14ac:dyDescent="0.2">
      <c r="W327" s="19"/>
      <c r="X327" s="19"/>
      <c r="Y327" s="18"/>
    </row>
    <row r="328" spans="23:25" ht="43.5" customHeight="1" x14ac:dyDescent="0.2">
      <c r="W328" s="19"/>
      <c r="X328" s="19"/>
      <c r="Y328" s="18"/>
    </row>
    <row r="329" spans="23:25" ht="43.5" customHeight="1" x14ac:dyDescent="0.2">
      <c r="W329" s="19"/>
      <c r="X329" s="19"/>
      <c r="Y329" s="18"/>
    </row>
    <row r="330" spans="23:25" ht="43.5" customHeight="1" x14ac:dyDescent="0.2">
      <c r="W330" s="19"/>
      <c r="X330" s="19"/>
      <c r="Y330" s="18"/>
    </row>
    <row r="331" spans="23:25" ht="43.5" customHeight="1" x14ac:dyDescent="0.2">
      <c r="W331" s="19"/>
      <c r="X331" s="19"/>
      <c r="Y331" s="18"/>
    </row>
    <row r="332" spans="23:25" ht="43.5" customHeight="1" x14ac:dyDescent="0.2">
      <c r="W332" s="19"/>
      <c r="X332" s="19"/>
      <c r="Y332" s="18"/>
    </row>
    <row r="333" spans="23:25" ht="43.5" customHeight="1" x14ac:dyDescent="0.2">
      <c r="W333" s="19"/>
      <c r="X333" s="19"/>
      <c r="Y333" s="18"/>
    </row>
    <row r="334" spans="23:25" ht="43.5" customHeight="1" x14ac:dyDescent="0.2">
      <c r="W334" s="19"/>
      <c r="X334" s="19"/>
      <c r="Y334" s="18"/>
    </row>
    <row r="335" spans="23:25" ht="43.5" customHeight="1" x14ac:dyDescent="0.2">
      <c r="W335" s="19"/>
      <c r="X335" s="19"/>
      <c r="Y335" s="18"/>
    </row>
    <row r="336" spans="23:25" ht="43.5" customHeight="1" x14ac:dyDescent="0.2">
      <c r="W336" s="19"/>
      <c r="X336" s="19"/>
      <c r="Y336" s="18"/>
    </row>
    <row r="337" spans="23:25" ht="43.5" customHeight="1" x14ac:dyDescent="0.2">
      <c r="W337" s="19"/>
      <c r="X337" s="19"/>
      <c r="Y337" s="18"/>
    </row>
    <row r="338" spans="23:25" ht="43.5" customHeight="1" x14ac:dyDescent="0.2">
      <c r="W338" s="19"/>
      <c r="X338" s="19"/>
      <c r="Y338" s="18"/>
    </row>
    <row r="339" spans="23:25" ht="43.5" customHeight="1" x14ac:dyDescent="0.2">
      <c r="W339" s="19"/>
      <c r="X339" s="19"/>
      <c r="Y339" s="18"/>
    </row>
    <row r="340" spans="23:25" ht="43.5" customHeight="1" x14ac:dyDescent="0.2">
      <c r="W340" s="19"/>
      <c r="X340" s="19"/>
      <c r="Y340" s="18"/>
    </row>
    <row r="341" spans="23:25" ht="43.5" customHeight="1" x14ac:dyDescent="0.2">
      <c r="W341" s="19"/>
      <c r="X341" s="19"/>
      <c r="Y341" s="18"/>
    </row>
    <row r="342" spans="23:25" ht="43.5" customHeight="1" x14ac:dyDescent="0.2">
      <c r="W342" s="19"/>
      <c r="X342" s="19"/>
      <c r="Y342" s="18"/>
    </row>
    <row r="343" spans="23:25" ht="43.5" customHeight="1" x14ac:dyDescent="0.2">
      <c r="W343" s="19"/>
      <c r="X343" s="19"/>
      <c r="Y343" s="18"/>
    </row>
    <row r="344" spans="23:25" ht="43.5" customHeight="1" x14ac:dyDescent="0.2">
      <c r="W344" s="19"/>
      <c r="X344" s="19"/>
      <c r="Y344" s="18"/>
    </row>
    <row r="345" spans="23:25" ht="43.5" customHeight="1" x14ac:dyDescent="0.2">
      <c r="W345" s="19"/>
      <c r="X345" s="19"/>
      <c r="Y345" s="18"/>
    </row>
    <row r="346" spans="23:25" ht="43.5" customHeight="1" x14ac:dyDescent="0.2">
      <c r="W346" s="19"/>
      <c r="X346" s="19"/>
      <c r="Y346" s="18"/>
    </row>
    <row r="347" spans="23:25" ht="43.5" customHeight="1" x14ac:dyDescent="0.2">
      <c r="W347" s="19"/>
      <c r="X347" s="19"/>
      <c r="Y347" s="18"/>
    </row>
    <row r="348" spans="23:25" ht="43.5" customHeight="1" x14ac:dyDescent="0.2">
      <c r="W348" s="19"/>
      <c r="X348" s="19"/>
      <c r="Y348" s="18"/>
    </row>
    <row r="349" spans="23:25" ht="43.5" customHeight="1" x14ac:dyDescent="0.2">
      <c r="W349" s="19"/>
      <c r="X349" s="19"/>
      <c r="Y349" s="18"/>
    </row>
    <row r="350" spans="23:25" ht="43.5" customHeight="1" x14ac:dyDescent="0.2">
      <c r="W350" s="19"/>
      <c r="X350" s="19"/>
      <c r="Y350" s="18"/>
    </row>
    <row r="351" spans="23:25" ht="43.5" customHeight="1" x14ac:dyDescent="0.2">
      <c r="W351" s="19"/>
      <c r="X351" s="19"/>
      <c r="Y351" s="18"/>
    </row>
    <row r="352" spans="23:25" ht="43.5" customHeight="1" x14ac:dyDescent="0.2">
      <c r="W352" s="19"/>
      <c r="X352" s="19"/>
      <c r="Y352" s="18"/>
    </row>
    <row r="353" spans="23:25" ht="43.5" customHeight="1" x14ac:dyDescent="0.2">
      <c r="W353" s="19"/>
      <c r="X353" s="19"/>
      <c r="Y353" s="18"/>
    </row>
    <row r="354" spans="23:25" ht="43.5" customHeight="1" x14ac:dyDescent="0.2">
      <c r="W354" s="19"/>
      <c r="X354" s="19"/>
      <c r="Y354" s="18"/>
    </row>
    <row r="355" spans="23:25" ht="43.5" customHeight="1" x14ac:dyDescent="0.2">
      <c r="W355" s="19"/>
      <c r="X355" s="19"/>
      <c r="Y355" s="18"/>
    </row>
    <row r="356" spans="23:25" ht="43.5" customHeight="1" x14ac:dyDescent="0.2">
      <c r="W356" s="19"/>
      <c r="X356" s="19"/>
      <c r="Y356" s="18"/>
    </row>
    <row r="357" spans="23:25" ht="43.5" customHeight="1" x14ac:dyDescent="0.2">
      <c r="W357" s="19"/>
      <c r="X357" s="19"/>
      <c r="Y357" s="18"/>
    </row>
    <row r="358" spans="23:25" ht="43.5" customHeight="1" x14ac:dyDescent="0.2">
      <c r="W358" s="19"/>
      <c r="X358" s="19"/>
      <c r="Y358" s="18"/>
    </row>
    <row r="359" spans="23:25" ht="43.5" customHeight="1" x14ac:dyDescent="0.2">
      <c r="W359" s="19"/>
      <c r="X359" s="19"/>
      <c r="Y359" s="18"/>
    </row>
    <row r="360" spans="23:25" ht="43.5" customHeight="1" x14ac:dyDescent="0.2">
      <c r="W360" s="19"/>
      <c r="X360" s="19"/>
      <c r="Y360" s="18"/>
    </row>
    <row r="361" spans="23:25" ht="43.5" customHeight="1" x14ac:dyDescent="0.2">
      <c r="W361" s="19"/>
      <c r="X361" s="19"/>
      <c r="Y361" s="18"/>
    </row>
    <row r="362" spans="23:25" ht="43.5" customHeight="1" x14ac:dyDescent="0.2">
      <c r="W362" s="19"/>
      <c r="X362" s="19"/>
      <c r="Y362" s="18"/>
    </row>
    <row r="363" spans="23:25" ht="43.5" customHeight="1" x14ac:dyDescent="0.2">
      <c r="W363" s="19"/>
      <c r="X363" s="19"/>
      <c r="Y363" s="18"/>
    </row>
    <row r="364" spans="23:25" ht="43.5" customHeight="1" x14ac:dyDescent="0.2">
      <c r="W364" s="19"/>
      <c r="X364" s="19"/>
      <c r="Y364" s="18"/>
    </row>
    <row r="365" spans="23:25" ht="43.5" customHeight="1" x14ac:dyDescent="0.2">
      <c r="W365" s="19"/>
      <c r="X365" s="19"/>
      <c r="Y365" s="18"/>
    </row>
    <row r="366" spans="23:25" ht="43.5" customHeight="1" x14ac:dyDescent="0.2">
      <c r="W366" s="19"/>
      <c r="X366" s="19"/>
      <c r="Y366" s="18"/>
    </row>
    <row r="367" spans="23:25" ht="43.5" customHeight="1" x14ac:dyDescent="0.2">
      <c r="W367" s="19"/>
      <c r="X367" s="19"/>
      <c r="Y367" s="18"/>
    </row>
    <row r="368" spans="23:25" ht="43.5" customHeight="1" x14ac:dyDescent="0.2">
      <c r="W368" s="19"/>
      <c r="X368" s="19"/>
      <c r="Y368" s="18"/>
    </row>
    <row r="369" spans="23:25" ht="43.5" customHeight="1" x14ac:dyDescent="0.2">
      <c r="W369" s="19"/>
      <c r="X369" s="19"/>
      <c r="Y369" s="18"/>
    </row>
    <row r="370" spans="23:25" ht="43.5" customHeight="1" x14ac:dyDescent="0.2">
      <c r="W370" s="19"/>
      <c r="X370" s="19"/>
      <c r="Y370" s="18"/>
    </row>
    <row r="371" spans="23:25" ht="43.5" customHeight="1" x14ac:dyDescent="0.2">
      <c r="W371" s="19"/>
      <c r="X371" s="19"/>
      <c r="Y371" s="18"/>
    </row>
    <row r="372" spans="23:25" ht="43.5" customHeight="1" x14ac:dyDescent="0.2">
      <c r="W372" s="19"/>
      <c r="X372" s="19"/>
      <c r="Y372" s="18"/>
    </row>
    <row r="373" spans="23:25" ht="43.5" customHeight="1" x14ac:dyDescent="0.2">
      <c r="W373" s="19"/>
      <c r="X373" s="19"/>
      <c r="Y373" s="18"/>
    </row>
    <row r="374" spans="23:25" ht="43.5" customHeight="1" x14ac:dyDescent="0.2">
      <c r="W374" s="19"/>
      <c r="X374" s="19"/>
      <c r="Y374" s="18"/>
    </row>
    <row r="375" spans="23:25" ht="43.5" customHeight="1" x14ac:dyDescent="0.2">
      <c r="W375" s="19"/>
      <c r="X375" s="19"/>
      <c r="Y375" s="18"/>
    </row>
    <row r="376" spans="23:25" ht="43.5" customHeight="1" x14ac:dyDescent="0.2">
      <c r="W376" s="19"/>
      <c r="X376" s="19"/>
      <c r="Y376" s="18"/>
    </row>
    <row r="377" spans="23:25" ht="43.5" customHeight="1" x14ac:dyDescent="0.2">
      <c r="W377" s="19"/>
      <c r="X377" s="19"/>
      <c r="Y377" s="18"/>
    </row>
    <row r="378" spans="23:25" ht="43.5" customHeight="1" x14ac:dyDescent="0.2">
      <c r="W378" s="19"/>
      <c r="X378" s="19"/>
      <c r="Y378" s="18"/>
    </row>
    <row r="379" spans="23:25" ht="43.5" customHeight="1" x14ac:dyDescent="0.2">
      <c r="W379" s="19"/>
      <c r="X379" s="19"/>
      <c r="Y379" s="18"/>
    </row>
    <row r="380" spans="23:25" ht="43.5" customHeight="1" x14ac:dyDescent="0.2">
      <c r="W380" s="19"/>
      <c r="X380" s="19"/>
      <c r="Y380" s="18"/>
    </row>
    <row r="381" spans="23:25" ht="43.5" customHeight="1" x14ac:dyDescent="0.2">
      <c r="W381" s="19"/>
      <c r="X381" s="19"/>
      <c r="Y381" s="18"/>
    </row>
    <row r="382" spans="23:25" ht="43.5" customHeight="1" x14ac:dyDescent="0.2">
      <c r="W382" s="19"/>
      <c r="X382" s="19"/>
      <c r="Y382" s="18"/>
    </row>
    <row r="383" spans="23:25" ht="43.5" customHeight="1" x14ac:dyDescent="0.2">
      <c r="W383" s="19"/>
      <c r="X383" s="19"/>
      <c r="Y383" s="18"/>
    </row>
    <row r="384" spans="23:25" ht="43.5" customHeight="1" x14ac:dyDescent="0.2">
      <c r="W384" s="19"/>
      <c r="X384" s="19"/>
      <c r="Y384" s="18"/>
    </row>
    <row r="385" spans="23:25" ht="43.5" customHeight="1" x14ac:dyDescent="0.2">
      <c r="W385" s="19"/>
      <c r="X385" s="19"/>
      <c r="Y385" s="18"/>
    </row>
    <row r="386" spans="23:25" ht="43.5" customHeight="1" x14ac:dyDescent="0.2">
      <c r="W386" s="19"/>
      <c r="X386" s="19"/>
      <c r="Y386" s="18"/>
    </row>
    <row r="387" spans="23:25" ht="43.5" customHeight="1" x14ac:dyDescent="0.2">
      <c r="W387" s="19"/>
      <c r="X387" s="19"/>
      <c r="Y387" s="18"/>
    </row>
    <row r="388" spans="23:25" ht="43.5" customHeight="1" x14ac:dyDescent="0.2">
      <c r="W388" s="19"/>
      <c r="X388" s="19"/>
      <c r="Y388" s="18"/>
    </row>
    <row r="389" spans="23:25" ht="43.5" customHeight="1" x14ac:dyDescent="0.2">
      <c r="W389" s="19"/>
      <c r="X389" s="19"/>
      <c r="Y389" s="18"/>
    </row>
    <row r="390" spans="23:25" ht="43.5" customHeight="1" x14ac:dyDescent="0.2">
      <c r="W390" s="19"/>
      <c r="X390" s="19"/>
      <c r="Y390" s="18"/>
    </row>
    <row r="391" spans="23:25" ht="43.5" customHeight="1" x14ac:dyDescent="0.2">
      <c r="W391" s="19"/>
      <c r="X391" s="19"/>
      <c r="Y391" s="18"/>
    </row>
    <row r="392" spans="23:25" ht="43.5" customHeight="1" x14ac:dyDescent="0.2">
      <c r="W392" s="19"/>
      <c r="X392" s="19"/>
      <c r="Y392" s="18"/>
    </row>
    <row r="393" spans="23:25" ht="43.5" customHeight="1" x14ac:dyDescent="0.2">
      <c r="W393" s="19"/>
      <c r="X393" s="19"/>
      <c r="Y393" s="18"/>
    </row>
    <row r="394" spans="23:25" ht="43.5" customHeight="1" x14ac:dyDescent="0.2">
      <c r="W394" s="19"/>
      <c r="X394" s="19"/>
      <c r="Y394" s="18"/>
    </row>
    <row r="395" spans="23:25" ht="43.5" customHeight="1" x14ac:dyDescent="0.2">
      <c r="W395" s="19"/>
      <c r="X395" s="19"/>
      <c r="Y395" s="18"/>
    </row>
    <row r="396" spans="23:25" ht="43.5" customHeight="1" x14ac:dyDescent="0.2">
      <c r="W396" s="19"/>
      <c r="X396" s="19"/>
      <c r="Y396" s="18"/>
    </row>
    <row r="397" spans="23:25" ht="43.5" customHeight="1" x14ac:dyDescent="0.2">
      <c r="W397" s="19"/>
      <c r="X397" s="19"/>
      <c r="Y397" s="18"/>
    </row>
    <row r="398" spans="23:25" ht="43.5" customHeight="1" x14ac:dyDescent="0.2">
      <c r="W398" s="19"/>
      <c r="X398" s="19"/>
      <c r="Y398" s="18"/>
    </row>
    <row r="399" spans="23:25" ht="43.5" customHeight="1" x14ac:dyDescent="0.2">
      <c r="W399" s="19"/>
      <c r="X399" s="19"/>
      <c r="Y399" s="18"/>
    </row>
    <row r="400" spans="23:25" ht="43.5" customHeight="1" x14ac:dyDescent="0.2">
      <c r="W400" s="19"/>
      <c r="X400" s="19"/>
      <c r="Y400" s="18"/>
    </row>
    <row r="401" spans="23:25" ht="43.5" customHeight="1" x14ac:dyDescent="0.2">
      <c r="W401" s="19"/>
      <c r="X401" s="19"/>
      <c r="Y401" s="18"/>
    </row>
    <row r="402" spans="23:25" ht="43.5" customHeight="1" x14ac:dyDescent="0.2">
      <c r="W402" s="19"/>
      <c r="X402" s="19"/>
      <c r="Y402" s="18"/>
    </row>
    <row r="403" spans="23:25" ht="43.5" customHeight="1" x14ac:dyDescent="0.2">
      <c r="W403" s="19"/>
      <c r="X403" s="19"/>
      <c r="Y403" s="18"/>
    </row>
    <row r="404" spans="23:25" ht="43.5" customHeight="1" x14ac:dyDescent="0.2">
      <c r="W404" s="19"/>
      <c r="X404" s="19"/>
      <c r="Y404" s="18"/>
    </row>
    <row r="405" spans="23:25" ht="43.5" customHeight="1" x14ac:dyDescent="0.2">
      <c r="W405" s="19"/>
      <c r="X405" s="19"/>
      <c r="Y405" s="18"/>
    </row>
    <row r="406" spans="23:25" ht="43.5" customHeight="1" x14ac:dyDescent="0.2">
      <c r="W406" s="19"/>
      <c r="X406" s="19"/>
      <c r="Y406" s="18"/>
    </row>
    <row r="407" spans="23:25" ht="43.5" customHeight="1" x14ac:dyDescent="0.2">
      <c r="W407" s="19"/>
      <c r="X407" s="19"/>
      <c r="Y407" s="18"/>
    </row>
    <row r="408" spans="23:25" ht="43.5" customHeight="1" x14ac:dyDescent="0.2">
      <c r="W408" s="19"/>
      <c r="X408" s="19"/>
      <c r="Y408" s="18"/>
    </row>
    <row r="409" spans="23:25" ht="43.5" customHeight="1" x14ac:dyDescent="0.2">
      <c r="W409" s="19"/>
      <c r="X409" s="19"/>
      <c r="Y409" s="18"/>
    </row>
    <row r="410" spans="23:25" ht="43.5" customHeight="1" x14ac:dyDescent="0.2">
      <c r="W410" s="19"/>
      <c r="X410" s="19"/>
      <c r="Y410" s="18"/>
    </row>
    <row r="411" spans="23:25" ht="43.5" customHeight="1" x14ac:dyDescent="0.2">
      <c r="W411" s="19"/>
      <c r="X411" s="19"/>
      <c r="Y411" s="18"/>
    </row>
    <row r="412" spans="23:25" ht="43.5" customHeight="1" x14ac:dyDescent="0.2">
      <c r="W412" s="19"/>
      <c r="X412" s="19"/>
      <c r="Y412" s="18"/>
    </row>
    <row r="413" spans="23:25" ht="43.5" customHeight="1" x14ac:dyDescent="0.2">
      <c r="W413" s="19"/>
      <c r="X413" s="19"/>
      <c r="Y413" s="18"/>
    </row>
    <row r="414" spans="23:25" ht="43.5" customHeight="1" x14ac:dyDescent="0.2">
      <c r="W414" s="19"/>
      <c r="X414" s="19"/>
      <c r="Y414" s="18"/>
    </row>
    <row r="415" spans="23:25" ht="43.5" customHeight="1" x14ac:dyDescent="0.2">
      <c r="W415" s="19"/>
      <c r="X415" s="19"/>
      <c r="Y415" s="18"/>
    </row>
    <row r="416" spans="23:25" ht="43.5" customHeight="1" x14ac:dyDescent="0.2">
      <c r="W416" s="19"/>
      <c r="X416" s="19"/>
      <c r="Y416" s="18"/>
    </row>
    <row r="417" spans="23:25" ht="43.5" customHeight="1" x14ac:dyDescent="0.2">
      <c r="W417" s="19"/>
      <c r="X417" s="19"/>
      <c r="Y417" s="18"/>
    </row>
    <row r="418" spans="23:25" ht="43.5" customHeight="1" x14ac:dyDescent="0.2">
      <c r="W418" s="19"/>
      <c r="X418" s="19"/>
      <c r="Y418" s="18"/>
    </row>
    <row r="419" spans="23:25" ht="43.5" customHeight="1" x14ac:dyDescent="0.2">
      <c r="W419" s="19"/>
      <c r="X419" s="19"/>
      <c r="Y419" s="18"/>
    </row>
    <row r="420" spans="23:25" ht="43.5" customHeight="1" x14ac:dyDescent="0.2">
      <c r="W420" s="19"/>
      <c r="X420" s="19"/>
      <c r="Y420" s="18"/>
    </row>
    <row r="421" spans="23:25" ht="43.5" customHeight="1" x14ac:dyDescent="0.2">
      <c r="W421" s="19"/>
      <c r="X421" s="19"/>
      <c r="Y421" s="18"/>
    </row>
    <row r="422" spans="23:25" ht="43.5" customHeight="1" x14ac:dyDescent="0.2">
      <c r="W422" s="19"/>
      <c r="X422" s="19"/>
      <c r="Y422" s="18"/>
    </row>
    <row r="423" spans="23:25" ht="43.5" customHeight="1" x14ac:dyDescent="0.2">
      <c r="W423" s="19"/>
      <c r="X423" s="19"/>
      <c r="Y423" s="18"/>
    </row>
    <row r="424" spans="23:25" ht="43.5" customHeight="1" x14ac:dyDescent="0.2">
      <c r="W424" s="19"/>
      <c r="X424" s="19"/>
      <c r="Y424" s="18"/>
    </row>
    <row r="425" spans="23:25" ht="43.5" customHeight="1" x14ac:dyDescent="0.2">
      <c r="W425" s="19"/>
      <c r="X425" s="19"/>
      <c r="Y425" s="18"/>
    </row>
    <row r="426" spans="23:25" ht="43.5" customHeight="1" x14ac:dyDescent="0.2">
      <c r="W426" s="19"/>
      <c r="X426" s="19"/>
      <c r="Y426" s="18"/>
    </row>
    <row r="427" spans="23:25" ht="43.5" customHeight="1" x14ac:dyDescent="0.2">
      <c r="W427" s="19"/>
      <c r="X427" s="19"/>
      <c r="Y427" s="18"/>
    </row>
    <row r="428" spans="23:25" ht="43.5" customHeight="1" x14ac:dyDescent="0.2">
      <c r="W428" s="19"/>
      <c r="X428" s="19"/>
      <c r="Y428" s="18"/>
    </row>
    <row r="429" spans="23:25" ht="43.5" customHeight="1" x14ac:dyDescent="0.2">
      <c r="W429" s="19"/>
      <c r="X429" s="19"/>
      <c r="Y429" s="18"/>
    </row>
    <row r="430" spans="23:25" ht="43.5" customHeight="1" x14ac:dyDescent="0.2">
      <c r="W430" s="19"/>
      <c r="X430" s="19"/>
      <c r="Y430" s="18"/>
    </row>
    <row r="431" spans="23:25" ht="43.5" customHeight="1" x14ac:dyDescent="0.2">
      <c r="W431" s="19"/>
      <c r="X431" s="19"/>
      <c r="Y431" s="18"/>
    </row>
    <row r="432" spans="23:25" ht="43.5" customHeight="1" x14ac:dyDescent="0.2">
      <c r="W432" s="19"/>
      <c r="X432" s="19"/>
      <c r="Y432" s="18"/>
    </row>
    <row r="433" spans="23:25" ht="43.5" customHeight="1" x14ac:dyDescent="0.2">
      <c r="W433" s="19"/>
      <c r="X433" s="19"/>
      <c r="Y433" s="18"/>
    </row>
    <row r="434" spans="23:25" ht="43.5" customHeight="1" x14ac:dyDescent="0.2">
      <c r="W434" s="19"/>
      <c r="X434" s="19"/>
      <c r="Y434" s="18"/>
    </row>
    <row r="435" spans="23:25" ht="43.5" customHeight="1" x14ac:dyDescent="0.2">
      <c r="W435" s="19"/>
      <c r="X435" s="19"/>
      <c r="Y435" s="18"/>
    </row>
    <row r="436" spans="23:25" ht="43.5" customHeight="1" x14ac:dyDescent="0.2">
      <c r="W436" s="19"/>
      <c r="X436" s="19"/>
      <c r="Y436" s="18"/>
    </row>
    <row r="437" spans="23:25" ht="43.5" customHeight="1" x14ac:dyDescent="0.2">
      <c r="W437" s="19"/>
      <c r="X437" s="19"/>
      <c r="Y437" s="18"/>
    </row>
    <row r="438" spans="23:25" ht="43.5" customHeight="1" x14ac:dyDescent="0.2">
      <c r="W438" s="19"/>
      <c r="X438" s="19"/>
      <c r="Y438" s="18"/>
    </row>
    <row r="439" spans="23:25" ht="43.5" customHeight="1" x14ac:dyDescent="0.2">
      <c r="W439" s="19"/>
      <c r="X439" s="19"/>
      <c r="Y439" s="18"/>
    </row>
    <row r="440" spans="23:25" ht="43.5" customHeight="1" x14ac:dyDescent="0.2">
      <c r="W440" s="19"/>
      <c r="X440" s="19"/>
      <c r="Y440" s="18"/>
    </row>
    <row r="441" spans="23:25" ht="43.5" customHeight="1" x14ac:dyDescent="0.2">
      <c r="W441" s="19"/>
      <c r="X441" s="19"/>
      <c r="Y441" s="18"/>
    </row>
    <row r="442" spans="23:25" ht="43.5" customHeight="1" x14ac:dyDescent="0.2">
      <c r="W442" s="19"/>
      <c r="X442" s="19"/>
      <c r="Y442" s="18"/>
    </row>
    <row r="443" spans="23:25" ht="43.5" customHeight="1" x14ac:dyDescent="0.2">
      <c r="W443" s="19"/>
      <c r="X443" s="19"/>
      <c r="Y443" s="18"/>
    </row>
    <row r="444" spans="23:25" ht="43.5" customHeight="1" x14ac:dyDescent="0.2">
      <c r="W444" s="19"/>
      <c r="X444" s="19"/>
      <c r="Y444" s="18"/>
    </row>
    <row r="445" spans="23:25" ht="43.5" customHeight="1" x14ac:dyDescent="0.2">
      <c r="W445" s="19"/>
      <c r="X445" s="19"/>
      <c r="Y445" s="18"/>
    </row>
    <row r="446" spans="23:25" ht="43.5" customHeight="1" x14ac:dyDescent="0.2">
      <c r="W446" s="19"/>
      <c r="X446" s="19"/>
      <c r="Y446" s="18"/>
    </row>
    <row r="447" spans="23:25" ht="43.5" customHeight="1" x14ac:dyDescent="0.2">
      <c r="W447" s="19"/>
      <c r="X447" s="19"/>
      <c r="Y447" s="18"/>
    </row>
    <row r="448" spans="23:25" ht="43.5" customHeight="1" x14ac:dyDescent="0.2">
      <c r="W448" s="19"/>
      <c r="X448" s="19"/>
      <c r="Y448" s="18"/>
    </row>
    <row r="449" spans="23:25" ht="43.5" customHeight="1" x14ac:dyDescent="0.2">
      <c r="W449" s="19"/>
      <c r="X449" s="19"/>
      <c r="Y449" s="18"/>
    </row>
    <row r="450" spans="23:25" ht="43.5" customHeight="1" x14ac:dyDescent="0.2">
      <c r="W450" s="19"/>
      <c r="X450" s="19"/>
      <c r="Y450" s="18"/>
    </row>
    <row r="451" spans="23:25" ht="43.5" customHeight="1" x14ac:dyDescent="0.2">
      <c r="W451" s="19"/>
      <c r="X451" s="19"/>
      <c r="Y451" s="18"/>
    </row>
    <row r="452" spans="23:25" ht="43.5" customHeight="1" x14ac:dyDescent="0.2">
      <c r="W452" s="19"/>
      <c r="X452" s="19"/>
      <c r="Y452" s="18"/>
    </row>
    <row r="453" spans="23:25" ht="43.5" customHeight="1" x14ac:dyDescent="0.2">
      <c r="W453" s="19"/>
      <c r="X453" s="19"/>
      <c r="Y453" s="18"/>
    </row>
    <row r="454" spans="23:25" ht="43.5" customHeight="1" x14ac:dyDescent="0.2">
      <c r="W454" s="19"/>
      <c r="X454" s="19"/>
      <c r="Y454" s="18"/>
    </row>
    <row r="455" spans="23:25" ht="43.5" customHeight="1" x14ac:dyDescent="0.2">
      <c r="W455" s="19"/>
      <c r="X455" s="19"/>
      <c r="Y455" s="18"/>
    </row>
    <row r="456" spans="23:25" ht="43.5" customHeight="1" x14ac:dyDescent="0.2">
      <c r="W456" s="19"/>
      <c r="X456" s="19"/>
      <c r="Y456" s="18"/>
    </row>
    <row r="457" spans="23:25" ht="43.5" customHeight="1" x14ac:dyDescent="0.2">
      <c r="W457" s="19"/>
      <c r="X457" s="19"/>
      <c r="Y457" s="18"/>
    </row>
    <row r="458" spans="23:25" ht="43.5" customHeight="1" x14ac:dyDescent="0.2">
      <c r="W458" s="19"/>
      <c r="X458" s="19"/>
      <c r="Y458" s="18"/>
    </row>
    <row r="459" spans="23:25" ht="43.5" customHeight="1" x14ac:dyDescent="0.2">
      <c r="W459" s="19"/>
      <c r="X459" s="19"/>
      <c r="Y459" s="18"/>
    </row>
    <row r="460" spans="23:25" ht="43.5" customHeight="1" x14ac:dyDescent="0.2">
      <c r="W460" s="19"/>
      <c r="X460" s="19"/>
      <c r="Y460" s="18"/>
    </row>
    <row r="461" spans="23:25" ht="43.5" customHeight="1" x14ac:dyDescent="0.2">
      <c r="W461" s="19"/>
      <c r="X461" s="19"/>
      <c r="Y461" s="18"/>
    </row>
    <row r="462" spans="23:25" ht="43.5" customHeight="1" x14ac:dyDescent="0.2">
      <c r="W462" s="19"/>
      <c r="X462" s="19"/>
      <c r="Y462" s="18"/>
    </row>
    <row r="463" spans="23:25" ht="43.5" customHeight="1" x14ac:dyDescent="0.2">
      <c r="W463" s="19"/>
      <c r="X463" s="19"/>
      <c r="Y463" s="18"/>
    </row>
    <row r="464" spans="23:25" ht="43.5" customHeight="1" x14ac:dyDescent="0.2">
      <c r="W464" s="19"/>
      <c r="X464" s="19"/>
      <c r="Y464" s="18"/>
    </row>
    <row r="465" spans="23:25" ht="43.5" customHeight="1" x14ac:dyDescent="0.2">
      <c r="W465" s="19"/>
      <c r="X465" s="19"/>
      <c r="Y465" s="18"/>
    </row>
    <row r="466" spans="23:25" ht="43.5" customHeight="1" x14ac:dyDescent="0.2">
      <c r="W466" s="19"/>
      <c r="X466" s="19"/>
      <c r="Y466" s="18"/>
    </row>
    <row r="467" spans="23:25" ht="43.5" customHeight="1" x14ac:dyDescent="0.2">
      <c r="W467" s="19"/>
      <c r="X467" s="19"/>
      <c r="Y467" s="18"/>
    </row>
    <row r="468" spans="23:25" ht="43.5" customHeight="1" x14ac:dyDescent="0.2">
      <c r="W468" s="19"/>
      <c r="X468" s="19"/>
      <c r="Y468" s="18"/>
    </row>
    <row r="469" spans="23:25" ht="43.5" customHeight="1" x14ac:dyDescent="0.2">
      <c r="W469" s="19"/>
      <c r="X469" s="19"/>
      <c r="Y469" s="18"/>
    </row>
    <row r="470" spans="23:25" ht="43.5" customHeight="1" x14ac:dyDescent="0.2">
      <c r="W470" s="19"/>
      <c r="X470" s="19"/>
      <c r="Y470" s="18"/>
    </row>
    <row r="471" spans="23:25" ht="43.5" customHeight="1" x14ac:dyDescent="0.2">
      <c r="W471" s="19"/>
      <c r="X471" s="19"/>
      <c r="Y471" s="18"/>
    </row>
    <row r="472" spans="23:25" ht="43.5" customHeight="1" x14ac:dyDescent="0.2">
      <c r="W472" s="19"/>
      <c r="X472" s="19"/>
      <c r="Y472" s="18"/>
    </row>
    <row r="473" spans="23:25" ht="43.5" customHeight="1" x14ac:dyDescent="0.2">
      <c r="W473" s="19"/>
      <c r="X473" s="19"/>
      <c r="Y473" s="18"/>
    </row>
    <row r="474" spans="23:25" ht="43.5" customHeight="1" x14ac:dyDescent="0.2">
      <c r="W474" s="19"/>
      <c r="X474" s="19"/>
      <c r="Y474" s="18"/>
    </row>
    <row r="475" spans="23:25" ht="43.5" customHeight="1" x14ac:dyDescent="0.2">
      <c r="W475" s="19"/>
      <c r="X475" s="19"/>
      <c r="Y475" s="18"/>
    </row>
    <row r="476" spans="23:25" ht="43.5" customHeight="1" x14ac:dyDescent="0.2">
      <c r="W476" s="19"/>
      <c r="X476" s="19"/>
      <c r="Y476" s="18"/>
    </row>
    <row r="477" spans="23:25" ht="43.5" customHeight="1" x14ac:dyDescent="0.2">
      <c r="W477" s="19"/>
      <c r="X477" s="19"/>
      <c r="Y477" s="18"/>
    </row>
    <row r="478" spans="23:25" ht="43.5" customHeight="1" x14ac:dyDescent="0.2">
      <c r="W478" s="19"/>
      <c r="X478" s="19"/>
      <c r="Y478" s="18"/>
    </row>
    <row r="479" spans="23:25" ht="43.5" customHeight="1" x14ac:dyDescent="0.2">
      <c r="W479" s="19"/>
      <c r="X479" s="19"/>
      <c r="Y479" s="18"/>
    </row>
    <row r="480" spans="23:25" ht="43.5" customHeight="1" x14ac:dyDescent="0.2">
      <c r="W480" s="19"/>
      <c r="X480" s="19"/>
      <c r="Y480" s="18"/>
    </row>
    <row r="481" spans="23:25" ht="43.5" customHeight="1" x14ac:dyDescent="0.2">
      <c r="W481" s="19"/>
      <c r="X481" s="19"/>
      <c r="Y481" s="18"/>
    </row>
    <row r="482" spans="23:25" ht="43.5" customHeight="1" x14ac:dyDescent="0.2">
      <c r="W482" s="19"/>
      <c r="X482" s="19"/>
      <c r="Y482" s="18"/>
    </row>
    <row r="483" spans="23:25" ht="43.5" customHeight="1" x14ac:dyDescent="0.2">
      <c r="W483" s="19"/>
      <c r="X483" s="19"/>
      <c r="Y483" s="18"/>
    </row>
    <row r="484" spans="23:25" ht="43.5" customHeight="1" x14ac:dyDescent="0.2">
      <c r="W484" s="19"/>
      <c r="X484" s="19"/>
      <c r="Y484" s="18"/>
    </row>
    <row r="485" spans="23:25" ht="43.5" customHeight="1" x14ac:dyDescent="0.2">
      <c r="W485" s="19"/>
      <c r="X485" s="19"/>
      <c r="Y485" s="18"/>
    </row>
    <row r="486" spans="23:25" ht="43.5" customHeight="1" x14ac:dyDescent="0.2">
      <c r="W486" s="19"/>
      <c r="X486" s="19"/>
      <c r="Y486" s="18"/>
    </row>
    <row r="487" spans="23:25" ht="43.5" customHeight="1" x14ac:dyDescent="0.2">
      <c r="W487" s="19"/>
      <c r="X487" s="19"/>
      <c r="Y487" s="18"/>
    </row>
    <row r="488" spans="23:25" ht="43.5" customHeight="1" x14ac:dyDescent="0.2">
      <c r="W488" s="19"/>
      <c r="X488" s="19"/>
      <c r="Y488" s="18"/>
    </row>
    <row r="489" spans="23:25" ht="43.5" customHeight="1" x14ac:dyDescent="0.2">
      <c r="W489" s="19"/>
      <c r="X489" s="19"/>
      <c r="Y489" s="18"/>
    </row>
    <row r="490" spans="23:25" ht="43.5" customHeight="1" x14ac:dyDescent="0.2">
      <c r="W490" s="19"/>
      <c r="X490" s="19"/>
      <c r="Y490" s="18"/>
    </row>
    <row r="491" spans="23:25" ht="43.5" customHeight="1" x14ac:dyDescent="0.2">
      <c r="W491" s="19"/>
      <c r="X491" s="19"/>
      <c r="Y491" s="18"/>
    </row>
    <row r="492" spans="23:25" ht="43.5" customHeight="1" x14ac:dyDescent="0.2">
      <c r="W492" s="19"/>
      <c r="X492" s="19"/>
      <c r="Y492" s="18"/>
    </row>
    <row r="493" spans="23:25" ht="43.5" customHeight="1" x14ac:dyDescent="0.2">
      <c r="W493" s="19"/>
      <c r="X493" s="19"/>
      <c r="Y493" s="18"/>
    </row>
    <row r="494" spans="23:25" ht="43.5" customHeight="1" x14ac:dyDescent="0.2">
      <c r="W494" s="19"/>
      <c r="X494" s="19"/>
      <c r="Y494" s="18"/>
    </row>
    <row r="495" spans="23:25" ht="43.5" customHeight="1" x14ac:dyDescent="0.2">
      <c r="W495" s="19"/>
      <c r="X495" s="19"/>
      <c r="Y495" s="18"/>
    </row>
  </sheetData>
  <mergeCells count="32">
    <mergeCell ref="X44:X45"/>
    <mergeCell ref="D6:M6"/>
    <mergeCell ref="A44:I45"/>
    <mergeCell ref="J44:P45"/>
    <mergeCell ref="Q44:R45"/>
    <mergeCell ref="S44:W45"/>
    <mergeCell ref="G35:G36"/>
    <mergeCell ref="D39:J39"/>
    <mergeCell ref="A25:A26"/>
    <mergeCell ref="F25:F26"/>
    <mergeCell ref="A27:A28"/>
    <mergeCell ref="F27:F28"/>
    <mergeCell ref="A29:A30"/>
    <mergeCell ref="F29:F30"/>
    <mergeCell ref="A32:A38"/>
    <mergeCell ref="F32:F38"/>
    <mergeCell ref="G33:G34"/>
    <mergeCell ref="A13:A18"/>
    <mergeCell ref="F13:F18"/>
    <mergeCell ref="A20:A22"/>
    <mergeCell ref="F20:F22"/>
    <mergeCell ref="A23:A24"/>
    <mergeCell ref="F23:F24"/>
    <mergeCell ref="D1:Y1"/>
    <mergeCell ref="D2:Y2"/>
    <mergeCell ref="D3:Y3"/>
    <mergeCell ref="Q5:S5"/>
    <mergeCell ref="T5:V5"/>
    <mergeCell ref="W5:Y5"/>
    <mergeCell ref="D5:M5"/>
    <mergeCell ref="N5:P5"/>
    <mergeCell ref="D4:Y4"/>
  </mergeCells>
  <pageMargins left="0.7" right="0.7" top="0.75" bottom="0.75" header="0.3" footer="0.3"/>
  <pageSetup orientation="portrait" r:id="rId1"/>
  <ignoredErrors>
    <ignoredError sqref="X11 U11 O16 R16 U16 X16"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I41"/>
  <sheetViews>
    <sheetView topLeftCell="D1" zoomScale="62" zoomScaleNormal="100" workbookViewId="0">
      <pane ySplit="5" topLeftCell="A15" activePane="bottomLeft" state="frozen"/>
      <selection pane="bottomLeft" activeCell="T15" sqref="T15"/>
    </sheetView>
  </sheetViews>
  <sheetFormatPr baseColWidth="10" defaultColWidth="11.5703125" defaultRowHeight="15.75" x14ac:dyDescent="0.2"/>
  <cols>
    <col min="1" max="2" width="7.28515625" style="132" customWidth="1"/>
    <col min="3" max="3" width="21.85546875" style="97" customWidth="1"/>
    <col min="4" max="4" width="43" style="97" customWidth="1"/>
    <col min="5" max="5" width="30.42578125" style="132" customWidth="1"/>
    <col min="6" max="6" width="8.28515625" style="132" customWidth="1"/>
    <col min="7" max="10" width="8.28515625" style="97" customWidth="1"/>
    <col min="11" max="11" width="11.42578125" style="97" customWidth="1"/>
    <col min="12" max="12" width="13" style="97" customWidth="1"/>
    <col min="13" max="13" width="45.140625" style="97" customWidth="1"/>
    <col min="14" max="14" width="16.5703125" style="97" customWidth="1"/>
    <col min="15" max="15" width="12.28515625" style="97" customWidth="1"/>
    <col min="16" max="16" width="13.85546875" style="97" customWidth="1"/>
    <col min="17" max="17" width="18.5703125" style="97" customWidth="1"/>
    <col min="18" max="18" width="10.42578125" style="97" customWidth="1"/>
    <col min="19" max="19" width="19.140625" style="97" customWidth="1"/>
    <col min="20" max="20" width="21.28515625" style="97" customWidth="1"/>
    <col min="21" max="21" width="12.7109375" style="97" customWidth="1"/>
    <col min="22" max="22" width="23.5703125" style="97" customWidth="1"/>
    <col min="23" max="23" width="17.140625" style="97" bestFit="1" customWidth="1"/>
    <col min="24" max="24" width="15" style="97" bestFit="1" customWidth="1"/>
    <col min="25" max="25" width="10.7109375" style="97" bestFit="1" customWidth="1"/>
    <col min="26" max="26" width="8.28515625" style="97" bestFit="1" customWidth="1"/>
    <col min="27" max="27" width="10.42578125" style="97" bestFit="1" customWidth="1"/>
    <col min="28" max="28" width="21.28515625" style="97" bestFit="1" customWidth="1"/>
    <col min="29" max="29" width="17.140625" style="97" bestFit="1" customWidth="1"/>
    <col min="30" max="30" width="15" style="97" bestFit="1" customWidth="1"/>
    <col min="31" max="31" width="10.7109375" style="97" bestFit="1" customWidth="1"/>
    <col min="32" max="32" width="8.28515625" style="97" bestFit="1" customWidth="1"/>
    <col min="33" max="33" width="10.42578125" style="97" bestFit="1" customWidth="1"/>
    <col min="34" max="34" width="21.28515625" style="97" bestFit="1" customWidth="1"/>
    <col min="35" max="35" width="17.140625" style="97" bestFit="1" customWidth="1"/>
    <col min="36" max="36" width="15" style="97" bestFit="1" customWidth="1"/>
    <col min="37" max="37" width="10.7109375" style="97" bestFit="1" customWidth="1"/>
    <col min="38" max="38" width="8.28515625" style="97" bestFit="1" customWidth="1"/>
    <col min="39" max="39" width="10.42578125" style="97" bestFit="1" customWidth="1"/>
    <col min="40" max="40" width="21.28515625" style="97" bestFit="1" customWidth="1"/>
    <col min="41" max="41" width="17.140625" style="97" bestFit="1" customWidth="1"/>
    <col min="42" max="42" width="15" style="97" bestFit="1" customWidth="1"/>
    <col min="43" max="43" width="10.7109375" style="97" bestFit="1" customWidth="1"/>
    <col min="44" max="44" width="8.28515625" style="97" bestFit="1" customWidth="1"/>
    <col min="45" max="45" width="10.42578125" style="97" bestFit="1" customWidth="1"/>
    <col min="46" max="46" width="10.42578125" style="97" customWidth="1"/>
    <col min="47" max="16384" width="11.5703125" style="97"/>
  </cols>
  <sheetData>
    <row r="1" spans="1:347" ht="39.75" customHeight="1" thickBot="1" x14ac:dyDescent="0.25">
      <c r="A1" s="832"/>
      <c r="B1" s="832"/>
      <c r="C1" s="832"/>
      <c r="D1" s="832"/>
      <c r="E1" s="832"/>
      <c r="F1" s="832"/>
      <c r="G1" s="832"/>
      <c r="H1" s="832"/>
      <c r="I1" s="832"/>
      <c r="J1" s="832"/>
      <c r="K1" s="832"/>
      <c r="L1" s="832"/>
      <c r="M1" s="832"/>
      <c r="N1" s="832"/>
      <c r="O1" s="832"/>
      <c r="P1" s="832"/>
      <c r="Q1" s="832"/>
      <c r="R1" s="832"/>
      <c r="S1" s="832"/>
      <c r="T1" s="832"/>
      <c r="U1" s="832"/>
      <c r="V1" s="833"/>
      <c r="W1" s="96"/>
      <c r="X1" s="96"/>
      <c r="Y1" s="96"/>
      <c r="Z1" s="96"/>
      <c r="AA1" s="96"/>
      <c r="AB1" s="96"/>
      <c r="AC1" s="96"/>
      <c r="AD1" s="96"/>
      <c r="AE1" s="96"/>
      <c r="AF1" s="96"/>
      <c r="AG1" s="96"/>
      <c r="AH1" s="96"/>
      <c r="AI1" s="96"/>
      <c r="AJ1" s="96"/>
      <c r="AK1" s="96"/>
      <c r="AL1" s="96"/>
      <c r="AM1" s="96"/>
      <c r="AN1" s="96"/>
      <c r="AO1" s="96"/>
      <c r="AP1" s="96"/>
      <c r="AQ1" s="96"/>
      <c r="AR1" s="96"/>
      <c r="AS1" s="96"/>
      <c r="AT1" s="96"/>
    </row>
    <row r="2" spans="1:347" ht="14.25" customHeight="1" thickBot="1" x14ac:dyDescent="0.25">
      <c r="A2" s="834" t="s">
        <v>1672</v>
      </c>
      <c r="B2" s="835"/>
      <c r="C2" s="835"/>
      <c r="D2" s="835"/>
      <c r="E2" s="835"/>
      <c r="F2" s="835"/>
      <c r="G2" s="835"/>
      <c r="H2" s="835"/>
      <c r="I2" s="835"/>
      <c r="J2" s="835"/>
      <c r="K2" s="835"/>
      <c r="L2" s="835"/>
      <c r="M2" s="835"/>
      <c r="N2" s="835"/>
      <c r="O2" s="835"/>
      <c r="P2" s="835"/>
      <c r="Q2" s="835"/>
      <c r="R2" s="835"/>
      <c r="S2" s="835"/>
      <c r="T2" s="835"/>
      <c r="U2" s="835"/>
      <c r="V2" s="836"/>
      <c r="W2" s="98"/>
      <c r="X2" s="98"/>
      <c r="Y2" s="98"/>
      <c r="Z2" s="98"/>
      <c r="AA2" s="98"/>
      <c r="AB2" s="98"/>
      <c r="AC2" s="98"/>
      <c r="AD2" s="98"/>
      <c r="AE2" s="98"/>
      <c r="AF2" s="98"/>
      <c r="AG2" s="98"/>
      <c r="AH2" s="98"/>
      <c r="AI2" s="98"/>
      <c r="AJ2" s="98"/>
      <c r="AK2" s="98"/>
      <c r="AL2" s="98"/>
      <c r="AM2" s="98"/>
      <c r="AN2" s="98"/>
      <c r="AO2" s="98"/>
      <c r="AP2" s="98"/>
      <c r="AQ2" s="98"/>
      <c r="AR2" s="98"/>
      <c r="AS2" s="98"/>
      <c r="AT2" s="98"/>
    </row>
    <row r="3" spans="1:347" ht="9.75" customHeight="1" x14ac:dyDescent="0.2">
      <c r="A3" s="837" t="s">
        <v>1747</v>
      </c>
      <c r="B3" s="838"/>
      <c r="C3" s="838"/>
      <c r="D3" s="838"/>
      <c r="E3" s="838"/>
      <c r="F3" s="838"/>
      <c r="G3" s="838"/>
      <c r="H3" s="838"/>
      <c r="I3" s="838"/>
      <c r="J3" s="838"/>
      <c r="K3" s="838"/>
      <c r="L3" s="838"/>
      <c r="M3" s="838"/>
      <c r="N3" s="838"/>
      <c r="O3" s="838"/>
      <c r="P3" s="838"/>
      <c r="Q3" s="838"/>
      <c r="R3" s="838"/>
      <c r="S3" s="838"/>
      <c r="T3" s="838"/>
      <c r="U3" s="838"/>
      <c r="V3" s="839"/>
      <c r="W3" s="99"/>
      <c r="X3" s="99"/>
      <c r="Y3" s="99"/>
      <c r="Z3" s="99"/>
      <c r="AA3" s="99"/>
      <c r="AB3" s="99"/>
      <c r="AC3" s="99"/>
      <c r="AD3" s="99"/>
      <c r="AE3" s="99"/>
      <c r="AF3" s="99"/>
      <c r="AG3" s="99"/>
      <c r="AH3" s="99"/>
      <c r="AI3" s="99"/>
      <c r="AJ3" s="99"/>
      <c r="AK3" s="99"/>
      <c r="AL3" s="99"/>
      <c r="AM3" s="99"/>
      <c r="AN3" s="99"/>
      <c r="AO3" s="99"/>
      <c r="AP3" s="99"/>
      <c r="AQ3" s="99"/>
      <c r="AR3" s="99"/>
      <c r="AS3" s="99"/>
      <c r="AT3" s="99"/>
    </row>
    <row r="4" spans="1:347" ht="15.75" customHeight="1" x14ac:dyDescent="0.2">
      <c r="A4" s="845" t="s">
        <v>1748</v>
      </c>
      <c r="B4" s="846"/>
      <c r="C4" s="846"/>
      <c r="D4" s="846"/>
      <c r="E4" s="846"/>
      <c r="F4" s="846"/>
      <c r="G4" s="846"/>
      <c r="H4" s="846"/>
      <c r="I4" s="846"/>
      <c r="J4" s="847"/>
      <c r="K4" s="792" t="s">
        <v>1674</v>
      </c>
      <c r="L4" s="792"/>
      <c r="M4" s="792"/>
      <c r="N4" s="792" t="s">
        <v>1675</v>
      </c>
      <c r="O4" s="792"/>
      <c r="P4" s="792"/>
      <c r="Q4" s="792" t="s">
        <v>1676</v>
      </c>
      <c r="R4" s="792"/>
      <c r="S4" s="792"/>
      <c r="T4" s="792" t="s">
        <v>1677</v>
      </c>
      <c r="U4" s="792"/>
      <c r="V4" s="792"/>
      <c r="W4" s="100"/>
      <c r="X4" s="100"/>
      <c r="Y4" s="100"/>
      <c r="Z4" s="100"/>
      <c r="AA4" s="100"/>
      <c r="AB4" s="840">
        <v>2022</v>
      </c>
      <c r="AC4" s="840"/>
      <c r="AD4" s="840"/>
      <c r="AE4" s="840"/>
      <c r="AF4" s="840"/>
      <c r="AG4" s="840"/>
      <c r="AH4" s="841">
        <v>2023</v>
      </c>
      <c r="AI4" s="841"/>
      <c r="AJ4" s="841"/>
      <c r="AK4" s="841"/>
      <c r="AL4" s="841"/>
      <c r="AM4" s="841"/>
      <c r="AN4" s="841">
        <v>2024</v>
      </c>
      <c r="AO4" s="841"/>
      <c r="AP4" s="841"/>
      <c r="AQ4" s="841"/>
      <c r="AR4" s="841"/>
      <c r="AS4" s="841"/>
      <c r="AT4" s="5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row>
    <row r="5" spans="1:347" s="104" customFormat="1" ht="48.75" customHeight="1" x14ac:dyDescent="0.2">
      <c r="A5" s="102" t="s">
        <v>1749</v>
      </c>
      <c r="B5" s="102" t="s">
        <v>1682</v>
      </c>
      <c r="C5" s="102" t="s">
        <v>1683</v>
      </c>
      <c r="D5" s="102" t="s">
        <v>1684</v>
      </c>
      <c r="E5" s="102" t="s">
        <v>1685</v>
      </c>
      <c r="F5" s="102" t="s">
        <v>1686</v>
      </c>
      <c r="G5" s="102" t="s">
        <v>1750</v>
      </c>
      <c r="H5" s="102" t="s">
        <v>1688</v>
      </c>
      <c r="I5" s="102" t="s">
        <v>1689</v>
      </c>
      <c r="J5" s="102" t="s">
        <v>1690</v>
      </c>
      <c r="K5" s="32" t="s">
        <v>1691</v>
      </c>
      <c r="L5" s="32" t="s">
        <v>1692</v>
      </c>
      <c r="M5" s="32" t="s">
        <v>1693</v>
      </c>
      <c r="N5" s="32" t="s">
        <v>1691</v>
      </c>
      <c r="O5" s="32" t="s">
        <v>1692</v>
      </c>
      <c r="P5" s="32" t="s">
        <v>1693</v>
      </c>
      <c r="Q5" s="32" t="s">
        <v>1691</v>
      </c>
      <c r="R5" s="32" t="s">
        <v>1692</v>
      </c>
      <c r="S5" s="32" t="s">
        <v>1693</v>
      </c>
      <c r="T5" s="32" t="s">
        <v>1691</v>
      </c>
      <c r="U5" s="32" t="s">
        <v>1692</v>
      </c>
      <c r="V5" s="32" t="s">
        <v>1693</v>
      </c>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row>
    <row r="6" spans="1:347" s="101" customFormat="1" ht="156" customHeight="1" x14ac:dyDescent="0.2">
      <c r="A6" s="215" t="s">
        <v>1751</v>
      </c>
      <c r="B6" s="215" t="s">
        <v>1751</v>
      </c>
      <c r="C6" s="842" t="s">
        <v>1752</v>
      </c>
      <c r="D6" s="214" t="s">
        <v>1753</v>
      </c>
      <c r="E6" s="214" t="s">
        <v>256</v>
      </c>
      <c r="F6" s="106">
        <v>0</v>
      </c>
      <c r="G6" s="212">
        <v>0</v>
      </c>
      <c r="H6" s="212">
        <v>0.1</v>
      </c>
      <c r="I6" s="212">
        <f>'Plan de Acción 2022'!R287</f>
        <v>0.25</v>
      </c>
      <c r="J6" s="212">
        <v>1</v>
      </c>
      <c r="K6" s="212">
        <f>('Plan de Acción 2022'!W58+'Plan de Acción 2022'!W59+'Plan de Acción 2022'!W60+'Plan de Acción 2022'!W287+'Plan de Acción 2022'!W365+'Plan de Acción 2022'!W367)/6</f>
        <v>0.71666666666666667</v>
      </c>
      <c r="L6" s="212">
        <f>(K6*15%)/(I6-H6)</f>
        <v>0.71666666666666667</v>
      </c>
      <c r="M6" s="212" t="s">
        <v>1052</v>
      </c>
      <c r="N6" s="212">
        <f>('Plan de Acción 2022'!Z58+'Plan de Acción 2022'!Z59+'Plan de Acción 2022'!Z60+'Plan de Acción 2022'!Z287+'Plan de Acción 2022'!Z365+'Plan de Acción 2022'!Z367)/6</f>
        <v>0</v>
      </c>
      <c r="O6" s="212">
        <f>(N6*15%)/(I6-H6)</f>
        <v>0</v>
      </c>
      <c r="P6" s="106"/>
      <c r="Q6" s="212">
        <f>('Plan de Acción 2022'!AC58+'Plan de Acción 2022'!AC59+'Plan de Acción 2022'!AC60+'Plan de Acción 2022'!AC287+'Plan de Acción 2022'!AC365+'Plan de Acción 2022'!AC367)/6</f>
        <v>0</v>
      </c>
      <c r="R6" s="212">
        <f>(Q6*15%)/(I6-H6)</f>
        <v>0</v>
      </c>
      <c r="S6" s="106"/>
      <c r="T6" s="212">
        <f>('Plan de Acción 2022'!AF58+'Plan de Acción 2022'!AF59+'Plan de Acción 2022'!AF60+'Plan de Acción 2022'!AF287+'Plan de Acción 2022'!AF365+'Plan de Acción 2022'!AF367)/6</f>
        <v>0</v>
      </c>
      <c r="U6" s="212">
        <f>(T6*15%)/(I6-H6)</f>
        <v>0</v>
      </c>
      <c r="V6" s="106"/>
    </row>
    <row r="7" spans="1:347" ht="78.75" x14ac:dyDescent="0.2">
      <c r="A7" s="502" t="s">
        <v>1751</v>
      </c>
      <c r="B7" s="107" t="s">
        <v>1697</v>
      </c>
      <c r="C7" s="842"/>
      <c r="D7" s="219" t="s">
        <v>1754</v>
      </c>
      <c r="E7" s="219" t="s">
        <v>272</v>
      </c>
      <c r="F7" s="105">
        <v>0</v>
      </c>
      <c r="G7" s="108">
        <v>0.15</v>
      </c>
      <c r="H7" s="108">
        <v>0.02</v>
      </c>
      <c r="I7" s="108">
        <f>'Plan de Acción 2022'!R288</f>
        <v>0.15</v>
      </c>
      <c r="J7" s="108">
        <v>0.5</v>
      </c>
      <c r="K7" s="108">
        <f>'Plan de Acción 2022'!W61</f>
        <v>0.1</v>
      </c>
      <c r="L7" s="212">
        <f>(K7*13%)/(I7-H7)</f>
        <v>0.1</v>
      </c>
      <c r="M7" s="212" t="s">
        <v>266</v>
      </c>
      <c r="N7" s="105"/>
      <c r="O7" s="212">
        <f>(N7*12%)/(I7-H7)</f>
        <v>0</v>
      </c>
      <c r="P7" s="105"/>
      <c r="Q7" s="108"/>
      <c r="R7" s="212">
        <f>(Q7*12%)/(I7-H7)</f>
        <v>0</v>
      </c>
      <c r="S7" s="109"/>
      <c r="T7" s="108"/>
      <c r="U7" s="212">
        <f>(T7*12%)/(I7-H7)</f>
        <v>0</v>
      </c>
      <c r="V7" s="105"/>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row>
    <row r="8" spans="1:347" ht="78.75" x14ac:dyDescent="0.2">
      <c r="A8" s="110" t="s">
        <v>1751</v>
      </c>
      <c r="B8" s="110" t="s">
        <v>1755</v>
      </c>
      <c r="C8" s="843" t="s">
        <v>1756</v>
      </c>
      <c r="D8" s="110" t="s">
        <v>893</v>
      </c>
      <c r="E8" s="110" t="s">
        <v>895</v>
      </c>
      <c r="F8" s="111">
        <f>10/150</f>
        <v>6.6666666666666666E-2</v>
      </c>
      <c r="G8" s="112">
        <v>0.08</v>
      </c>
      <c r="H8" s="112">
        <v>2.0000000000000001E-4</v>
      </c>
      <c r="I8" s="112">
        <f>'Plan de Acción 2022'!R249</f>
        <v>0.12</v>
      </c>
      <c r="J8" s="112">
        <v>0.2</v>
      </c>
      <c r="K8" s="112">
        <f>'Plan de Acción 2022'!W249</f>
        <v>0</v>
      </c>
      <c r="L8" s="416">
        <f>(K8*12%)/(I8-H8)</f>
        <v>0</v>
      </c>
      <c r="M8" s="419" t="s">
        <v>1757</v>
      </c>
      <c r="N8" s="112">
        <f>'Plan de Acción 2022'!Z249</f>
        <v>0</v>
      </c>
      <c r="O8" s="212">
        <f>(N8*12%)/(I8-H8)</f>
        <v>0</v>
      </c>
      <c r="P8" s="113"/>
      <c r="Q8" s="112">
        <f>'Plan de Acción 2022'!AC249</f>
        <v>0</v>
      </c>
      <c r="R8" s="212">
        <f>(Q8*12%)/(I8-H8)</f>
        <v>0</v>
      </c>
      <c r="S8" s="113"/>
      <c r="T8" s="112">
        <f>'Plan de Acción 2022'!AF249</f>
        <v>0</v>
      </c>
      <c r="U8" s="212">
        <f>(T8*12%)/(I8-H8)</f>
        <v>0</v>
      </c>
      <c r="V8" s="114"/>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row>
    <row r="9" spans="1:347" s="101" customFormat="1" ht="135" customHeight="1" x14ac:dyDescent="0.2">
      <c r="A9" s="498" t="s">
        <v>1751</v>
      </c>
      <c r="B9" s="498" t="s">
        <v>1755</v>
      </c>
      <c r="C9" s="844"/>
      <c r="D9" s="498" t="s">
        <v>1758</v>
      </c>
      <c r="E9" s="498" t="s">
        <v>889</v>
      </c>
      <c r="F9" s="115">
        <v>0.05</v>
      </c>
      <c r="G9" s="115">
        <v>0.3</v>
      </c>
      <c r="H9" s="115">
        <v>0.3</v>
      </c>
      <c r="I9" s="115">
        <f>'Plan de Acción 2022'!R248</f>
        <v>0.6</v>
      </c>
      <c r="J9" s="115">
        <v>1</v>
      </c>
      <c r="K9" s="115">
        <f>'Plan de Acción 2022'!W248</f>
        <v>0.25</v>
      </c>
      <c r="L9" s="212">
        <f>(K9*30%)/(I9-H9)</f>
        <v>0.25</v>
      </c>
      <c r="M9" s="115" t="s">
        <v>1759</v>
      </c>
      <c r="N9" s="115">
        <f>'Plan de Acción 2022'!Z248</f>
        <v>0</v>
      </c>
      <c r="O9" s="212">
        <f>(N9*30%)/(I9-H9)</f>
        <v>0</v>
      </c>
      <c r="P9" s="115"/>
      <c r="Q9" s="115">
        <f>'Plan de Acción 2022'!AC248</f>
        <v>0</v>
      </c>
      <c r="R9" s="212">
        <f>(Q9*30%)/(I9-H9)</f>
        <v>0</v>
      </c>
      <c r="S9" s="116"/>
      <c r="T9" s="115">
        <f>'Plan de Acción 2022'!AF248</f>
        <v>0</v>
      </c>
      <c r="U9" s="212">
        <f>(T9*30%)/(I9-H9)</f>
        <v>0</v>
      </c>
      <c r="V9" s="11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row>
    <row r="10" spans="1:347" s="101" customFormat="1" ht="141.75" x14ac:dyDescent="0.2">
      <c r="A10" s="498" t="s">
        <v>1751</v>
      </c>
      <c r="B10" s="498" t="s">
        <v>1755</v>
      </c>
      <c r="C10" s="844"/>
      <c r="D10" s="499" t="s">
        <v>1760</v>
      </c>
      <c r="E10" s="498" t="s">
        <v>874</v>
      </c>
      <c r="F10" s="209" t="s">
        <v>1761</v>
      </c>
      <c r="G10" s="115">
        <v>0</v>
      </c>
      <c r="H10" s="115">
        <v>0</v>
      </c>
      <c r="I10" s="115">
        <f>'Plan de Acción 2022'!R245</f>
        <v>0.33</v>
      </c>
      <c r="J10" s="209">
        <v>1300</v>
      </c>
      <c r="K10" s="115">
        <f>'Plan de Acción 2022'!W245</f>
        <v>0.97</v>
      </c>
      <c r="L10" s="212">
        <f>(K10*33%)/(I10-H10)</f>
        <v>0.97</v>
      </c>
      <c r="M10" s="209" t="s">
        <v>1762</v>
      </c>
      <c r="N10" s="115">
        <f>('Plan de Acción 2022'!Z245+'Plan de Acción 2022'!Z246+'Plan de Acción 2022'!Z247)/3</f>
        <v>0</v>
      </c>
      <c r="O10" s="212">
        <f>(N10*33%)/(I10-H10)</f>
        <v>0</v>
      </c>
      <c r="P10" s="498"/>
      <c r="Q10" s="115">
        <f>('Plan de Acción 2022'!AC245+'Plan de Acción 2022'!AC246+'Plan de Acción 2022'!AC247)/3</f>
        <v>0</v>
      </c>
      <c r="R10" s="212">
        <f>(Q10*33%)/(I10-H10)</f>
        <v>0</v>
      </c>
      <c r="S10" s="505"/>
      <c r="T10" s="115">
        <f>('Plan de Acción 2022'!AF245+'Plan de Acción 2022'!AF246+'Plan de Acción 2022'!AF247)/3</f>
        <v>0</v>
      </c>
      <c r="U10" s="212">
        <f>(T10*33%)/(I10-H10)</f>
        <v>0</v>
      </c>
      <c r="V10" s="210"/>
    </row>
    <row r="11" spans="1:347" s="101" customFormat="1" ht="110.25" x14ac:dyDescent="0.2">
      <c r="A11" s="498" t="s">
        <v>1751</v>
      </c>
      <c r="B11" s="498" t="s">
        <v>1763</v>
      </c>
      <c r="C11" s="831" t="s">
        <v>1764</v>
      </c>
      <c r="D11" s="499" t="s">
        <v>1765</v>
      </c>
      <c r="E11" s="498" t="s">
        <v>957</v>
      </c>
      <c r="F11" s="115">
        <v>0.04</v>
      </c>
      <c r="G11" s="205">
        <v>0</v>
      </c>
      <c r="H11" s="115">
        <v>0</v>
      </c>
      <c r="I11" s="205">
        <f>'Plan de Acción 2022'!R262</f>
        <v>0.1</v>
      </c>
      <c r="J11" s="125">
        <v>0.2</v>
      </c>
      <c r="K11" s="125">
        <f>('Plan de Acción 2022'!W262+'Plan de Acción 2022'!W263+'Plan de Acción 2022'!W264+'Plan de Acción 2022'!W265+'Plan de Acción 2022'!W266+'Plan de Acción 2022'!W267+'Plan de Acción 2022'!W268+'Plan de Acción 2022'!W269+'Plan de Acción 2022'!W270+'Plan de Acción 2022'!W271+'Plan de Acción 2022'!W272+'Plan de Acción 2022'!W273+'Plan de Acción 2022'!W274+'Plan de Acción 2022'!W275+'Plan de Acción 2022'!W276+'Plan de Acción 2022'!W277+'Plan de Acción 2022'!W278+'Plan de Acción 2022'!W279+'Plan de Acción 2022'!W280+'Plan de Acción 2022'!W281)/18</f>
        <v>0.28333333333333338</v>
      </c>
      <c r="L11" s="212">
        <f>(K11*10%)/(I11-H11)</f>
        <v>0.28333333333333338</v>
      </c>
      <c r="M11" s="125" t="s">
        <v>1766</v>
      </c>
      <c r="N11" s="125">
        <f>('Plan de Acción 2022'!Z262+'Plan de Acción 2022'!Z263+'Plan de Acción 2022'!Z264+'Plan de Acción 2022'!Z265+'Plan de Acción 2022'!Z266+'Plan de Acción 2022'!Z267+'Plan de Acción 2022'!Z268+'Plan de Acción 2022'!Z269+'Plan de Acción 2022'!Z270+'Plan de Acción 2022'!Z271+'Plan de Acción 2022'!Z272+'Plan de Acción 2022'!Z273+'Plan de Acción 2022'!Z274+'Plan de Acción 2022'!Z275+'Plan de Acción 2022'!Z276+'Plan de Acción 2022'!Z277+'Plan de Acción 2022'!Z278+'Plan de Acción 2022'!Z279+'Plan de Acción 2022'!Z280+'Plan de Acción 2022'!Z281)/18</f>
        <v>0</v>
      </c>
      <c r="O11" s="212">
        <f>(N11*10%)/(I11-H11)</f>
        <v>0</v>
      </c>
      <c r="P11" s="499"/>
      <c r="Q11" s="125">
        <f>('Plan de Acción 2022'!AC262+'Plan de Acción 2022'!AC263+'Plan de Acción 2022'!AC264+'Plan de Acción 2022'!AC265+'Plan de Acción 2022'!AC266+'Plan de Acción 2022'!AC267+'Plan de Acción 2022'!AC268+'Plan de Acción 2022'!AC269+'Plan de Acción 2022'!AC270+'Plan de Acción 2022'!AC271+'Plan de Acción 2022'!AC272+'Plan de Acción 2022'!AC273+'Plan de Acción 2022'!AC274+'Plan de Acción 2022'!AC275+'Plan de Acción 2022'!AC276+'Plan de Acción 2022'!AC277+'Plan de Acción 2022'!AC278+'Plan de Acción 2022'!AC279+'Plan de Acción 2022'!AC280+'Plan de Acción 2022'!AC281)/18</f>
        <v>0</v>
      </c>
      <c r="R11" s="212">
        <f>(Q11*10%)/(I11-H11)</f>
        <v>0</v>
      </c>
      <c r="S11" s="498"/>
      <c r="T11" s="125">
        <f>('Plan de Acción 2022'!AF262+'Plan de Acción 2022'!AF263+'Plan de Acción 2022'!AF264+'Plan de Acción 2022'!AF265+'Plan de Acción 2022'!AF266+'Plan de Acción 2022'!AF267+'Plan de Acción 2022'!AF268+'Plan de Acción 2022'!AF269+'Plan de Acción 2022'!AF270+'Plan de Acción 2022'!AF271+'Plan de Acción 2022'!AF272+'Plan de Acción 2022'!AF273+'Plan de Acción 2022'!AF274+'Plan de Acción 2022'!AF275+'Plan de Acción 2022'!AF276+'Plan de Acción 2022'!AF277+'Plan de Acción 2022'!AF278+'Plan de Acción 2022'!AF279+'Plan de Acción 2022'!AF280+'Plan de Acción 2022'!AF281)/18</f>
        <v>0</v>
      </c>
      <c r="U11" s="212">
        <f>(T11*10%)/(I11-H11)</f>
        <v>0</v>
      </c>
      <c r="V11" s="498"/>
    </row>
    <row r="12" spans="1:347" s="101" customFormat="1" ht="283.5" x14ac:dyDescent="0.2">
      <c r="A12" s="498" t="s">
        <v>1751</v>
      </c>
      <c r="B12" s="498" t="s">
        <v>1763</v>
      </c>
      <c r="C12" s="831"/>
      <c r="D12" s="498" t="s">
        <v>1767</v>
      </c>
      <c r="E12" s="498" t="s">
        <v>926</v>
      </c>
      <c r="F12" s="498">
        <v>0</v>
      </c>
      <c r="G12" s="115">
        <v>0</v>
      </c>
      <c r="H12" s="115">
        <v>0</v>
      </c>
      <c r="I12" s="115">
        <f>'Plan de Acción 2022'!R255</f>
        <v>0.33</v>
      </c>
      <c r="J12" s="498">
        <v>3600</v>
      </c>
      <c r="K12" s="125">
        <f>('Plan de Acción 2022'!W259+'Plan de Acción 2022'!W255+'Plan de Acción 2022'!W256+'Plan de Acción 2022'!W257+'Plan de Acción 2022'!W258+'Plan de Acción 2022'!W260+'Plan de Acción 2022'!W261)/7</f>
        <v>0.4642857142857143</v>
      </c>
      <c r="L12" s="212">
        <f>(K12*33%)/(I12-H12)</f>
        <v>0.4642857142857143</v>
      </c>
      <c r="M12" s="498" t="s">
        <v>1768</v>
      </c>
      <c r="N12" s="125">
        <f>('Plan de Acción 2022'!Z259+'Plan de Acción 2022'!Z255+'Plan de Acción 2022'!Z256+'Plan de Acción 2022'!Z257+'Plan de Acción 2022'!Z258+'Plan de Acción 2022'!Z260+'Plan de Acción 2022'!Z261)/7</f>
        <v>0</v>
      </c>
      <c r="O12" s="212">
        <f>(N12*33%)/(I12-H12)</f>
        <v>0</v>
      </c>
      <c r="P12" s="499"/>
      <c r="Q12" s="125">
        <f>('Plan de Acción 2022'!AC259+'Plan de Acción 2022'!AC255+'Plan de Acción 2022'!AC256+'Plan de Acción 2022'!AC257+'Plan de Acción 2022'!AC258+'Plan de Acción 2022'!AC260+'Plan de Acción 2022'!AC261)/7</f>
        <v>0</v>
      </c>
      <c r="R12" s="212">
        <f>(Q12*33%)/(I12-H12)</f>
        <v>0</v>
      </c>
      <c r="S12" s="498"/>
      <c r="T12" s="125">
        <f>('Plan de Acción 2022'!AF259+'Plan de Acción 2022'!AF255+'Plan de Acción 2022'!AF256+'Plan de Acción 2022'!AF257+'Plan de Acción 2022'!AF258+'Plan de Acción 2022'!AF260+'Plan de Acción 2022'!AF261)/7</f>
        <v>0</v>
      </c>
      <c r="U12" s="212">
        <f>(T12*33%)/(I12-H12)</f>
        <v>0</v>
      </c>
      <c r="V12" s="498"/>
    </row>
    <row r="13" spans="1:347" ht="117.75" customHeight="1" x14ac:dyDescent="0.2">
      <c r="A13" s="497" t="s">
        <v>1751</v>
      </c>
      <c r="B13" s="118" t="s">
        <v>1763</v>
      </c>
      <c r="C13" s="831"/>
      <c r="D13" s="118" t="s">
        <v>917</v>
      </c>
      <c r="E13" s="497" t="s">
        <v>920</v>
      </c>
      <c r="F13" s="497">
        <v>0</v>
      </c>
      <c r="G13" s="119" t="s">
        <v>1769</v>
      </c>
      <c r="H13" s="120">
        <v>0.01</v>
      </c>
      <c r="I13" s="119">
        <f>'Plan de Acción 2022'!R254</f>
        <v>0.66</v>
      </c>
      <c r="J13" s="497">
        <v>3</v>
      </c>
      <c r="K13" s="220">
        <f>('Plan de Acción 2022'!W254)</f>
        <v>0.35</v>
      </c>
      <c r="L13" s="212">
        <f>(K13*65%)/(I13-H13)</f>
        <v>0.35</v>
      </c>
      <c r="M13" s="499" t="s">
        <v>916</v>
      </c>
      <c r="N13" s="220">
        <f>('Plan de Acción 2022'!Z254)</f>
        <v>0</v>
      </c>
      <c r="O13" s="212">
        <f>(N13*65%)/(I13-H13)</f>
        <v>0</v>
      </c>
      <c r="P13" s="503"/>
      <c r="Q13" s="220">
        <f>('Plan de Acción 2022'!AC254)</f>
        <v>0</v>
      </c>
      <c r="R13" s="212">
        <f>(Q13*65%)/(I13-H13)</f>
        <v>0</v>
      </c>
      <c r="S13" s="503"/>
      <c r="T13" s="220">
        <f>('Plan de Acción 2022'!AF254)</f>
        <v>0</v>
      </c>
      <c r="U13" s="212">
        <f>(T13*54%)/(I13-H13)</f>
        <v>0</v>
      </c>
      <c r="V13" s="12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N13" s="101"/>
      <c r="LO13" s="101"/>
      <c r="LP13" s="101"/>
      <c r="LQ13" s="101"/>
      <c r="LR13" s="101"/>
      <c r="LS13" s="101"/>
      <c r="LT13" s="101"/>
      <c r="LU13" s="101"/>
      <c r="LV13" s="101"/>
      <c r="LW13" s="101"/>
      <c r="LX13" s="101"/>
      <c r="LY13" s="101"/>
      <c r="LZ13" s="101"/>
      <c r="MA13" s="101"/>
      <c r="MB13" s="101"/>
      <c r="MC13" s="101"/>
      <c r="MD13" s="101"/>
      <c r="ME13" s="101"/>
      <c r="MF13" s="101"/>
      <c r="MG13" s="101"/>
      <c r="MH13" s="101"/>
      <c r="MI13" s="101"/>
    </row>
    <row r="14" spans="1:347" s="101" customFormat="1" ht="299.25" x14ac:dyDescent="0.2">
      <c r="A14" s="498" t="s">
        <v>1751</v>
      </c>
      <c r="B14" s="498" t="s">
        <v>1763</v>
      </c>
      <c r="C14" s="831"/>
      <c r="D14" s="498" t="s">
        <v>901</v>
      </c>
      <c r="E14" s="499" t="s">
        <v>904</v>
      </c>
      <c r="F14" s="498">
        <v>0</v>
      </c>
      <c r="G14" s="205">
        <v>0</v>
      </c>
      <c r="H14" s="125">
        <v>0</v>
      </c>
      <c r="I14" s="205">
        <f>'Plan de Acción 2022'!R250</f>
        <v>0.1</v>
      </c>
      <c r="J14" s="115">
        <v>0.1</v>
      </c>
      <c r="K14" s="115">
        <f>('Plan de Acción 2022'!W250+'Plan de Acción 2022'!W251+'Plan de Acción 2022'!W252+'Plan de Acción 2022'!W253)/4</f>
        <v>0.375</v>
      </c>
      <c r="L14" s="212">
        <f>(K14*10%)/(I14-H14)</f>
        <v>0.37500000000000006</v>
      </c>
      <c r="M14" s="115" t="s">
        <v>1770</v>
      </c>
      <c r="N14" s="115">
        <f>('Plan de Acción 2022'!Z250+'Plan de Acción 2022'!Z251+'Plan de Acción 2022'!Z252+'Plan de Acción 2022'!Z253)/4</f>
        <v>0</v>
      </c>
      <c r="O14" s="212">
        <f>(N14*10%)/(I14-H14)</f>
        <v>0</v>
      </c>
      <c r="P14" s="499"/>
      <c r="Q14" s="115">
        <f>('Plan de Acción 2022'!AC250+'Plan de Acción 2022'!AC251+'Plan de Acción 2022'!AC252+'Plan de Acción 2022'!AC253)/4</f>
        <v>0</v>
      </c>
      <c r="R14" s="212">
        <f>(Q14*10%)/(I14-H14)</f>
        <v>0</v>
      </c>
      <c r="S14" s="499"/>
      <c r="T14" s="115">
        <f>('Plan de Acción 2022'!AF250+'Plan de Acción 2022'!AF251+'Plan de Acción 2022'!AF252+'Plan de Acción 2022'!AF253)/4</f>
        <v>0</v>
      </c>
      <c r="U14" s="212">
        <f>(T14*10%)/(I14-H14)</f>
        <v>0</v>
      </c>
      <c r="V14" s="206"/>
    </row>
    <row r="15" spans="1:347" s="101" customFormat="1" ht="122.25" customHeight="1" x14ac:dyDescent="0.2">
      <c r="A15" s="498" t="s">
        <v>1656</v>
      </c>
      <c r="B15" s="498" t="s">
        <v>1771</v>
      </c>
      <c r="C15" s="831" t="s">
        <v>1772</v>
      </c>
      <c r="D15" s="498" t="s">
        <v>1409</v>
      </c>
      <c r="E15" s="498" t="s">
        <v>1773</v>
      </c>
      <c r="F15" s="498">
        <v>0</v>
      </c>
      <c r="G15" s="115">
        <v>0.5</v>
      </c>
      <c r="H15" s="115">
        <v>0.5</v>
      </c>
      <c r="I15" s="115">
        <f>'Plan de Acción 2022'!R407</f>
        <v>1</v>
      </c>
      <c r="J15" s="115">
        <v>1</v>
      </c>
      <c r="K15" s="115">
        <f>('Plan de Acción 2022'!W407+'Plan de Acción 2022'!W408+'Plan de Acción 2022'!W409+'Plan de Acción 2022'!W410+'Plan de Acción 2022'!W411)/5</f>
        <v>0.04</v>
      </c>
      <c r="L15" s="212">
        <f>(K15*50%)/(I15-H15)</f>
        <v>0.04</v>
      </c>
      <c r="M15" s="115" t="s">
        <v>1413</v>
      </c>
      <c r="N15" s="115">
        <f>('Plan de Acción 2022'!Z407+'Plan de Acción 2022'!Z408+'Plan de Acción 2022'!Z409+'Plan de Acción 2022'!Z410+'Plan de Acción 2022'!Z411)/5</f>
        <v>0</v>
      </c>
      <c r="O15" s="212">
        <f>(N15*50%)/(I15-H15)</f>
        <v>0</v>
      </c>
      <c r="P15" s="115"/>
      <c r="Q15" s="115">
        <f>('Plan de Acción 2022'!AC407+'Plan de Acción 2022'!AC408+'Plan de Acción 2022'!AC409+'Plan de Acción 2022'!AC410+'Plan de Acción 2022'!AC411)/5</f>
        <v>0</v>
      </c>
      <c r="R15" s="212">
        <f>(Q15*50%)/(I15-H15)</f>
        <v>0</v>
      </c>
      <c r="S15" s="115"/>
      <c r="T15" s="115">
        <f>('Plan de Acción 2022'!AF407+'Plan de Acción 2022'!AF408+'Plan de Acción 2022'!AF409+'Plan de Acción 2022'!AF410+'Plan de Acción 2022'!AF411)/5</f>
        <v>0</v>
      </c>
      <c r="U15" s="212">
        <f>(T15*50%)/(I15-H15)</f>
        <v>0</v>
      </c>
      <c r="V15" s="213"/>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row>
    <row r="16" spans="1:347" s="101" customFormat="1" ht="88.5" customHeight="1" x14ac:dyDescent="0.2">
      <c r="A16" s="498" t="s">
        <v>1656</v>
      </c>
      <c r="B16" s="498" t="s">
        <v>1771</v>
      </c>
      <c r="C16" s="831"/>
      <c r="D16" s="207" t="s">
        <v>1774</v>
      </c>
      <c r="E16" s="207" t="s">
        <v>1775</v>
      </c>
      <c r="F16" s="498">
        <v>0</v>
      </c>
      <c r="G16" s="115">
        <v>1</v>
      </c>
      <c r="H16" s="115">
        <v>1</v>
      </c>
      <c r="I16" s="115" t="s">
        <v>52</v>
      </c>
      <c r="J16" s="115">
        <v>1</v>
      </c>
      <c r="K16" s="115"/>
      <c r="L16" s="115" t="s">
        <v>52</v>
      </c>
      <c r="M16" s="212" t="s">
        <v>52</v>
      </c>
      <c r="N16" s="212" t="s">
        <v>52</v>
      </c>
      <c r="O16" s="115" t="s">
        <v>52</v>
      </c>
      <c r="P16" s="212" t="s">
        <v>52</v>
      </c>
      <c r="Q16" s="212" t="s">
        <v>52</v>
      </c>
      <c r="R16" s="115" t="s">
        <v>52</v>
      </c>
      <c r="S16" s="212" t="s">
        <v>52</v>
      </c>
      <c r="T16" s="212" t="s">
        <v>52</v>
      </c>
      <c r="U16" s="115" t="s">
        <v>52</v>
      </c>
      <c r="V16" s="212" t="s">
        <v>52</v>
      </c>
    </row>
    <row r="17" spans="1:347" ht="93" customHeight="1" x14ac:dyDescent="0.2">
      <c r="A17" s="497" t="s">
        <v>1656</v>
      </c>
      <c r="B17" s="497" t="s">
        <v>1771</v>
      </c>
      <c r="C17" s="831"/>
      <c r="D17" s="498" t="s">
        <v>1776</v>
      </c>
      <c r="E17" s="497" t="s">
        <v>1777</v>
      </c>
      <c r="F17" s="497">
        <v>0</v>
      </c>
      <c r="G17" s="119">
        <v>0.3</v>
      </c>
      <c r="H17" s="115">
        <v>0.3</v>
      </c>
      <c r="I17" s="119">
        <f>'Plan de Acción 2022'!R412</f>
        <v>0.6</v>
      </c>
      <c r="J17" s="119">
        <v>1</v>
      </c>
      <c r="K17" s="119">
        <f>('Plan de Acción 2022'!W412)</f>
        <v>0</v>
      </c>
      <c r="L17" s="416">
        <f>(K17*30%)/(I17-H17)</f>
        <v>0</v>
      </c>
      <c r="M17" s="119" t="s">
        <v>1422</v>
      </c>
      <c r="N17" s="119">
        <f>('Plan de Acción 2022'!Z412)</f>
        <v>0</v>
      </c>
      <c r="O17" s="212">
        <f>(N17*30%)/(I17-H17)</f>
        <v>0</v>
      </c>
      <c r="P17" s="497"/>
      <c r="Q17" s="119">
        <f>('Plan de Acción 2022'!AC412)</f>
        <v>0</v>
      </c>
      <c r="R17" s="212">
        <f>(Q17*30%)/(I17-H17)</f>
        <v>0</v>
      </c>
      <c r="S17" s="115"/>
      <c r="T17" s="119">
        <f>('Plan de Acción 2022'!AF412)</f>
        <v>0</v>
      </c>
      <c r="U17" s="212">
        <f>(T17*30%)/(I17-H17)</f>
        <v>0</v>
      </c>
      <c r="V17" s="213"/>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row>
    <row r="18" spans="1:347" s="101" customFormat="1" ht="173.25" x14ac:dyDescent="0.2">
      <c r="A18" s="498" t="s">
        <v>1656</v>
      </c>
      <c r="B18" s="498" t="s">
        <v>1771</v>
      </c>
      <c r="C18" s="831"/>
      <c r="D18" s="207" t="s">
        <v>1778</v>
      </c>
      <c r="E18" s="207" t="s">
        <v>1779</v>
      </c>
      <c r="F18" s="115">
        <v>0</v>
      </c>
      <c r="G18" s="115">
        <v>0</v>
      </c>
      <c r="H18" s="115">
        <v>0</v>
      </c>
      <c r="I18" s="115">
        <v>0</v>
      </c>
      <c r="J18" s="115">
        <v>1</v>
      </c>
      <c r="K18" s="212"/>
      <c r="L18" s="115" t="s">
        <v>52</v>
      </c>
      <c r="M18" s="115" t="s">
        <v>52</v>
      </c>
      <c r="N18" s="115" t="s">
        <v>52</v>
      </c>
      <c r="O18" s="115" t="s">
        <v>52</v>
      </c>
      <c r="P18" s="115" t="s">
        <v>52</v>
      </c>
      <c r="Q18" s="115" t="s">
        <v>52</v>
      </c>
      <c r="R18" s="115" t="s">
        <v>52</v>
      </c>
      <c r="S18" s="212" t="s">
        <v>52</v>
      </c>
      <c r="T18" s="212" t="s">
        <v>52</v>
      </c>
      <c r="U18" s="115" t="s">
        <v>52</v>
      </c>
      <c r="V18" s="212" t="s">
        <v>52</v>
      </c>
    </row>
    <row r="19" spans="1:347" s="101" customFormat="1" ht="173.25" x14ac:dyDescent="0.2">
      <c r="A19" s="498" t="s">
        <v>1656</v>
      </c>
      <c r="B19" s="498" t="s">
        <v>1771</v>
      </c>
      <c r="C19" s="831"/>
      <c r="D19" s="207" t="s">
        <v>1780</v>
      </c>
      <c r="E19" s="207" t="s">
        <v>1781</v>
      </c>
      <c r="F19" s="115">
        <v>0</v>
      </c>
      <c r="G19" s="115">
        <v>0</v>
      </c>
      <c r="H19" s="115">
        <v>0</v>
      </c>
      <c r="I19" s="115">
        <v>0</v>
      </c>
      <c r="J19" s="115">
        <v>1</v>
      </c>
      <c r="K19" s="212" t="s">
        <v>52</v>
      </c>
      <c r="L19" s="115" t="s">
        <v>52</v>
      </c>
      <c r="M19" s="212" t="s">
        <v>52</v>
      </c>
      <c r="N19" s="212" t="s">
        <v>52</v>
      </c>
      <c r="O19" s="115" t="s">
        <v>52</v>
      </c>
      <c r="P19" s="212" t="s">
        <v>52</v>
      </c>
      <c r="Q19" s="212" t="s">
        <v>52</v>
      </c>
      <c r="R19" s="115" t="s">
        <v>52</v>
      </c>
      <c r="S19" s="115" t="s">
        <v>52</v>
      </c>
      <c r="T19" s="212" t="s">
        <v>52</v>
      </c>
      <c r="U19" s="115" t="s">
        <v>52</v>
      </c>
      <c r="V19" s="115" t="s">
        <v>52</v>
      </c>
    </row>
    <row r="20" spans="1:347" s="101" customFormat="1" ht="174.75" customHeight="1" x14ac:dyDescent="0.2">
      <c r="A20" s="498" t="s">
        <v>1656</v>
      </c>
      <c r="B20" s="498" t="s">
        <v>1782</v>
      </c>
      <c r="C20" s="851" t="s">
        <v>1783</v>
      </c>
      <c r="D20" s="499" t="s">
        <v>1208</v>
      </c>
      <c r="E20" s="498" t="s">
        <v>1209</v>
      </c>
      <c r="F20" s="498">
        <v>0</v>
      </c>
      <c r="G20" s="115">
        <v>1</v>
      </c>
      <c r="H20" s="115">
        <v>1</v>
      </c>
      <c r="I20" s="115">
        <f>'Plan de Acción 2022'!R413</f>
        <v>1</v>
      </c>
      <c r="J20" s="115">
        <v>1</v>
      </c>
      <c r="K20" s="115">
        <f>('Plan de Acción 2022'!W413+'Plan de Acción 2022'!W414+'Plan de Acción 2022'!W415+'Plan de Acción 2022'!W416)/4</f>
        <v>0.27500000000000002</v>
      </c>
      <c r="L20" s="212">
        <f>(K20*100%)/I20</f>
        <v>0.27500000000000002</v>
      </c>
      <c r="M20" s="115" t="s">
        <v>1784</v>
      </c>
      <c r="N20" s="115">
        <f>('Plan de Acción 2022'!Z413+'Plan de Acción 2022'!Z414+'Plan de Acción 2022'!Z415+'Plan de Acción 2022'!Z416)/4</f>
        <v>0</v>
      </c>
      <c r="O20" s="212">
        <f>(N20*100%)/20</f>
        <v>0</v>
      </c>
      <c r="P20" s="115"/>
      <c r="Q20" s="115">
        <f>('Plan de Acción 2022'!AC413+'Plan de Acción 2022'!AC414+'Plan de Acción 2022'!AC415+'Plan de Acción 2022'!AC416)/4</f>
        <v>0</v>
      </c>
      <c r="R20" s="212">
        <f>(Q20*100%)/I20</f>
        <v>0</v>
      </c>
      <c r="S20" s="115"/>
      <c r="T20" s="115">
        <f>('Plan de Acción 2022'!AF413+'Plan de Acción 2022'!AF414+'Plan de Acción 2022'!AF415+'Plan de Acción 2022'!AF416)/4</f>
        <v>0</v>
      </c>
      <c r="U20" s="212">
        <f>(T20*100%)/I20</f>
        <v>0</v>
      </c>
      <c r="V20" s="115">
        <f>('Plan de Acción 2022'!AH413+'Plan de Acción 2022'!AH414+'Plan de Acción 2022'!AH415+'Plan de Acción 2022'!AH416)/4</f>
        <v>0</v>
      </c>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row>
    <row r="21" spans="1:347" s="101" customFormat="1" ht="98.25" customHeight="1" x14ac:dyDescent="0.2">
      <c r="A21" s="498" t="s">
        <v>1656</v>
      </c>
      <c r="B21" s="498" t="s">
        <v>1782</v>
      </c>
      <c r="C21" s="851"/>
      <c r="D21" s="499" t="s">
        <v>1785</v>
      </c>
      <c r="E21" s="498" t="s">
        <v>1118</v>
      </c>
      <c r="F21" s="498">
        <v>0</v>
      </c>
      <c r="G21" s="115">
        <v>1</v>
      </c>
      <c r="H21" s="115">
        <v>1</v>
      </c>
      <c r="I21" s="115">
        <f>'Plan de Acción 2022'!R416</f>
        <v>1</v>
      </c>
      <c r="J21" s="115">
        <v>1</v>
      </c>
      <c r="K21" s="115">
        <f>('Plan de Acción 2022'!W416+'Plan de Acción 2022'!W417+'Plan de Acción 2022'!W418+'Plan de Acción 2022'!W419+'Plan de Acción 2022'!W420+'Plan de Acción 2022'!W421+'Plan de Acción 2022'!W422+'Plan de Acción 2022'!W423+'Plan de Acción 2022'!W424+'Plan de Acción 2022'!W425+'Plan de Acción 2022'!W426+'Plan de Acción 2022'!W428)/11</f>
        <v>0.17727272727272728</v>
      </c>
      <c r="L21" s="212">
        <f t="shared" ref="L21:L24" si="0">(K21*100%)/I21</f>
        <v>0.17727272727272728</v>
      </c>
      <c r="M21" s="115" t="s">
        <v>1786</v>
      </c>
      <c r="N21" s="115">
        <f>('Plan de Acción 2022'!Z416+'Plan de Acción 2022'!Z417+'Plan de Acción 2022'!Z418+'Plan de Acción 2022'!Z419+'Plan de Acción 2022'!Z420+'Plan de Acción 2022'!Z421+'Plan de Acción 2022'!Z422+'Plan de Acción 2022'!Z423+'Plan de Acción 2022'!Z424+'Plan de Acción 2022'!Z425+'Plan de Acción 2022'!Z426+'Plan de Acción 2022'!Z428)/11</f>
        <v>0</v>
      </c>
      <c r="O21" s="212">
        <f>(N21*100%)/20</f>
        <v>0</v>
      </c>
      <c r="P21" s="115"/>
      <c r="Q21" s="115">
        <f>('Plan de Acción 2022'!AC416+'Plan de Acción 2022'!AC417+'Plan de Acción 2022'!AC418+'Plan de Acción 2022'!AC419+'Plan de Acción 2022'!AC420+'Plan de Acción 2022'!AC421+'Plan de Acción 2022'!AC422+'Plan de Acción 2022'!AC423+'Plan de Acción 2022'!AC424+'Plan de Acción 2022'!AC425+'Plan de Acción 2022'!AC426+'Plan de Acción 2022'!AC428)/11</f>
        <v>0</v>
      </c>
      <c r="R21" s="212">
        <f t="shared" ref="R21:R24" si="1">(Q21*100%)/I21</f>
        <v>0</v>
      </c>
      <c r="S21" s="115"/>
      <c r="T21" s="115">
        <f>('Plan de Acción 2022'!AF416+'Plan de Acción 2022'!AF417+'Plan de Acción 2022'!AF418+'Plan de Acción 2022'!AF419+'Plan de Acción 2022'!AF420+'Plan de Acción 2022'!AF421+'Plan de Acción 2022'!AF422+'Plan de Acción 2022'!AF423+'Plan de Acción 2022'!AF424+'Plan de Acción 2022'!AF425+'Plan de Acción 2022'!AF426+'Plan de Acción 2022'!AF428)/11</f>
        <v>0</v>
      </c>
      <c r="U21" s="212">
        <f t="shared" ref="U21:U24" si="2">(T21*100%)/I21</f>
        <v>0</v>
      </c>
      <c r="V21" s="122"/>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row>
    <row r="22" spans="1:347" s="101" customFormat="1" ht="128.25" customHeight="1" x14ac:dyDescent="0.2">
      <c r="A22" s="498" t="s">
        <v>1656</v>
      </c>
      <c r="B22" s="498" t="s">
        <v>1771</v>
      </c>
      <c r="C22" s="851" t="s">
        <v>1787</v>
      </c>
      <c r="D22" s="498" t="s">
        <v>1788</v>
      </c>
      <c r="E22" s="498" t="s">
        <v>1468</v>
      </c>
      <c r="F22" s="498">
        <v>0</v>
      </c>
      <c r="G22" s="115">
        <v>1</v>
      </c>
      <c r="H22" s="120">
        <v>1</v>
      </c>
      <c r="I22" s="115">
        <f>'Plan de Acción 2022'!R417</f>
        <v>1</v>
      </c>
      <c r="J22" s="115">
        <v>1</v>
      </c>
      <c r="K22" s="115">
        <f>'Plan de Acción 2022'!W429</f>
        <v>0.25</v>
      </c>
      <c r="L22" s="212">
        <f t="shared" si="0"/>
        <v>0.25</v>
      </c>
      <c r="M22" s="115" t="s">
        <v>1469</v>
      </c>
      <c r="N22" s="115">
        <f>'Plan de Acción 2022'!Z429</f>
        <v>0</v>
      </c>
      <c r="O22" s="212">
        <f>(N22*100%)/20</f>
        <v>0</v>
      </c>
      <c r="P22" s="115"/>
      <c r="Q22" s="115">
        <f>'Plan de Acción 2022'!AC429</f>
        <v>0</v>
      </c>
      <c r="R22" s="212">
        <f t="shared" si="1"/>
        <v>0</v>
      </c>
      <c r="S22" s="503"/>
      <c r="T22" s="115">
        <f>'Plan de Acción 2022'!AF429</f>
        <v>0</v>
      </c>
      <c r="U22" s="212">
        <f t="shared" si="2"/>
        <v>0</v>
      </c>
      <c r="V22" s="121"/>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row>
    <row r="23" spans="1:347" s="101" customFormat="1" ht="109.5" customHeight="1" x14ac:dyDescent="0.2">
      <c r="A23" s="498" t="s">
        <v>1656</v>
      </c>
      <c r="B23" s="498" t="s">
        <v>1771</v>
      </c>
      <c r="C23" s="851"/>
      <c r="D23" s="498" t="s">
        <v>1471</v>
      </c>
      <c r="E23" s="498" t="s">
        <v>1789</v>
      </c>
      <c r="F23" s="498">
        <v>0</v>
      </c>
      <c r="G23" s="115">
        <v>0.25</v>
      </c>
      <c r="H23" s="120">
        <v>0.25</v>
      </c>
      <c r="I23" s="208">
        <v>1</v>
      </c>
      <c r="J23" s="115">
        <v>1</v>
      </c>
      <c r="K23" s="115">
        <f>'Plan de Acción 2022'!W430</f>
        <v>0</v>
      </c>
      <c r="L23" s="416">
        <f>(K23*75%)/(I23-H23)</f>
        <v>0</v>
      </c>
      <c r="M23" s="115" t="s">
        <v>1473</v>
      </c>
      <c r="N23" s="115">
        <f>'Plan de Acción 2022'!Z430</f>
        <v>0</v>
      </c>
      <c r="O23" s="212">
        <f>(N23*75%)/(I23-H23)</f>
        <v>0</v>
      </c>
      <c r="P23" s="115"/>
      <c r="Q23" s="115">
        <f>'Plan de Acción 2022'!AC430</f>
        <v>0</v>
      </c>
      <c r="R23" s="212">
        <f>(Q23*75%)/(I23-H23)</f>
        <v>0</v>
      </c>
      <c r="S23" s="503"/>
      <c r="T23" s="115">
        <f>'Plan de Acción 2022'!AF430</f>
        <v>0</v>
      </c>
      <c r="U23" s="212">
        <f>(T23*75%)/(I23-H23)</f>
        <v>0</v>
      </c>
      <c r="V23" s="121"/>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row>
    <row r="24" spans="1:347" s="101" customFormat="1" ht="167.25" customHeight="1" x14ac:dyDescent="0.2">
      <c r="A24" s="498" t="s">
        <v>1656</v>
      </c>
      <c r="B24" s="498" t="s">
        <v>1771</v>
      </c>
      <c r="C24" s="851"/>
      <c r="D24" s="499" t="s">
        <v>1154</v>
      </c>
      <c r="E24" s="498" t="s">
        <v>1156</v>
      </c>
      <c r="F24" s="498">
        <v>0</v>
      </c>
      <c r="G24" s="115">
        <v>1</v>
      </c>
      <c r="H24" s="123">
        <v>1</v>
      </c>
      <c r="I24" s="115">
        <f>'Plan de Acción 2022'!R431</f>
        <v>1</v>
      </c>
      <c r="J24" s="115">
        <v>1</v>
      </c>
      <c r="K24" s="115">
        <f>('Plan de Acción 2022'!W431+'Plan de Acción 2022'!W432)/2</f>
        <v>0.57499999999999996</v>
      </c>
      <c r="L24" s="212">
        <f t="shared" si="0"/>
        <v>0.57499999999999996</v>
      </c>
      <c r="M24" s="115" t="s">
        <v>1476</v>
      </c>
      <c r="N24" s="115">
        <f>('Plan de Acción 2022'!Z431+'Plan de Acción 2022'!Z432)/2</f>
        <v>0</v>
      </c>
      <c r="O24" s="212">
        <f>(N24*100%)/20</f>
        <v>0</v>
      </c>
      <c r="P24" s="115"/>
      <c r="Q24" s="115">
        <f>('Plan de Acción 2022'!AC431+'Plan de Acción 2022'!AC432)/2</f>
        <v>0</v>
      </c>
      <c r="R24" s="212">
        <f t="shared" si="1"/>
        <v>0</v>
      </c>
      <c r="S24" s="123"/>
      <c r="T24" s="115">
        <f>('Plan de Acción 2022'!AF431+'Plan de Acción 2022'!AF432)/2</f>
        <v>0</v>
      </c>
      <c r="U24" s="212">
        <f t="shared" si="2"/>
        <v>0</v>
      </c>
      <c r="V24" s="124"/>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row>
    <row r="25" spans="1:347" s="101" customFormat="1" ht="89.25" customHeight="1" x14ac:dyDescent="0.2">
      <c r="A25" s="498" t="s">
        <v>1656</v>
      </c>
      <c r="B25" s="498" t="s">
        <v>1771</v>
      </c>
      <c r="C25" s="851"/>
      <c r="D25" s="498" t="s">
        <v>1790</v>
      </c>
      <c r="E25" s="498" t="s">
        <v>1791</v>
      </c>
      <c r="F25" s="498">
        <v>0</v>
      </c>
      <c r="G25" s="115">
        <v>0.25</v>
      </c>
      <c r="H25" s="120">
        <v>0.25</v>
      </c>
      <c r="I25" s="115">
        <f>'Plan de Acción 2022'!R433</f>
        <v>0.5</v>
      </c>
      <c r="J25" s="115">
        <v>1</v>
      </c>
      <c r="K25" s="115">
        <f>'Plan de Acción 2022'!W433</f>
        <v>0.1</v>
      </c>
      <c r="L25" s="212">
        <f>(K25*25%)/(I25-H25)</f>
        <v>0.1</v>
      </c>
      <c r="M25" s="115" t="s">
        <v>1483</v>
      </c>
      <c r="N25" s="115">
        <f>'Plan de Acción 2022'!Z433</f>
        <v>0</v>
      </c>
      <c r="O25" s="212">
        <f>(N25*25%)/(I25-H25)</f>
        <v>0</v>
      </c>
      <c r="P25" s="115"/>
      <c r="Q25" s="115">
        <f>'Plan de Acción 2022'!AC433</f>
        <v>0</v>
      </c>
      <c r="R25" s="212">
        <f>(Q25*25%)/(I25-H25)</f>
        <v>0</v>
      </c>
      <c r="S25" s="503"/>
      <c r="T25" s="115">
        <f>'Plan de Acción 2022'!AF433</f>
        <v>0</v>
      </c>
      <c r="U25" s="212">
        <f>(T25*25%)/(I25-H25)</f>
        <v>0</v>
      </c>
      <c r="V25" s="121"/>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row>
    <row r="26" spans="1:347" s="101" customFormat="1" ht="229.5" customHeight="1" x14ac:dyDescent="0.2">
      <c r="A26" s="498" t="s">
        <v>1656</v>
      </c>
      <c r="B26" s="498" t="s">
        <v>1771</v>
      </c>
      <c r="C26" s="851"/>
      <c r="D26" s="499" t="s">
        <v>1792</v>
      </c>
      <c r="E26" s="498" t="s">
        <v>1793</v>
      </c>
      <c r="F26" s="498">
        <v>0</v>
      </c>
      <c r="G26" s="115">
        <v>0.25</v>
      </c>
      <c r="H26" s="120">
        <v>0.21</v>
      </c>
      <c r="I26" s="115">
        <f>'Plan de Acción 2022'!R434</f>
        <v>1</v>
      </c>
      <c r="J26" s="115">
        <v>1</v>
      </c>
      <c r="K26" s="115">
        <f>('Plan de Acción 2022'!W434+'Plan de Acción 2022'!W435)/2</f>
        <v>0</v>
      </c>
      <c r="L26" s="212">
        <f>(K26*29%)/(I26-H26)</f>
        <v>0</v>
      </c>
      <c r="M26" s="115" t="s">
        <v>1485</v>
      </c>
      <c r="N26" s="115">
        <f>('Plan de Acción 2022'!Z434+'Plan de Acción 2022'!Z435)/2</f>
        <v>0</v>
      </c>
      <c r="O26" s="212">
        <f>(N26*29%)/(I26-H26)</f>
        <v>0</v>
      </c>
      <c r="P26" s="115"/>
      <c r="Q26" s="115">
        <f>('Plan de Acción 2022'!AC434+'Plan de Acción 2022'!AC435)/2</f>
        <v>0</v>
      </c>
      <c r="R26" s="212">
        <f>(Q26*29%)/(I26-H26)</f>
        <v>0</v>
      </c>
      <c r="S26" s="503"/>
      <c r="T26" s="115">
        <f>('Plan de Acción 2022'!AF434+'Plan de Acción 2022'!AF435)/2</f>
        <v>0</v>
      </c>
      <c r="U26" s="212">
        <f>(T26*29%)/(I26-H26)</f>
        <v>0</v>
      </c>
      <c r="V26" s="121"/>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row>
    <row r="27" spans="1:347" s="101" customFormat="1" ht="141" customHeight="1" x14ac:dyDescent="0.2">
      <c r="A27" s="498" t="s">
        <v>1656</v>
      </c>
      <c r="B27" s="118" t="s">
        <v>1794</v>
      </c>
      <c r="C27" s="852" t="s">
        <v>1795</v>
      </c>
      <c r="D27" s="498" t="s">
        <v>1125</v>
      </c>
      <c r="E27" s="498" t="s">
        <v>1127</v>
      </c>
      <c r="F27" s="499" t="s">
        <v>1796</v>
      </c>
      <c r="G27" s="115">
        <v>0.25</v>
      </c>
      <c r="H27" s="115">
        <v>0.25</v>
      </c>
      <c r="I27" s="115">
        <f>'Plan de Acción 2022'!R437</f>
        <v>0.5</v>
      </c>
      <c r="J27" s="498">
        <v>40</v>
      </c>
      <c r="K27" s="115">
        <f>('Plan de Acción 2022'!W437+'Plan de Acción 2022'!W438+'Plan de Acción 2022'!W439+'Plan de Acción 2022'!W440)/4</f>
        <v>0.1</v>
      </c>
      <c r="L27" s="212">
        <f>(K27*25%)/(I27-H27)</f>
        <v>0.1</v>
      </c>
      <c r="M27" s="498" t="s">
        <v>1797</v>
      </c>
      <c r="N27" s="115">
        <f>('Plan de Acción 2022'!Z437+'Plan de Acción 2022'!Z438+'Plan de Acción 2022'!Z439+'Plan de Acción 2022'!Z440)/4</f>
        <v>0</v>
      </c>
      <c r="O27" s="212">
        <f>(N27*25%)/(I27-H27)</f>
        <v>0</v>
      </c>
      <c r="P27" s="499"/>
      <c r="Q27" s="115">
        <f>('Plan de Acción 2022'!AC437+'Plan de Acción 2022'!AC438+'Plan de Acción 2022'!AC439+'Plan de Acción 2022'!AC440)/4</f>
        <v>0</v>
      </c>
      <c r="R27" s="212">
        <f>(Q27*25%)/(I27-H27)</f>
        <v>0</v>
      </c>
      <c r="S27" s="115"/>
      <c r="T27" s="115">
        <f>('Plan de Acción 2022'!AF437+'Plan de Acción 2022'!AF438+'Plan de Acción 2022'!AF439+'Plan de Acción 2022'!AF440)/4</f>
        <v>0</v>
      </c>
      <c r="U27" s="212">
        <f>(T27*25%)/(I27-H27)</f>
        <v>0</v>
      </c>
      <c r="V27" s="122"/>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row>
    <row r="28" spans="1:347" s="101" customFormat="1" ht="143.25" customHeight="1" x14ac:dyDescent="0.2">
      <c r="A28" s="498" t="s">
        <v>1654</v>
      </c>
      <c r="B28" s="118" t="s">
        <v>1654</v>
      </c>
      <c r="C28" s="852"/>
      <c r="D28" s="498" t="s">
        <v>1512</v>
      </c>
      <c r="E28" s="498" t="s">
        <v>1514</v>
      </c>
      <c r="F28" s="498">
        <v>22</v>
      </c>
      <c r="G28" s="216">
        <v>0.4</v>
      </c>
      <c r="H28" s="311">
        <v>0.41</v>
      </c>
      <c r="I28" s="216">
        <f>'Plan de Acción 2022'!R441</f>
        <v>0.5</v>
      </c>
      <c r="J28" s="216">
        <v>0.65</v>
      </c>
      <c r="K28" s="115">
        <f>('Plan de Acción 2022'!W441+'Plan de Acción 2022'!W442+'Plan de Acción 2022'!W443+'Plan de Acción 2022'!W444+'Plan de Acción 2022'!W445+'Plan de Acción 2022'!W447+'Plan de Acción 2022'!W448+'Plan de Acción 2022'!W449+'Plan de Acción 2022'!W450+'Plan de Acción 2022'!W451+'Plan de Acción 2022'!W452+'Plan de Acción 2022'!W453+'Plan de Acción 2022'!W454+'Plan de Acción 2022'!W455+'Plan de Acción 2022'!W456+'Plan de Acción 2022'!W457+'Plan de Acción 2022'!W458+'Plan de Acción 2022'!W459+'Plan de Acción 2022'!W460+'Plan de Acción 2022'!W461+'Plan de Acción 2022'!W462+'Plan de Acción 2022'!W463+'Plan de Acción 2022'!W464+'Plan de Acción 2022'!W465+'Plan de Acción 2022'!W466+'Plan de Acción 2022'!W467+'Plan de Acción 2022'!W468+'Plan de Acción 2022'!W469+'Plan de Acción 2022'!W470+'Plan de Acción 2022'!W471+'Plan de Acción 2022'!W472+'Plan de Acción 2022'!W473+'Plan de Acción 2022'!W474)/33</f>
        <v>0.1878787878787879</v>
      </c>
      <c r="L28" s="212">
        <f>(K28*9%)/(I28-H28)</f>
        <v>0.18787878787878781</v>
      </c>
      <c r="M28" s="115" t="s">
        <v>1798</v>
      </c>
      <c r="N28" s="115">
        <f>('Plan de Acción 2022'!Z441+'Plan de Acción 2022'!Z442+'Plan de Acción 2022'!Z443+'Plan de Acción 2022'!Z444+'Plan de Acción 2022'!Z445+'Plan de Acción 2022'!Z447+'Plan de Acción 2022'!Z448+'Plan de Acción 2022'!Z449+'Plan de Acción 2022'!Z450+'Plan de Acción 2022'!Z451+'Plan de Acción 2022'!Z452+'Plan de Acción 2022'!Z453+'Plan de Acción 2022'!Z454+'Plan de Acción 2022'!Z455+'Plan de Acción 2022'!Z456+'Plan de Acción 2022'!Z457+'Plan de Acción 2022'!Z458+'Plan de Acción 2022'!Z459+'Plan de Acción 2022'!Z460+'Plan de Acción 2022'!Z461+'Plan de Acción 2022'!Z462+'Plan de Acción 2022'!Z463+'Plan de Acción 2022'!Z464+'Plan de Acción 2022'!Z465+'Plan de Acción 2022'!Z466+'Plan de Acción 2022'!Z467+'Plan de Acción 2022'!Z468+'Plan de Acción 2022'!Z469+'Plan de Acción 2022'!Z470+'Plan de Acción 2022'!Z471+'Plan de Acción 2022'!Z472+'Plan de Acción 2022'!Z473+'Plan de Acción 2022'!Z474)/33</f>
        <v>0</v>
      </c>
      <c r="O28" s="212">
        <f t="shared" ref="O28" si="3">(N28*100%)/(I28-H28)</f>
        <v>0</v>
      </c>
      <c r="P28" s="125"/>
      <c r="Q28" s="115">
        <f>('Plan de Acción 2022'!AC441+'Plan de Acción 2022'!AC442+'Plan de Acción 2022'!AC443+'Plan de Acción 2022'!AC444+'Plan de Acción 2022'!AC445+'Plan de Acción 2022'!AC447+'Plan de Acción 2022'!AC448+'Plan de Acción 2022'!AC449+'Plan de Acción 2022'!AC450+'Plan de Acción 2022'!AC451+'Plan de Acción 2022'!AC452+'Plan de Acción 2022'!AC453+'Plan de Acción 2022'!AC454+'Plan de Acción 2022'!AC455+'Plan de Acción 2022'!AC456+'Plan de Acción 2022'!AC457+'Plan de Acción 2022'!AC458+'Plan de Acción 2022'!AC459+'Plan de Acción 2022'!AC460+'Plan de Acción 2022'!AC461+'Plan de Acción 2022'!AC462+'Plan de Acción 2022'!AC463+'Plan de Acción 2022'!AC464+'Plan de Acción 2022'!AC465+'Plan de Acción 2022'!AC466+'Plan de Acción 2022'!AC467+'Plan de Acción 2022'!AC468+'Plan de Acción 2022'!AC469+'Plan de Acción 2022'!AC470+'Plan de Acción 2022'!AC471+'Plan de Acción 2022'!AC472+'Plan de Acción 2022'!AC473+'Plan de Acción 2022'!AC474)/33</f>
        <v>0</v>
      </c>
      <c r="R28" s="212">
        <f t="shared" ref="R28" si="4">(Q28*100%)/(I28-H28)</f>
        <v>0</v>
      </c>
      <c r="S28" s="125"/>
      <c r="T28" s="115">
        <f>('Plan de Acción 2022'!AF441+'Plan de Acción 2022'!AF442+'Plan de Acción 2022'!AF443+'Plan de Acción 2022'!AF444+'Plan de Acción 2022'!AF445+'Plan de Acción 2022'!AF447+'Plan de Acción 2022'!AF448+'Plan de Acción 2022'!AF449+'Plan de Acción 2022'!AF450+'Plan de Acción 2022'!AF451+'Plan de Acción 2022'!AF452+'Plan de Acción 2022'!AF453+'Plan de Acción 2022'!AF454+'Plan de Acción 2022'!AF455+'Plan de Acción 2022'!AF456+'Plan de Acción 2022'!AF457+'Plan de Acción 2022'!AF458+'Plan de Acción 2022'!AF459+'Plan de Acción 2022'!AF460+'Plan de Acción 2022'!AF461+'Plan de Acción 2022'!AF462+'Plan de Acción 2022'!AF463+'Plan de Acción 2022'!AF464+'Plan de Acción 2022'!AF465+'Plan de Acción 2022'!AF466+'Plan de Acción 2022'!AF467+'Plan de Acción 2022'!AF468+'Plan de Acción 2022'!AF469+'Plan de Acción 2022'!AF470+'Plan de Acción 2022'!AF471+'Plan de Acción 2022'!AF472+'Plan de Acción 2022'!AF473+'Plan de Acción 2022'!AF474)/33</f>
        <v>0</v>
      </c>
      <c r="U28" s="212">
        <f t="shared" ref="U28" si="5">(T28*100%)/(I28-H28)</f>
        <v>0</v>
      </c>
      <c r="V28" s="312"/>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row>
    <row r="29" spans="1:347" s="101" customFormat="1" ht="173.25" x14ac:dyDescent="0.2">
      <c r="A29" s="498" t="s">
        <v>1656</v>
      </c>
      <c r="B29" s="118" t="s">
        <v>1794</v>
      </c>
      <c r="C29" s="852"/>
      <c r="D29" s="498" t="s">
        <v>1566</v>
      </c>
      <c r="E29" s="498" t="s">
        <v>1799</v>
      </c>
      <c r="F29" s="498">
        <v>1</v>
      </c>
      <c r="G29" s="498">
        <v>3</v>
      </c>
      <c r="H29" s="115">
        <v>0.03</v>
      </c>
      <c r="I29" s="115">
        <f>'Plan de Acción 2022'!R475</f>
        <v>0.05</v>
      </c>
      <c r="J29" s="115">
        <v>0.1</v>
      </c>
      <c r="K29" s="115">
        <f>('Plan de Acción 2022'!W475)</f>
        <v>0</v>
      </c>
      <c r="L29" s="416">
        <f>(K29*2%)/(I29-H29)</f>
        <v>0</v>
      </c>
      <c r="M29" s="498" t="s">
        <v>1491</v>
      </c>
      <c r="N29" s="115">
        <f>('Plan de Acción 2022'!Z475)</f>
        <v>0</v>
      </c>
      <c r="O29" s="212">
        <f>(N29*9%)/(I29-H29)</f>
        <v>0</v>
      </c>
      <c r="P29" s="498"/>
      <c r="Q29" s="115">
        <f>('Plan de Acción 2022'!AC475)</f>
        <v>0</v>
      </c>
      <c r="R29" s="212">
        <f>(Q29*9%)/(I29-H29)</f>
        <v>0</v>
      </c>
      <c r="S29" s="115"/>
      <c r="T29" s="115">
        <f>('Plan de Acción 2022'!AF475)</f>
        <v>0</v>
      </c>
      <c r="U29" s="212">
        <f>(T29*9%)/(I29-H29)</f>
        <v>0</v>
      </c>
      <c r="V29" s="122"/>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row>
    <row r="30" spans="1:347" s="101" customFormat="1" ht="189" x14ac:dyDescent="0.2">
      <c r="A30" s="498" t="s">
        <v>1656</v>
      </c>
      <c r="B30" s="118" t="s">
        <v>1794</v>
      </c>
      <c r="C30" s="852"/>
      <c r="D30" s="498" t="s">
        <v>1569</v>
      </c>
      <c r="E30" s="498" t="s">
        <v>1571</v>
      </c>
      <c r="F30" s="498">
        <v>0</v>
      </c>
      <c r="G30" s="126">
        <v>1</v>
      </c>
      <c r="H30" s="115">
        <v>1</v>
      </c>
      <c r="I30" s="126">
        <f>'Plan de Acción 2022'!R476</f>
        <v>1</v>
      </c>
      <c r="J30" s="115">
        <v>1</v>
      </c>
      <c r="K30" s="115">
        <f>('Plan de Acción 2022'!W476+'Plan de Acción 2022'!W477+'Plan de Acción 2022'!W478)/3</f>
        <v>0.18333333333333335</v>
      </c>
      <c r="L30" s="212">
        <f t="shared" ref="L30" si="6">(K30*100%)/I30</f>
        <v>0.18333333333333335</v>
      </c>
      <c r="M30" s="115" t="s">
        <v>1800</v>
      </c>
      <c r="N30" s="115">
        <f>('Plan de Acción 2022'!Z476+'Plan de Acción 2022'!Z477+'Plan de Acción 2022'!Z478)/3</f>
        <v>0</v>
      </c>
      <c r="O30" s="212">
        <f>(N30*100%)/20</f>
        <v>0</v>
      </c>
      <c r="P30" s="115"/>
      <c r="Q30" s="115">
        <f>('Plan de Acción 2022'!AC476+'Plan de Acción 2022'!AC477+'Plan de Acción 2022'!AC478)/3</f>
        <v>0</v>
      </c>
      <c r="R30" s="212">
        <f t="shared" ref="R30" si="7">(Q30*100%)/I30</f>
        <v>0</v>
      </c>
      <c r="S30" s="503"/>
      <c r="T30" s="115">
        <f>('Plan de Acción 2022'!AF476+'Plan de Acción 2022'!AF477+'Plan de Acción 2022'!AF478)/3</f>
        <v>0</v>
      </c>
      <c r="U30" s="212">
        <f t="shared" ref="U30" si="8">(T30*100%)/I30</f>
        <v>0</v>
      </c>
      <c r="V30" s="121"/>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row>
    <row r="31" spans="1:347" s="101" customFormat="1" ht="69" customHeight="1" x14ac:dyDescent="0.2">
      <c r="A31" s="498" t="s">
        <v>1656</v>
      </c>
      <c r="B31" s="118" t="s">
        <v>1794</v>
      </c>
      <c r="C31" s="852" t="s">
        <v>1801</v>
      </c>
      <c r="D31" s="498" t="s">
        <v>1614</v>
      </c>
      <c r="E31" s="498" t="s">
        <v>1216</v>
      </c>
      <c r="F31" s="498">
        <v>0</v>
      </c>
      <c r="G31" s="126" t="s">
        <v>1802</v>
      </c>
      <c r="H31" s="115">
        <v>0.2</v>
      </c>
      <c r="I31" s="126">
        <f>'Plan de Acción 2022'!R501</f>
        <v>0.5</v>
      </c>
      <c r="J31" s="498">
        <v>4</v>
      </c>
      <c r="K31" s="115">
        <f>'Plan de Acción 2022'!W501</f>
        <v>0.08</v>
      </c>
      <c r="L31" s="416">
        <f>(K31*30%)/(I31-H31)</f>
        <v>0.08</v>
      </c>
      <c r="M31" s="498" t="s">
        <v>1617</v>
      </c>
      <c r="N31" s="115">
        <f>'Plan de Acción 2022'!Z501</f>
        <v>0</v>
      </c>
      <c r="O31" s="212">
        <f>(N31*30%)/(I31-H31)</f>
        <v>0</v>
      </c>
      <c r="P31" s="498"/>
      <c r="Q31" s="115">
        <f>'Plan de Acción 2022'!AC501</f>
        <v>0</v>
      </c>
      <c r="R31" s="212">
        <f>(Q31*30%)/(I31-H31)</f>
        <v>0</v>
      </c>
      <c r="S31" s="498"/>
      <c r="T31" s="115">
        <f>'Plan de Acción 2022'!AF501</f>
        <v>0</v>
      </c>
      <c r="U31" s="212">
        <f>(T31*30%)/(I31-H31)</f>
        <v>0</v>
      </c>
      <c r="V31" s="12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row>
    <row r="32" spans="1:347" s="101" customFormat="1" ht="91.5" customHeight="1" thickBot="1" x14ac:dyDescent="0.25">
      <c r="A32" s="128" t="s">
        <v>1656</v>
      </c>
      <c r="B32" s="129" t="s">
        <v>1794</v>
      </c>
      <c r="C32" s="853"/>
      <c r="D32" s="128" t="s">
        <v>1494</v>
      </c>
      <c r="E32" s="128" t="s">
        <v>1803</v>
      </c>
      <c r="F32" s="128">
        <v>0</v>
      </c>
      <c r="G32" s="130" t="s">
        <v>1802</v>
      </c>
      <c r="H32" s="81">
        <v>0</v>
      </c>
      <c r="I32" s="177">
        <v>0.5</v>
      </c>
      <c r="J32" s="128">
        <v>4</v>
      </c>
      <c r="K32" s="177">
        <f>('Plan de Acción 2022'!W436)</f>
        <v>0.1</v>
      </c>
      <c r="L32" s="225">
        <f>(K32*50%)/(I32-H32)</f>
        <v>0.1</v>
      </c>
      <c r="M32" s="128" t="s">
        <v>1498</v>
      </c>
      <c r="N32" s="177">
        <f>('Plan de Acción 2022'!Z436)</f>
        <v>0</v>
      </c>
      <c r="O32" s="225">
        <f>(N32*50%)/(I32-H32)</f>
        <v>0</v>
      </c>
      <c r="P32" s="128"/>
      <c r="Q32" s="177">
        <f>('Plan de Acción 2022'!AC436)</f>
        <v>0</v>
      </c>
      <c r="R32" s="225">
        <f>(Q32*50%)/(I32-H32)</f>
        <v>0</v>
      </c>
      <c r="S32" s="128"/>
      <c r="T32" s="177">
        <f>('Plan de Acción 2022'!AF436)</f>
        <v>0</v>
      </c>
      <c r="U32" s="225">
        <f>(T32*50%)/(I32-H32)</f>
        <v>0</v>
      </c>
      <c r="V32" s="131"/>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row>
    <row r="33" spans="1:45" ht="69" customHeight="1" thickBot="1" x14ac:dyDescent="0.25">
      <c r="A33" s="848"/>
      <c r="B33" s="849"/>
      <c r="C33" s="849"/>
      <c r="D33" s="849"/>
      <c r="E33" s="849"/>
      <c r="F33" s="849"/>
      <c r="G33" s="850"/>
      <c r="H33" s="496"/>
      <c r="I33" s="227"/>
      <c r="J33" s="227"/>
      <c r="K33" s="228" t="s">
        <v>1804</v>
      </c>
      <c r="L33" s="229">
        <f>AVERAGE(L7:L15,L17,L20:L32)</f>
        <v>0.21135234330886501</v>
      </c>
      <c r="M33" s="228"/>
      <c r="N33" s="228" t="s">
        <v>1805</v>
      </c>
      <c r="O33" s="229">
        <f>AVERAGE(O7:O15,O17,O20:O32)</f>
        <v>0</v>
      </c>
      <c r="P33" s="230"/>
      <c r="Q33" s="228" t="s">
        <v>1806</v>
      </c>
      <c r="R33" s="229">
        <f>AVERAGE(R7:R15,R17,R20:R32)</f>
        <v>0</v>
      </c>
      <c r="S33" s="230"/>
      <c r="T33" s="228" t="s">
        <v>1807</v>
      </c>
      <c r="U33" s="229">
        <f>AVERAGE(U7:U15,U17,U20:U32)</f>
        <v>0</v>
      </c>
      <c r="V33" s="232">
        <f>AVERAGE(V34:V35)/2</f>
        <v>0.11637385762385763</v>
      </c>
    </row>
    <row r="34" spans="1:45" ht="25.5" x14ac:dyDescent="0.2">
      <c r="A34" s="97"/>
      <c r="G34" s="132"/>
      <c r="H34" s="132"/>
      <c r="I34" s="132"/>
      <c r="J34" s="132"/>
      <c r="K34" s="226" t="s">
        <v>1654</v>
      </c>
      <c r="L34" s="112">
        <f>AVERAGE(L7+L8+L9+L10+L11+L12+L13+L14+L28)/9</f>
        <v>0.33116642616642616</v>
      </c>
      <c r="M34" s="112"/>
      <c r="N34" s="112"/>
      <c r="O34" s="112">
        <f>AVERAGE(O7+O8+O9+O10+O11+O12+O13+O14+O28)/9</f>
        <v>0</v>
      </c>
      <c r="P34" s="112"/>
      <c r="Q34" s="112"/>
      <c r="R34" s="112">
        <f>AVERAGE(R7+R8+R9+R10+R11+R12+R13+R14+R28)/9</f>
        <v>0</v>
      </c>
      <c r="S34" s="112"/>
      <c r="T34" s="112"/>
      <c r="U34" s="112">
        <f>AVERAGE(U7+U8+U9+U10+U11+U12+U13+U14+U28)/9</f>
        <v>0</v>
      </c>
      <c r="V34" s="223">
        <f>AVERAGE(L34+O34+R34+U34)</f>
        <v>0.33116642616642616</v>
      </c>
    </row>
    <row r="35" spans="1:45" ht="89.25" x14ac:dyDescent="0.2">
      <c r="A35" s="97"/>
      <c r="D35" s="132"/>
      <c r="G35" s="132"/>
      <c r="H35" s="132"/>
      <c r="I35" s="132"/>
      <c r="J35" s="132"/>
      <c r="K35" s="221" t="s">
        <v>1808</v>
      </c>
      <c r="L35" s="119">
        <f>AVERAGE(L15+L17+L20+L21+L22+L23+L24+L25+L26+L27+L29+L30+L31+L32)/14</f>
        <v>0.13432900432900435</v>
      </c>
      <c r="M35" s="119"/>
      <c r="N35" s="119"/>
      <c r="O35" s="119">
        <f>AVERAGE(O15+O17+O20+O21+O22+O23+O24+O25+O26+O27+O29+O30+O31+O32)/14</f>
        <v>0</v>
      </c>
      <c r="P35" s="119"/>
      <c r="Q35" s="119"/>
      <c r="R35" s="119">
        <f>AVERAGE(R15+R17+R20+R21+R22+R23+R24+R25+R26+R27+R29+R30+R31+R32)/14</f>
        <v>0</v>
      </c>
      <c r="S35" s="119"/>
      <c r="T35" s="119"/>
      <c r="U35" s="119">
        <f>AVERAGE(U15+U17+U20+U21+U22+U23+U24+U25+U26+U27+U29+U30+U31+U32)/14</f>
        <v>0</v>
      </c>
      <c r="V35" s="119">
        <f>AVERAGE(L35+O35+R35+U35)</f>
        <v>0.13432900432900435</v>
      </c>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row>
    <row r="36" spans="1:45" ht="16.5" thickBot="1" x14ac:dyDescent="0.25"/>
    <row r="37" spans="1:45" s="347" customFormat="1" ht="13.9" customHeight="1" thickTop="1" x14ac:dyDescent="0.2">
      <c r="A37" s="811" t="s">
        <v>1632</v>
      </c>
      <c r="B37" s="812"/>
      <c r="C37" s="812"/>
      <c r="D37" s="812"/>
      <c r="E37" s="812"/>
      <c r="F37" s="812"/>
      <c r="G37" s="812"/>
      <c r="H37" s="812"/>
      <c r="I37" s="813"/>
      <c r="J37" s="817" t="s">
        <v>1633</v>
      </c>
      <c r="K37" s="818"/>
      <c r="L37" s="818"/>
      <c r="M37" s="818"/>
      <c r="N37" s="818"/>
      <c r="O37" s="818"/>
      <c r="P37" s="818"/>
      <c r="Q37" s="819"/>
      <c r="R37" s="817" t="s">
        <v>1634</v>
      </c>
      <c r="S37" s="823"/>
      <c r="T37" s="811" t="s">
        <v>1635</v>
      </c>
      <c r="U37" s="812"/>
      <c r="V37" s="812"/>
      <c r="W37" s="812"/>
      <c r="X37" s="825"/>
      <c r="Y37" s="806">
        <v>1</v>
      </c>
      <c r="Z37" s="346"/>
      <c r="AC37" s="346"/>
      <c r="AF37" s="346"/>
    </row>
    <row r="38" spans="1:45" s="347" customFormat="1" ht="13.15" customHeight="1" thickBot="1" x14ac:dyDescent="0.25">
      <c r="A38" s="814"/>
      <c r="B38" s="815"/>
      <c r="C38" s="815"/>
      <c r="D38" s="815"/>
      <c r="E38" s="815"/>
      <c r="F38" s="815"/>
      <c r="G38" s="815"/>
      <c r="H38" s="815"/>
      <c r="I38" s="816"/>
      <c r="J38" s="820"/>
      <c r="K38" s="821"/>
      <c r="L38" s="821"/>
      <c r="M38" s="821"/>
      <c r="N38" s="821"/>
      <c r="O38" s="821"/>
      <c r="P38" s="821"/>
      <c r="Q38" s="822"/>
      <c r="R38" s="820"/>
      <c r="S38" s="824"/>
      <c r="T38" s="814"/>
      <c r="U38" s="815"/>
      <c r="V38" s="815"/>
      <c r="W38" s="815"/>
      <c r="X38" s="826"/>
      <c r="Y38" s="807"/>
      <c r="Z38" s="346"/>
      <c r="AC38" s="346"/>
      <c r="AF38" s="346"/>
    </row>
    <row r="39" spans="1:45" x14ac:dyDescent="0.2">
      <c r="G39" s="132"/>
      <c r="H39" s="132"/>
      <c r="I39" s="132"/>
      <c r="J39" s="132"/>
      <c r="K39" s="132"/>
      <c r="L39" s="132"/>
      <c r="M39" s="132"/>
    </row>
    <row r="40" spans="1:45" x14ac:dyDescent="0.2">
      <c r="G40" s="132"/>
      <c r="H40" s="132"/>
      <c r="I40" s="132"/>
      <c r="J40" s="132"/>
      <c r="K40" s="132"/>
      <c r="L40" s="132"/>
      <c r="M40" s="132"/>
      <c r="N40" s="133"/>
    </row>
    <row r="41" spans="1:45" x14ac:dyDescent="0.2">
      <c r="G41" s="132"/>
      <c r="H41" s="132"/>
      <c r="I41" s="132"/>
      <c r="J41" s="132"/>
      <c r="K41" s="132"/>
      <c r="L41" s="132"/>
      <c r="M41" s="132"/>
      <c r="N41" s="133"/>
    </row>
  </sheetData>
  <mergeCells count="25">
    <mergeCell ref="A37:I38"/>
    <mergeCell ref="J37:Q38"/>
    <mergeCell ref="R37:S38"/>
    <mergeCell ref="T37:X38"/>
    <mergeCell ref="Y37:Y38"/>
    <mergeCell ref="A33:G33"/>
    <mergeCell ref="C15:C19"/>
    <mergeCell ref="C20:C21"/>
    <mergeCell ref="C22:C26"/>
    <mergeCell ref="C27:C30"/>
    <mergeCell ref="C31:C32"/>
    <mergeCell ref="AB4:AG4"/>
    <mergeCell ref="AH4:AM4"/>
    <mergeCell ref="AN4:AS4"/>
    <mergeCell ref="C6:C7"/>
    <mergeCell ref="C8:C10"/>
    <mergeCell ref="K4:M4"/>
    <mergeCell ref="A4:J4"/>
    <mergeCell ref="C11:C14"/>
    <mergeCell ref="A1:V1"/>
    <mergeCell ref="A2:V2"/>
    <mergeCell ref="A3:V3"/>
    <mergeCell ref="N4:P4"/>
    <mergeCell ref="Q4:S4"/>
    <mergeCell ref="T4:V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34"/>
  <sheetViews>
    <sheetView topLeftCell="D1" zoomScaleNormal="100" workbookViewId="0">
      <pane ySplit="6" topLeftCell="A22" activePane="bottomLeft" state="frozen"/>
      <selection activeCell="F1" sqref="F1"/>
      <selection pane="bottomLeft" activeCell="N22" sqref="N22"/>
    </sheetView>
  </sheetViews>
  <sheetFormatPr baseColWidth="10" defaultColWidth="11.42578125" defaultRowHeight="12.75" x14ac:dyDescent="0.2"/>
  <cols>
    <col min="1" max="1" width="7.28515625" style="137" hidden="1" customWidth="1"/>
    <col min="2" max="2" width="3.140625" style="137" hidden="1" customWidth="1"/>
    <col min="3" max="3" width="7.85546875" style="137" hidden="1" customWidth="1"/>
    <col min="4" max="4" width="14.42578125" style="137" customWidth="1"/>
    <col min="5" max="5" width="10.5703125" style="180" customWidth="1"/>
    <col min="6" max="6" width="27.28515625" style="137" customWidth="1"/>
    <col min="7" max="7" width="22.140625" style="137" customWidth="1"/>
    <col min="8" max="8" width="24" style="137" customWidth="1"/>
    <col min="9" max="9" width="6.42578125" style="137" customWidth="1"/>
    <col min="10" max="14" width="8.140625" style="137" customWidth="1"/>
    <col min="15" max="15" width="11.7109375" style="137" customWidth="1"/>
    <col min="16" max="16" width="41.7109375" style="137" customWidth="1"/>
    <col min="17" max="17" width="15.28515625" style="137" customWidth="1"/>
    <col min="18" max="18" width="9.85546875" style="137" customWidth="1"/>
    <col min="19" max="19" width="15.28515625" style="137" customWidth="1"/>
    <col min="20" max="20" width="10.28515625" style="137" customWidth="1"/>
    <col min="21" max="21" width="9.28515625" style="137" customWidth="1"/>
    <col min="22" max="22" width="20" style="137" customWidth="1"/>
    <col min="23" max="23" width="15" style="137" customWidth="1"/>
    <col min="24" max="24" width="20.140625" style="137" customWidth="1"/>
    <col min="25" max="26" width="17" style="137" customWidth="1"/>
    <col min="27" max="27" width="12.42578125" style="137" customWidth="1"/>
    <col min="28" max="28" width="12.85546875" style="137" customWidth="1"/>
    <col min="29" max="30" width="11.5703125" style="137" customWidth="1"/>
    <col min="31" max="31" width="18.140625" style="137" customWidth="1"/>
    <col min="32" max="32" width="18" style="137" customWidth="1"/>
    <col min="33" max="33" width="16" style="137" customWidth="1"/>
    <col min="34" max="36" width="11.5703125" style="137" customWidth="1"/>
    <col min="37" max="37" width="17.7109375" style="137" customWidth="1"/>
    <col min="38" max="38" width="13.5703125" style="137" customWidth="1"/>
    <col min="39" max="39" width="14.85546875" style="137" customWidth="1"/>
    <col min="40" max="42" width="11.5703125" style="137" customWidth="1"/>
    <col min="43" max="43" width="18.140625" style="137" customWidth="1"/>
    <col min="44" max="44" width="13.5703125" style="137" customWidth="1"/>
    <col min="45" max="45" width="13.42578125" style="137" customWidth="1"/>
    <col min="46" max="47" width="11.5703125" style="137" customWidth="1"/>
    <col min="48" max="48" width="14" style="137" bestFit="1" customWidth="1"/>
    <col min="49" max="49" width="46" style="137" bestFit="1" customWidth="1"/>
    <col min="50" max="50" width="6.28515625" style="137" customWidth="1"/>
    <col min="51" max="16384" width="11.42578125" style="137"/>
  </cols>
  <sheetData>
    <row r="1" spans="1:73" ht="16.5" x14ac:dyDescent="0.2">
      <c r="A1" s="134"/>
      <c r="B1" s="856"/>
      <c r="C1" s="856"/>
      <c r="D1" s="856"/>
      <c r="E1" s="856"/>
      <c r="F1" s="856"/>
      <c r="G1" s="856"/>
      <c r="H1" s="856"/>
      <c r="I1" s="856"/>
      <c r="J1" s="856"/>
      <c r="K1" s="856"/>
      <c r="L1" s="856"/>
      <c r="M1" s="856"/>
      <c r="N1" s="856"/>
      <c r="O1" s="856"/>
      <c r="P1" s="856"/>
      <c r="Q1" s="856"/>
      <c r="R1" s="856"/>
      <c r="S1" s="856"/>
      <c r="T1" s="856"/>
      <c r="U1" s="856"/>
      <c r="V1" s="856"/>
      <c r="W1" s="856"/>
      <c r="X1" s="856"/>
      <c r="Y1" s="856"/>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6"/>
    </row>
    <row r="2" spans="1:73" ht="52.5" customHeight="1" thickBot="1" x14ac:dyDescent="0.25">
      <c r="A2" s="138"/>
      <c r="B2" s="857"/>
      <c r="C2" s="857"/>
      <c r="D2" s="857"/>
      <c r="E2" s="857"/>
      <c r="F2" s="857"/>
      <c r="G2" s="857"/>
      <c r="H2" s="857"/>
      <c r="I2" s="857"/>
      <c r="J2" s="857"/>
      <c r="K2" s="857"/>
      <c r="L2" s="857"/>
      <c r="M2" s="857"/>
      <c r="N2" s="857"/>
      <c r="O2" s="857"/>
      <c r="P2" s="857"/>
      <c r="Q2" s="857"/>
      <c r="R2" s="857"/>
      <c r="S2" s="857"/>
      <c r="T2" s="857"/>
      <c r="U2" s="857"/>
      <c r="V2" s="857"/>
      <c r="W2" s="857"/>
      <c r="X2" s="857"/>
      <c r="Y2" s="857"/>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6"/>
    </row>
    <row r="3" spans="1:73" ht="16.5" thickBot="1" x14ac:dyDescent="0.25">
      <c r="A3" s="858" t="s">
        <v>1672</v>
      </c>
      <c r="B3" s="859"/>
      <c r="C3" s="859"/>
      <c r="D3" s="859"/>
      <c r="E3" s="859"/>
      <c r="F3" s="859"/>
      <c r="G3" s="859"/>
      <c r="H3" s="859"/>
      <c r="I3" s="859"/>
      <c r="J3" s="859"/>
      <c r="K3" s="859"/>
      <c r="L3" s="859"/>
      <c r="M3" s="859"/>
      <c r="N3" s="859"/>
      <c r="O3" s="859"/>
      <c r="P3" s="859"/>
      <c r="Q3" s="859"/>
      <c r="R3" s="859"/>
      <c r="S3" s="859"/>
      <c r="T3" s="859"/>
      <c r="U3" s="859"/>
      <c r="V3" s="859"/>
      <c r="W3" s="859"/>
      <c r="X3" s="859"/>
      <c r="Y3" s="85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40"/>
    </row>
    <row r="4" spans="1:73" ht="18.75" thickBot="1" x14ac:dyDescent="0.25">
      <c r="A4" s="860" t="s">
        <v>1809</v>
      </c>
      <c r="B4" s="861"/>
      <c r="C4" s="861"/>
      <c r="D4" s="861"/>
      <c r="E4" s="861"/>
      <c r="F4" s="861"/>
      <c r="G4" s="861"/>
      <c r="H4" s="861"/>
      <c r="I4" s="861"/>
      <c r="J4" s="861"/>
      <c r="K4" s="861"/>
      <c r="L4" s="861"/>
      <c r="M4" s="861"/>
      <c r="N4" s="861"/>
      <c r="O4" s="861"/>
      <c r="P4" s="861"/>
      <c r="Q4" s="861"/>
      <c r="R4" s="861"/>
      <c r="S4" s="861"/>
      <c r="T4" s="861"/>
      <c r="U4" s="861"/>
      <c r="V4" s="861"/>
      <c r="W4" s="861"/>
      <c r="X4" s="861"/>
      <c r="Y4" s="86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2"/>
    </row>
    <row r="5" spans="1:73" ht="20.25" customHeight="1" x14ac:dyDescent="0.25">
      <c r="A5" s="143"/>
      <c r="B5" s="143"/>
      <c r="C5" s="143"/>
      <c r="D5" s="854" t="s">
        <v>1810</v>
      </c>
      <c r="E5" s="855"/>
      <c r="F5" s="855"/>
      <c r="G5" s="855"/>
      <c r="H5" s="855"/>
      <c r="I5" s="855"/>
      <c r="J5" s="855"/>
      <c r="K5" s="855"/>
      <c r="L5" s="855"/>
      <c r="M5" s="855"/>
      <c r="N5" s="792" t="s">
        <v>1674</v>
      </c>
      <c r="O5" s="792"/>
      <c r="P5" s="792"/>
      <c r="Q5" s="792" t="s">
        <v>1675</v>
      </c>
      <c r="R5" s="792"/>
      <c r="S5" s="792"/>
      <c r="T5" s="792" t="s">
        <v>1676</v>
      </c>
      <c r="U5" s="792"/>
      <c r="V5" s="792"/>
      <c r="W5" s="792" t="s">
        <v>1677</v>
      </c>
      <c r="X5" s="792"/>
      <c r="Y5" s="792"/>
      <c r="Z5" s="144"/>
      <c r="AA5" s="144"/>
      <c r="AB5" s="144"/>
      <c r="AC5" s="144"/>
      <c r="AD5" s="144"/>
      <c r="AE5" s="862">
        <v>2022</v>
      </c>
      <c r="AF5" s="862"/>
      <c r="AG5" s="862"/>
      <c r="AH5" s="862"/>
      <c r="AI5" s="862"/>
      <c r="AJ5" s="862"/>
      <c r="AK5" s="863"/>
      <c r="AL5" s="863"/>
      <c r="AM5" s="863"/>
      <c r="AN5" s="863"/>
      <c r="AO5" s="863"/>
      <c r="AP5" s="863"/>
      <c r="AQ5" s="863"/>
      <c r="AR5" s="863"/>
      <c r="AS5" s="863"/>
      <c r="AT5" s="863"/>
      <c r="AU5" s="863"/>
      <c r="AV5" s="863"/>
      <c r="AW5" s="145"/>
      <c r="AX5" s="145"/>
      <c r="AY5" s="146"/>
      <c r="AZ5" s="146"/>
      <c r="BA5" s="146"/>
      <c r="BB5" s="146"/>
      <c r="BC5" s="146"/>
      <c r="BD5" s="146"/>
      <c r="BE5" s="146"/>
      <c r="BF5" s="146"/>
      <c r="BG5" s="146"/>
      <c r="BH5" s="146"/>
      <c r="BI5" s="146"/>
      <c r="BJ5" s="146"/>
      <c r="BK5" s="146"/>
      <c r="BL5" s="146"/>
      <c r="BM5" s="146"/>
      <c r="BN5" s="146"/>
      <c r="BO5" s="146"/>
      <c r="BP5" s="146"/>
      <c r="BQ5" s="146"/>
      <c r="BR5" s="146"/>
      <c r="BS5" s="146"/>
      <c r="BT5" s="146"/>
      <c r="BU5" s="146"/>
    </row>
    <row r="6" spans="1:73" s="157" customFormat="1" ht="48" customHeight="1" x14ac:dyDescent="0.2">
      <c r="A6" s="147" t="s">
        <v>1679</v>
      </c>
      <c r="B6" s="148" t="s">
        <v>1811</v>
      </c>
      <c r="C6" s="149" t="s">
        <v>1812</v>
      </c>
      <c r="D6" s="150" t="s">
        <v>1640</v>
      </c>
      <c r="E6" s="151" t="s">
        <v>1682</v>
      </c>
      <c r="F6" s="152" t="s">
        <v>1683</v>
      </c>
      <c r="G6" s="152" t="s">
        <v>1684</v>
      </c>
      <c r="H6" s="152" t="s">
        <v>1685</v>
      </c>
      <c r="I6" s="148" t="s">
        <v>1686</v>
      </c>
      <c r="J6" s="148" t="s">
        <v>1750</v>
      </c>
      <c r="K6" s="148" t="s">
        <v>1688</v>
      </c>
      <c r="L6" s="148" t="s">
        <v>1689</v>
      </c>
      <c r="M6" s="148" t="s">
        <v>1690</v>
      </c>
      <c r="N6" s="32" t="s">
        <v>1691</v>
      </c>
      <c r="O6" s="32" t="s">
        <v>1692</v>
      </c>
      <c r="P6" s="32" t="s">
        <v>1693</v>
      </c>
      <c r="Q6" s="32" t="s">
        <v>1691</v>
      </c>
      <c r="R6" s="32" t="s">
        <v>1692</v>
      </c>
      <c r="S6" s="32" t="s">
        <v>1693</v>
      </c>
      <c r="T6" s="32" t="s">
        <v>1691</v>
      </c>
      <c r="U6" s="32" t="s">
        <v>1692</v>
      </c>
      <c r="V6" s="32" t="s">
        <v>1693</v>
      </c>
      <c r="W6" s="32" t="s">
        <v>1691</v>
      </c>
      <c r="X6" s="32" t="s">
        <v>1692</v>
      </c>
      <c r="Y6" s="32" t="s">
        <v>1693</v>
      </c>
      <c r="Z6" s="153"/>
      <c r="AA6" s="154"/>
      <c r="AB6" s="153"/>
      <c r="AC6" s="153"/>
      <c r="AD6" s="153"/>
      <c r="AE6" s="153"/>
      <c r="AF6" s="153"/>
      <c r="AG6" s="154"/>
      <c r="AH6" s="153"/>
      <c r="AI6" s="153"/>
      <c r="AJ6" s="153"/>
      <c r="AK6" s="153"/>
      <c r="AL6" s="153"/>
      <c r="AM6" s="154"/>
      <c r="AN6" s="153"/>
      <c r="AO6" s="153"/>
      <c r="AP6" s="153"/>
      <c r="AQ6" s="153"/>
      <c r="AR6" s="153"/>
      <c r="AS6" s="154"/>
      <c r="AT6" s="153"/>
      <c r="AU6" s="153"/>
      <c r="AV6" s="153"/>
      <c r="AW6" s="153"/>
      <c r="AX6" s="155"/>
      <c r="AY6" s="155"/>
      <c r="AZ6" s="155"/>
      <c r="BA6" s="156"/>
      <c r="BB6" s="156"/>
      <c r="BC6" s="156"/>
      <c r="BD6" s="156"/>
      <c r="BE6" s="156"/>
      <c r="BF6" s="156"/>
      <c r="BG6" s="156"/>
      <c r="BH6" s="156"/>
      <c r="BI6" s="156"/>
      <c r="BJ6" s="156"/>
      <c r="BK6" s="156"/>
      <c r="BL6" s="156"/>
      <c r="BM6" s="156"/>
      <c r="BN6" s="156"/>
      <c r="BO6" s="156"/>
      <c r="BP6" s="156"/>
      <c r="BQ6" s="156"/>
      <c r="BR6" s="156"/>
      <c r="BS6" s="156"/>
      <c r="BT6" s="156"/>
      <c r="BU6" s="156"/>
    </row>
    <row r="7" spans="1:73" s="157" customFormat="1" ht="6.75" customHeight="1" x14ac:dyDescent="0.2">
      <c r="A7" s="147"/>
      <c r="B7" s="148"/>
      <c r="C7" s="149"/>
      <c r="D7" s="150"/>
      <c r="E7" s="151"/>
      <c r="F7" s="152"/>
      <c r="G7" s="152"/>
      <c r="H7" s="152"/>
      <c r="I7" s="148"/>
      <c r="J7" s="148"/>
      <c r="K7" s="148"/>
      <c r="L7" s="148"/>
      <c r="M7" s="148"/>
      <c r="N7" s="32"/>
      <c r="O7" s="32"/>
      <c r="P7" s="32"/>
      <c r="Q7" s="32"/>
      <c r="R7" s="32"/>
      <c r="S7" s="32"/>
      <c r="T7" s="32"/>
      <c r="U7" s="32"/>
      <c r="V7" s="32"/>
      <c r="W7" s="32"/>
      <c r="X7" s="32"/>
      <c r="Y7" s="313"/>
      <c r="Z7" s="153"/>
      <c r="AA7" s="154"/>
      <c r="AB7" s="153"/>
      <c r="AC7" s="153"/>
      <c r="AD7" s="153"/>
      <c r="AE7" s="153"/>
      <c r="AF7" s="153"/>
      <c r="AG7" s="154"/>
      <c r="AH7" s="153"/>
      <c r="AI7" s="153"/>
      <c r="AJ7" s="153"/>
      <c r="AK7" s="153"/>
      <c r="AL7" s="153"/>
      <c r="AM7" s="154"/>
      <c r="AN7" s="153"/>
      <c r="AO7" s="153"/>
      <c r="AP7" s="153"/>
      <c r="AQ7" s="153"/>
      <c r="AR7" s="153"/>
      <c r="AS7" s="154"/>
      <c r="AT7" s="153"/>
      <c r="AU7" s="153"/>
      <c r="AV7" s="153"/>
      <c r="AW7" s="153"/>
      <c r="AX7" s="155"/>
      <c r="AY7" s="155"/>
      <c r="AZ7" s="155"/>
      <c r="BA7" s="156"/>
      <c r="BB7" s="156"/>
      <c r="BC7" s="156"/>
      <c r="BD7" s="156"/>
      <c r="BE7" s="156"/>
      <c r="BF7" s="156"/>
      <c r="BG7" s="156"/>
      <c r="BH7" s="156"/>
      <c r="BI7" s="156"/>
      <c r="BJ7" s="156"/>
      <c r="BK7" s="156"/>
      <c r="BL7" s="156"/>
      <c r="BM7" s="156"/>
      <c r="BN7" s="156"/>
      <c r="BO7" s="156"/>
      <c r="BP7" s="156"/>
      <c r="BQ7" s="156"/>
      <c r="BR7" s="156"/>
      <c r="BS7" s="156"/>
      <c r="BT7" s="156"/>
      <c r="BU7" s="156"/>
    </row>
    <row r="8" spans="1:73" s="146" customFormat="1" ht="110.25" x14ac:dyDescent="0.2">
      <c r="A8" s="498">
        <v>1</v>
      </c>
      <c r="B8" s="498">
        <v>0</v>
      </c>
      <c r="C8" s="158">
        <v>1</v>
      </c>
      <c r="D8" s="159" t="s">
        <v>1646</v>
      </c>
      <c r="E8" s="498" t="s">
        <v>1813</v>
      </c>
      <c r="F8" s="498" t="s">
        <v>1814</v>
      </c>
      <c r="G8" s="498" t="s">
        <v>1815</v>
      </c>
      <c r="H8" s="498" t="s">
        <v>284</v>
      </c>
      <c r="I8" s="115">
        <v>0.6</v>
      </c>
      <c r="J8" s="115">
        <v>0.7</v>
      </c>
      <c r="K8" s="115">
        <v>0.6</v>
      </c>
      <c r="L8" s="115">
        <f>'Plan de Acción 2022'!R65</f>
        <v>0.8</v>
      </c>
      <c r="M8" s="115">
        <v>1</v>
      </c>
      <c r="N8" s="115">
        <f>('Plan de Acción 2022'!W65+'Plan de Acción 2022'!W66+'Plan de Acción 2022'!W67+'Plan de Acción 2022'!W68+'Plan de Acción 2022'!W69+'Plan de Acción 2022'!W70+'Plan de Acción 2022'!W71+'Plan de Acción 2022'!W72+'Plan de Acción 2022'!W73+'Plan de Acción 2022'!W74+'Plan de Acción 2022'!W75+'Plan de Acción 2022'!W76+'Plan de Acción 2022'!W77+'Plan de Acción 2022'!W78+'Plan de Acción 2022'!W79+'Plan de Acción 2022'!W80+'Plan de Acción 2022'!W81+'Plan de Acción 2022'!W82+'Plan de Acción 2022'!W83+'Plan de Acción 2022'!W140+'Plan de Acción 2022'!W141)/21</f>
        <v>0.16666666666666669</v>
      </c>
      <c r="O8" s="216">
        <f>(N8*20%)/(L8-K8)</f>
        <v>0.16666666666666663</v>
      </c>
      <c r="P8" s="115" t="s">
        <v>1816</v>
      </c>
      <c r="Q8" s="115">
        <f>('Plan de Acción 2022'!Z65+'Plan de Acción 2022'!Z66+'Plan de Acción 2022'!Z67+'Plan de Acción 2022'!Z68+'Plan de Acción 2022'!Z69+'Plan de Acción 2022'!Z70+'Plan de Acción 2022'!Z71+'Plan de Acción 2022'!Z72+'Plan de Acción 2022'!Z73+'Plan de Acción 2022'!Z74+'Plan de Acción 2022'!Z75+'Plan de Acción 2022'!Z76+'Plan de Acción 2022'!Z77+'Plan de Acción 2022'!Z78+'Plan de Acción 2022'!Z79+'Plan de Acción 2022'!Z80+'Plan de Acción 2022'!Z81+'Plan de Acción 2022'!Z82+'Plan de Acción 2022'!Z83+'Plan de Acción 2022'!Z140+'Plan de Acción 2022'!Z141)/21</f>
        <v>0</v>
      </c>
      <c r="R8" s="216">
        <f>(Q8*20%)/(L8-K8)</f>
        <v>0</v>
      </c>
      <c r="S8" s="115"/>
      <c r="T8" s="115">
        <f>('Plan de Acción 2022'!AC65+'Plan de Acción 2022'!AC66+'Plan de Acción 2022'!AC67+'Plan de Acción 2022'!AC68+'Plan de Acción 2022'!AC69+'Plan de Acción 2022'!AC70+'Plan de Acción 2022'!AC71+'Plan de Acción 2022'!AC72+'Plan de Acción 2022'!AC73+'Plan de Acción 2022'!AC74+'Plan de Acción 2022'!AC75+'Plan de Acción 2022'!AC76+'Plan de Acción 2022'!AC77+'Plan de Acción 2022'!AC78+'Plan de Acción 2022'!AC79+'Plan de Acción 2022'!AC80+'Plan de Acción 2022'!AC81+'Plan de Acción 2022'!AC82+'Plan de Acción 2022'!AC83+'Plan de Acción 2022'!AC140+'Plan de Acción 2022'!AC141)/21</f>
        <v>0</v>
      </c>
      <c r="U8" s="216">
        <f>(T8*20)/(L8-K8)</f>
        <v>0</v>
      </c>
      <c r="V8" s="498"/>
      <c r="W8" s="115">
        <f>('Plan de Acción 2022'!AF65+'Plan de Acción 2022'!AF66+'Plan de Acción 2022'!AF67+'Plan de Acción 2022'!AF68+'Plan de Acción 2022'!AF69+'Plan de Acción 2022'!AF70+'Plan de Acción 2022'!AF71+'Plan de Acción 2022'!AF72+'Plan de Acción 2022'!AF73+'Plan de Acción 2022'!AF74+'Plan de Acción 2022'!AF75+'Plan de Acción 2022'!AF76+'Plan de Acción 2022'!AF77+'Plan de Acción 2022'!AF78+'Plan de Acción 2022'!AF79+'Plan de Acción 2022'!AF80+'Plan de Acción 2022'!AF81+'Plan de Acción 2022'!AF82+'Plan de Acción 2022'!AF83+'Plan de Acción 2022'!AF140+'Plan de Acción 2022'!AF141)/21</f>
        <v>0</v>
      </c>
      <c r="X8" s="216">
        <f>(W8*20)/(L8-K8)</f>
        <v>0</v>
      </c>
      <c r="Y8" s="160"/>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row>
    <row r="9" spans="1:73" ht="63" x14ac:dyDescent="0.2">
      <c r="A9" s="497">
        <v>2</v>
      </c>
      <c r="B9" s="497">
        <v>1</v>
      </c>
      <c r="C9" s="161">
        <v>0</v>
      </c>
      <c r="D9" s="162" t="s">
        <v>1654</v>
      </c>
      <c r="E9" s="118" t="s">
        <v>1817</v>
      </c>
      <c r="F9" s="497" t="s">
        <v>1014</v>
      </c>
      <c r="G9" s="118" t="s">
        <v>1015</v>
      </c>
      <c r="H9" s="497" t="s">
        <v>1818</v>
      </c>
      <c r="I9" s="497" t="s">
        <v>52</v>
      </c>
      <c r="J9" s="119">
        <v>0.25</v>
      </c>
      <c r="K9" s="163">
        <v>0.02</v>
      </c>
      <c r="L9" s="119">
        <f>'Plan de Acción 2022'!R281</f>
        <v>0.5</v>
      </c>
      <c r="M9" s="119">
        <v>1</v>
      </c>
      <c r="N9" s="119">
        <f>'Plan de Acción 2022'!W281</f>
        <v>0.4</v>
      </c>
      <c r="O9" s="216">
        <f>(N9*48%)/(L9-K9)</f>
        <v>0.4</v>
      </c>
      <c r="P9" s="115" t="s">
        <v>1020</v>
      </c>
      <c r="Q9" s="119">
        <f>'Plan de Acción 2022'!Z281</f>
        <v>0</v>
      </c>
      <c r="R9" s="216">
        <f>(Q9*48)/(L9-K9)</f>
        <v>0</v>
      </c>
      <c r="S9" s="497"/>
      <c r="T9" s="119">
        <f>'Plan de Acción 2022'!AC281</f>
        <v>0</v>
      </c>
      <c r="U9" s="216">
        <f>(T9*48)/(L9-K9)</f>
        <v>0</v>
      </c>
      <c r="V9" s="498"/>
      <c r="W9" s="119">
        <f>'Plan de Acción 2022'!AF281</f>
        <v>0</v>
      </c>
      <c r="X9" s="216">
        <f>(W9*48)/(L9-K9)</f>
        <v>0</v>
      </c>
      <c r="Y9" s="164"/>
    </row>
    <row r="10" spans="1:73" s="146" customFormat="1" ht="267.75" x14ac:dyDescent="0.2">
      <c r="A10" s="831">
        <v>3</v>
      </c>
      <c r="B10" s="498">
        <v>0</v>
      </c>
      <c r="C10" s="158">
        <v>1</v>
      </c>
      <c r="D10" s="159" t="s">
        <v>1646</v>
      </c>
      <c r="E10" s="498" t="s">
        <v>1819</v>
      </c>
      <c r="F10" s="851" t="s">
        <v>1820</v>
      </c>
      <c r="G10" s="498" t="s">
        <v>1821</v>
      </c>
      <c r="H10" s="498" t="s">
        <v>390</v>
      </c>
      <c r="I10" s="119">
        <v>0.37</v>
      </c>
      <c r="J10" s="119" t="s">
        <v>1822</v>
      </c>
      <c r="K10" s="163">
        <v>0.05</v>
      </c>
      <c r="L10" s="119">
        <f>'Plan de Acción 2022'!R92</f>
        <v>0.05</v>
      </c>
      <c r="M10" s="119">
        <v>0.1</v>
      </c>
      <c r="N10" s="119">
        <f>('Plan de Acción 2022'!W92+'Plan de Acción 2022'!W93+'Plan de Acción 2022'!W94)/3</f>
        <v>0.16666666666666666</v>
      </c>
      <c r="O10" s="216">
        <f>(N10*5%)/(L10)</f>
        <v>0.16666666666666666</v>
      </c>
      <c r="P10" s="119" t="s">
        <v>1823</v>
      </c>
      <c r="Q10" s="119">
        <f>('Plan de Acción 2022'!Z92+'Plan de Acción 2022'!Z93+'Plan de Acción 2022'!Z94)/3</f>
        <v>0</v>
      </c>
      <c r="R10" s="216">
        <f>(Q10*5%)/L10</f>
        <v>0</v>
      </c>
      <c r="S10" s="115"/>
      <c r="T10" s="119">
        <f>('Plan de Acción 2022'!AC92+'Plan de Acción 2022'!AC93+'Plan de Acción 2022'!AC94)/3</f>
        <v>0</v>
      </c>
      <c r="U10" s="216">
        <f>(T10*5%)/L10</f>
        <v>0</v>
      </c>
      <c r="V10" s="498"/>
      <c r="W10" s="119">
        <f>('Plan de Acción 2022'!AF92+'Plan de Acción 2022'!AF93+'Plan de Acción 2022'!AF94)/3</f>
        <v>0</v>
      </c>
      <c r="X10" s="216">
        <f>(W10*5%)/L10</f>
        <v>0</v>
      </c>
      <c r="Y10" s="160"/>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row>
    <row r="11" spans="1:73" ht="78.75" x14ac:dyDescent="0.2">
      <c r="A11" s="831"/>
      <c r="B11" s="497">
        <v>1</v>
      </c>
      <c r="C11" s="161">
        <v>0</v>
      </c>
      <c r="D11" s="162" t="s">
        <v>1824</v>
      </c>
      <c r="E11" s="497" t="s">
        <v>1825</v>
      </c>
      <c r="F11" s="851"/>
      <c r="G11" s="497" t="s">
        <v>1826</v>
      </c>
      <c r="H11" s="497" t="s">
        <v>403</v>
      </c>
      <c r="I11" s="119">
        <v>0.05</v>
      </c>
      <c r="J11" s="119">
        <v>0.2</v>
      </c>
      <c r="K11" s="165">
        <v>0.06</v>
      </c>
      <c r="L11" s="119">
        <f>'Plan de Acción 2022'!R95</f>
        <v>0.4</v>
      </c>
      <c r="M11" s="119">
        <v>0.8</v>
      </c>
      <c r="N11" s="417">
        <f>'Plan de Acción 2022'!W95</f>
        <v>0.05</v>
      </c>
      <c r="O11" s="216">
        <f>(N11*34%)/(L11-K11)</f>
        <v>0.05</v>
      </c>
      <c r="P11" s="119" t="s">
        <v>405</v>
      </c>
      <c r="Q11" s="119">
        <f>'Plan de Acción 2022'!Z95</f>
        <v>0</v>
      </c>
      <c r="R11" s="216">
        <f>(Q11*34%)/(L11-K11)</f>
        <v>0</v>
      </c>
      <c r="S11" s="116"/>
      <c r="T11" s="119">
        <f>'Plan de Acción 2022'!AC95</f>
        <v>0</v>
      </c>
      <c r="U11" s="216">
        <f>(T11*34%)/(L11-K11)</f>
        <v>0</v>
      </c>
      <c r="V11" s="503"/>
      <c r="W11" s="119">
        <f>'Plan de Acción 2022'!AF95</f>
        <v>0</v>
      </c>
      <c r="X11" s="216">
        <f>(W11*34%)/(L11-K11)</f>
        <v>0</v>
      </c>
      <c r="Y11" s="166"/>
    </row>
    <row r="12" spans="1:73" ht="126" x14ac:dyDescent="0.2">
      <c r="A12" s="831"/>
      <c r="B12" s="497">
        <v>1</v>
      </c>
      <c r="C12" s="161">
        <v>0</v>
      </c>
      <c r="D12" s="162" t="s">
        <v>1646</v>
      </c>
      <c r="E12" s="497" t="s">
        <v>1819</v>
      </c>
      <c r="F12" s="851"/>
      <c r="G12" s="497" t="s">
        <v>1827</v>
      </c>
      <c r="H12" s="497" t="s">
        <v>357</v>
      </c>
      <c r="I12" s="119">
        <v>0.8</v>
      </c>
      <c r="J12" s="119">
        <v>0.85</v>
      </c>
      <c r="K12" s="165">
        <v>0.83</v>
      </c>
      <c r="L12" s="119">
        <f>'Plan de Acción 2022'!R84</f>
        <v>0.9</v>
      </c>
      <c r="M12" s="119">
        <v>1</v>
      </c>
      <c r="N12" s="119">
        <f>('Plan de Acción 2022'!W84+'Plan de Acción 2022'!W85+'Plan de Acción 2022'!W86+'Plan de Acción 2022'!W88+'Plan de Acción 2022'!W87+'Plan de Acción 2022'!W89+'Plan de Acción 2022'!W142+'Plan de Acción 2022'!W143)/10</f>
        <v>0.32500000000000001</v>
      </c>
      <c r="O12" s="216">
        <f>(N12*7%)/(L12-K12)</f>
        <v>0.32499999999999973</v>
      </c>
      <c r="P12" s="119" t="s">
        <v>1828</v>
      </c>
      <c r="Q12" s="119">
        <f>('Plan de Acción 2022'!Z84+'Plan de Acción 2022'!Z85+'Plan de Acción 2022'!Z86+'Plan de Acción 2022'!Z88+'Plan de Acción 2022'!Z87+'Plan de Acción 2022'!Z89+'Plan de Acción 2022'!Z90+'Plan de Acción 2022'!Z91+'Plan de Acción 2022'!Z142+'Plan de Acción 2022'!Z143)/10</f>
        <v>0</v>
      </c>
      <c r="R12" s="216">
        <f>(Q12*7%)/(L12-K12)</f>
        <v>0</v>
      </c>
      <c r="S12" s="119"/>
      <c r="T12" s="119">
        <f>('Plan de Acción 2022'!AC84+'Plan de Acción 2022'!AC85+'Plan de Acción 2022'!AC86+'Plan de Acción 2022'!AC88+'Plan de Acción 2022'!AC87+'Plan de Acción 2022'!AC89+'Plan de Acción 2022'!AC90+'Plan de Acción 2022'!AC91+'Plan de Acción 2022'!AC142+'Plan de Acción 2022'!AC143)/10</f>
        <v>0</v>
      </c>
      <c r="U12" s="216">
        <f>(T12*7%)/(L12-K12)</f>
        <v>0</v>
      </c>
      <c r="V12" s="503"/>
      <c r="W12" s="119">
        <f>('Plan de Acción 2022'!AF84+'Plan de Acción 2022'!AF85+'Plan de Acción 2022'!AF86+'Plan de Acción 2022'!AF88+'Plan de Acción 2022'!AF87+'Plan de Acción 2022'!AF89+'Plan de Acción 2022'!AF90+'Plan de Acción 2022'!AF91+'Plan de Acción 2022'!AF142+'Plan de Acción 2022'!AF143)/10</f>
        <v>0</v>
      </c>
      <c r="X12" s="216">
        <f>(W12*7%)/(L12-K12)</f>
        <v>0</v>
      </c>
      <c r="Y12" s="166"/>
    </row>
    <row r="13" spans="1:73" s="146" customFormat="1" ht="173.25" x14ac:dyDescent="0.2">
      <c r="A13" s="498"/>
      <c r="B13" s="498">
        <v>0</v>
      </c>
      <c r="C13" s="158">
        <v>1</v>
      </c>
      <c r="D13" s="159" t="s">
        <v>1652</v>
      </c>
      <c r="E13" s="118" t="s">
        <v>1652</v>
      </c>
      <c r="F13" s="851" t="s">
        <v>1829</v>
      </c>
      <c r="G13" s="851" t="s">
        <v>1830</v>
      </c>
      <c r="H13" s="498" t="s">
        <v>1831</v>
      </c>
      <c r="I13" s="115">
        <v>0.1</v>
      </c>
      <c r="J13" s="115">
        <v>0.9</v>
      </c>
      <c r="K13" s="168">
        <v>0.9</v>
      </c>
      <c r="L13" s="115">
        <f>'Plan de Acción 2022'!R144</f>
        <v>0.95</v>
      </c>
      <c r="M13" s="115">
        <v>1</v>
      </c>
      <c r="N13" s="115">
        <f>'Plan de Acción 2022'!W145</f>
        <v>0.1</v>
      </c>
      <c r="O13" s="216">
        <f>(N13*5%)/(L13-K13)</f>
        <v>0.10000000000000016</v>
      </c>
      <c r="P13" s="115" t="s">
        <v>1832</v>
      </c>
      <c r="Q13" s="115">
        <f>'Plan de Acción 2022'!Z145</f>
        <v>0</v>
      </c>
      <c r="R13" s="216">
        <f>(Q13*5%)/(L13-K13)</f>
        <v>0</v>
      </c>
      <c r="S13" s="115"/>
      <c r="T13" s="115">
        <f>'Plan de Acción 2022'!AC145</f>
        <v>0</v>
      </c>
      <c r="U13" s="216">
        <f>(T13*5%)/(L13-K13)</f>
        <v>0</v>
      </c>
      <c r="V13" s="167"/>
      <c r="W13" s="115">
        <f>'Plan de Acción 2022'!AF145</f>
        <v>0</v>
      </c>
      <c r="X13" s="216">
        <f>(W13*5%)/(L13-K13)</f>
        <v>0</v>
      </c>
      <c r="Y13" s="169"/>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row>
    <row r="14" spans="1:73" s="146" customFormat="1" ht="126" x14ac:dyDescent="0.2">
      <c r="A14" s="498">
        <v>4</v>
      </c>
      <c r="B14" s="498">
        <v>0</v>
      </c>
      <c r="C14" s="158">
        <v>1</v>
      </c>
      <c r="D14" s="159" t="s">
        <v>1652</v>
      </c>
      <c r="E14" s="118" t="s">
        <v>1833</v>
      </c>
      <c r="F14" s="851"/>
      <c r="G14" s="851"/>
      <c r="H14" s="498" t="s">
        <v>1834</v>
      </c>
      <c r="I14" s="115">
        <v>0</v>
      </c>
      <c r="J14" s="115">
        <v>0.1</v>
      </c>
      <c r="K14" s="170">
        <v>0.1</v>
      </c>
      <c r="L14" s="115">
        <f>'Plan de Acción 2022'!R145</f>
        <v>0.2</v>
      </c>
      <c r="M14" s="115">
        <v>0.5</v>
      </c>
      <c r="N14" s="115">
        <f>'Plan de Acción 2022'!W145</f>
        <v>0.1</v>
      </c>
      <c r="O14" s="216">
        <f>(N14*10%)/(L14-K14)</f>
        <v>0.10000000000000002</v>
      </c>
      <c r="P14" s="115" t="s">
        <v>1835</v>
      </c>
      <c r="Q14" s="115">
        <f>'Plan de Acción 2022'!Z145</f>
        <v>0</v>
      </c>
      <c r="R14" s="216">
        <f>(Q14*10)/(L14-K14)</f>
        <v>0</v>
      </c>
      <c r="S14" s="115"/>
      <c r="T14" s="115">
        <f>'Plan de Acción 2022'!AC145</f>
        <v>0</v>
      </c>
      <c r="U14" s="216">
        <f>(T14*10)/(L14-K14)</f>
        <v>0</v>
      </c>
      <c r="V14" s="499"/>
      <c r="W14" s="115">
        <f>'Plan de Acción 2022'!AF145</f>
        <v>0</v>
      </c>
      <c r="X14" s="216">
        <f>(W14*10)/(L14-K14)</f>
        <v>0</v>
      </c>
      <c r="Y14" s="171"/>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row>
    <row r="15" spans="1:73" s="146" customFormat="1" ht="409.5" x14ac:dyDescent="0.2">
      <c r="A15" s="831">
        <v>5</v>
      </c>
      <c r="B15" s="498">
        <v>1</v>
      </c>
      <c r="C15" s="158">
        <v>0</v>
      </c>
      <c r="D15" s="159" t="s">
        <v>1652</v>
      </c>
      <c r="E15" s="498" t="s">
        <v>1833</v>
      </c>
      <c r="F15" s="851" t="s">
        <v>1836</v>
      </c>
      <c r="G15" s="498" t="s">
        <v>1837</v>
      </c>
      <c r="H15" s="498" t="s">
        <v>565</v>
      </c>
      <c r="I15" s="115">
        <v>0.05</v>
      </c>
      <c r="J15" s="115">
        <v>0.12</v>
      </c>
      <c r="K15" s="170">
        <v>0.12</v>
      </c>
      <c r="L15" s="115">
        <f>'Plan de Acción 2022'!R147</f>
        <v>0.24</v>
      </c>
      <c r="M15" s="115">
        <v>0.5</v>
      </c>
      <c r="N15" s="115">
        <f>('Plan de Acción 2022'!W147+'Plan de Acción 2022'!W148+'Plan de Acción 2022'!W149+'Plan de Acción 2022'!W150+'Plan de Acción 2022'!W151+'Plan de Acción 2022'!W152+'Plan de Acción 2022'!W153+'Plan de Acción 2022'!W154+'Plan de Acción 2022'!W155+'Plan de Acción 2022'!W156+'Plan de Acción 2022'!W157+'Plan de Acción 2022'!W159)/12</f>
        <v>0.14430000000000001</v>
      </c>
      <c r="O15" s="216">
        <f>(N15*12%)/(L15-K15)</f>
        <v>0.14430000000000001</v>
      </c>
      <c r="P15" s="115" t="s">
        <v>1838</v>
      </c>
      <c r="Q15" s="115">
        <f>('Plan de Acción 2022'!Z147+'Plan de Acción 2022'!Z148+'Plan de Acción 2022'!Z149+'Plan de Acción 2022'!Z150+'Plan de Acción 2022'!Z151+'Plan de Acción 2022'!Z152+'Plan de Acción 2022'!Z153+'Plan de Acción 2022'!Z154+'Plan de Acción 2022'!Z155+'Plan de Acción 2022'!Z156+'Plan de Acción 2022'!Z157+'Plan de Acción 2022'!Z159)/12</f>
        <v>0</v>
      </c>
      <c r="R15" s="216">
        <f>(Q15*12)/(L15-K15)</f>
        <v>0</v>
      </c>
      <c r="S15" s="115"/>
      <c r="T15" s="115">
        <f>('Plan de Acción 2022'!AC147+'Plan de Acción 2022'!AC148+'Plan de Acción 2022'!AC149+'Plan de Acción 2022'!AC150+'Plan de Acción 2022'!AC151+'Plan de Acción 2022'!AC152+'Plan de Acción 2022'!AC153+'Plan de Acción 2022'!AC154+'Plan de Acción 2022'!AC155+'Plan de Acción 2022'!AC156+'Plan de Acción 2022'!AC157+'Plan de Acción 2022'!AC159)/12</f>
        <v>0</v>
      </c>
      <c r="U15" s="216">
        <f>(T15*12)/(L15-K15)</f>
        <v>0</v>
      </c>
      <c r="V15" s="499"/>
      <c r="W15" s="115">
        <f>('Plan de Acción 2022'!AF147+'Plan de Acción 2022'!AF148+'Plan de Acción 2022'!AF149+'Plan de Acción 2022'!AF150+'Plan de Acción 2022'!AF151+'Plan de Acción 2022'!AF152+'Plan de Acción 2022'!AF153+'Plan de Acción 2022'!AF154+'Plan de Acción 2022'!AF155+'Plan de Acción 2022'!AF156+'Plan de Acción 2022'!AF157+'Plan de Acción 2022'!AF159)/12</f>
        <v>0</v>
      </c>
      <c r="X15" s="216">
        <f>(W15*12)/(L15-K15)</f>
        <v>0</v>
      </c>
      <c r="Y15" s="171"/>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row>
    <row r="16" spans="1:73" ht="73.5" customHeight="1" x14ac:dyDescent="0.2">
      <c r="A16" s="831"/>
      <c r="B16" s="497">
        <v>1</v>
      </c>
      <c r="C16" s="161">
        <v>0</v>
      </c>
      <c r="D16" s="159" t="s">
        <v>1652</v>
      </c>
      <c r="E16" s="498" t="s">
        <v>1833</v>
      </c>
      <c r="F16" s="851"/>
      <c r="G16" s="497" t="s">
        <v>1839</v>
      </c>
      <c r="H16" s="497" t="s">
        <v>594</v>
      </c>
      <c r="I16" s="497">
        <v>0</v>
      </c>
      <c r="J16" s="497">
        <v>2</v>
      </c>
      <c r="K16" s="165">
        <v>0.01</v>
      </c>
      <c r="L16" s="119">
        <f>'Plan de Acción 2022'!R160</f>
        <v>0.04</v>
      </c>
      <c r="M16" s="497">
        <v>8</v>
      </c>
      <c r="N16" s="417">
        <f>('Plan de Acción 2022'!W160+'Plan de Acción 2022'!W161)/2</f>
        <v>0.05</v>
      </c>
      <c r="O16" s="216">
        <f>(N16*3%)/(L16-K16)</f>
        <v>0.05</v>
      </c>
      <c r="P16" s="497" t="s">
        <v>596</v>
      </c>
      <c r="Q16" s="119">
        <f>('Plan de Acción 2022'!Z160+'Plan de Acción 2022'!Z161)/2</f>
        <v>0</v>
      </c>
      <c r="R16" s="216">
        <f>(Q16*3)/(L16-K16)</f>
        <v>0</v>
      </c>
      <c r="S16" s="497"/>
      <c r="T16" s="119">
        <f>('Plan de Acción 2022'!AC160+'Plan de Acción 2022'!AC161)/2</f>
        <v>0</v>
      </c>
      <c r="U16" s="216">
        <f>(T16*3)/(L16-K16)</f>
        <v>0</v>
      </c>
      <c r="V16" s="503"/>
      <c r="W16" s="119">
        <f>('Plan de Acción 2022'!AF160+'Plan de Acción 2022'!AF161)/2</f>
        <v>0</v>
      </c>
      <c r="X16" s="216">
        <f>(W16*3)/(L16-K16)</f>
        <v>0</v>
      </c>
      <c r="Y16" s="166"/>
    </row>
    <row r="17" spans="1:52" ht="78.75" x14ac:dyDescent="0.2">
      <c r="A17" s="831"/>
      <c r="B17" s="497">
        <v>1</v>
      </c>
      <c r="C17" s="161">
        <v>0</v>
      </c>
      <c r="D17" s="159" t="s">
        <v>1652</v>
      </c>
      <c r="E17" s="497" t="s">
        <v>1840</v>
      </c>
      <c r="F17" s="851"/>
      <c r="G17" s="497" t="s">
        <v>1841</v>
      </c>
      <c r="H17" s="497" t="s">
        <v>602</v>
      </c>
      <c r="I17" s="119">
        <v>0.4</v>
      </c>
      <c r="J17" s="119">
        <v>0.5</v>
      </c>
      <c r="K17" s="165">
        <v>0.5</v>
      </c>
      <c r="L17" s="119">
        <f>'Plan de Acción 2022'!R162</f>
        <v>0.7</v>
      </c>
      <c r="M17" s="119">
        <v>1</v>
      </c>
      <c r="N17" s="119">
        <f>'Plan de Acción 2022'!W162</f>
        <v>0.25</v>
      </c>
      <c r="O17" s="216">
        <f>(N17*20%)/(L17-K17)</f>
        <v>0.25000000000000006</v>
      </c>
      <c r="P17" s="119" t="s">
        <v>603</v>
      </c>
      <c r="Q17" s="119">
        <f>'Plan de Acción 2022'!Z162</f>
        <v>0</v>
      </c>
      <c r="R17" s="216">
        <f>(Q17*20)/(L17-K17)</f>
        <v>0</v>
      </c>
      <c r="S17" s="119"/>
      <c r="T17" s="119">
        <f>'Plan de Acción 2022'!AC162</f>
        <v>0</v>
      </c>
      <c r="U17" s="216">
        <f>(T17*20)/(L17-K17)</f>
        <v>0</v>
      </c>
      <c r="V17" s="503"/>
      <c r="W17" s="119">
        <f>'Plan de Acción 2022'!AF162</f>
        <v>0</v>
      </c>
      <c r="X17" s="216">
        <f>(W17*20)/(L17-K17)</f>
        <v>0</v>
      </c>
      <c r="Y17" s="166"/>
    </row>
    <row r="18" spans="1:52" ht="157.5" x14ac:dyDescent="0.2">
      <c r="A18" s="831"/>
      <c r="B18" s="497">
        <v>1</v>
      </c>
      <c r="C18" s="161">
        <v>0</v>
      </c>
      <c r="D18" s="159" t="s">
        <v>1652</v>
      </c>
      <c r="E18" s="118" t="s">
        <v>1833</v>
      </c>
      <c r="F18" s="851"/>
      <c r="G18" s="497" t="s">
        <v>1842</v>
      </c>
      <c r="H18" s="497" t="s">
        <v>1843</v>
      </c>
      <c r="I18" s="119">
        <v>0.4</v>
      </c>
      <c r="J18" s="119">
        <v>0.6</v>
      </c>
      <c r="K18" s="165">
        <v>0.6</v>
      </c>
      <c r="L18" s="119">
        <f>'Plan de Acción 2022'!R163</f>
        <v>0.8</v>
      </c>
      <c r="M18" s="119">
        <v>1</v>
      </c>
      <c r="N18" s="119">
        <f>'Plan de Acción 2022'!W163</f>
        <v>0.25</v>
      </c>
      <c r="O18" s="216">
        <f>(N18*20%)/(L18-K18)</f>
        <v>0.24999999999999994</v>
      </c>
      <c r="P18" s="119" t="s">
        <v>1844</v>
      </c>
      <c r="Q18" s="119">
        <f>'Plan de Acción 2022'!Z163</f>
        <v>0</v>
      </c>
      <c r="R18" s="216">
        <f>(Q18*20)/(L18-K18)</f>
        <v>0</v>
      </c>
      <c r="S18" s="497"/>
      <c r="T18" s="119">
        <f>'Plan de Acción 2022'!AC163</f>
        <v>0</v>
      </c>
      <c r="U18" s="216">
        <f>(T18*20)/(L18-K18)</f>
        <v>0</v>
      </c>
      <c r="V18" s="503"/>
      <c r="W18" s="119">
        <f>'Plan de Acción 2022'!AF163</f>
        <v>0</v>
      </c>
      <c r="X18" s="216">
        <f>(W18*20)/(L18-K18)</f>
        <v>0</v>
      </c>
      <c r="Y18" s="172"/>
    </row>
    <row r="19" spans="1:52" ht="94.5" x14ac:dyDescent="0.2">
      <c r="A19" s="831"/>
      <c r="B19" s="497">
        <v>1</v>
      </c>
      <c r="C19" s="161">
        <v>0</v>
      </c>
      <c r="D19" s="159" t="s">
        <v>1652</v>
      </c>
      <c r="E19" s="118" t="s">
        <v>1833</v>
      </c>
      <c r="F19" s="851"/>
      <c r="G19" s="831" t="s">
        <v>1845</v>
      </c>
      <c r="H19" s="497" t="s">
        <v>1846</v>
      </c>
      <c r="I19" s="119">
        <v>0.2</v>
      </c>
      <c r="J19" s="119">
        <v>0.6</v>
      </c>
      <c r="K19" s="165">
        <v>0.6</v>
      </c>
      <c r="L19" s="119">
        <f>'Plan de Acción 2022'!R164</f>
        <v>1</v>
      </c>
      <c r="M19" s="119">
        <v>1</v>
      </c>
      <c r="N19" s="417">
        <f>('Plan de Acción 2022'!W164)</f>
        <v>0</v>
      </c>
      <c r="O19" s="216">
        <f>(N19*40%)/(L19-K19)</f>
        <v>0</v>
      </c>
      <c r="P19" s="119" t="s">
        <v>612</v>
      </c>
      <c r="Q19" s="119">
        <f>('Plan de Acción 2022'!Z164)</f>
        <v>0</v>
      </c>
      <c r="R19" s="216">
        <f>(Q19*40%)/(L19-K19)</f>
        <v>0</v>
      </c>
      <c r="S19" s="119"/>
      <c r="T19" s="119">
        <f>('Plan de Acción 2022'!AC164)</f>
        <v>0</v>
      </c>
      <c r="U19" s="216">
        <f>(T19*40%)/(L19-K19)</f>
        <v>0</v>
      </c>
      <c r="V19" s="314"/>
      <c r="W19" s="119">
        <f>('Plan de Acción 2022'!AF164)</f>
        <v>0</v>
      </c>
      <c r="X19" s="216">
        <f>(W19*40%)/(L19-K19)</f>
        <v>0</v>
      </c>
      <c r="Y19" s="172"/>
    </row>
    <row r="20" spans="1:52" ht="110.25" x14ac:dyDescent="0.2">
      <c r="A20" s="831"/>
      <c r="B20" s="497">
        <v>1</v>
      </c>
      <c r="C20" s="161">
        <v>0</v>
      </c>
      <c r="D20" s="159" t="s">
        <v>1652</v>
      </c>
      <c r="E20" s="118" t="s">
        <v>1833</v>
      </c>
      <c r="F20" s="851"/>
      <c r="G20" s="831"/>
      <c r="H20" s="497" t="s">
        <v>1847</v>
      </c>
      <c r="I20" s="119">
        <v>0</v>
      </c>
      <c r="J20" s="119">
        <v>0.1</v>
      </c>
      <c r="K20" s="165">
        <v>0.1</v>
      </c>
      <c r="L20" s="119">
        <f>'Plan de Acción 2022'!R165</f>
        <v>0.3</v>
      </c>
      <c r="M20" s="119">
        <v>0.7</v>
      </c>
      <c r="N20" s="119">
        <f>'Plan de Acción 2022'!W165</f>
        <v>0.6</v>
      </c>
      <c r="O20" s="216">
        <f>(N20*20%)/(L20-K20)</f>
        <v>0.6</v>
      </c>
      <c r="P20" s="119" t="s">
        <v>1848</v>
      </c>
      <c r="Q20" s="119">
        <f>'Plan de Acción 2022'!Z165</f>
        <v>0</v>
      </c>
      <c r="R20" s="216">
        <f>(Q20*20)/(L20-K20)</f>
        <v>0</v>
      </c>
      <c r="S20" s="119"/>
      <c r="T20" s="119">
        <f>'Plan de Acción 2022'!AC165</f>
        <v>0</v>
      </c>
      <c r="U20" s="216">
        <f>(T20*20)/(L20-K20)</f>
        <v>0</v>
      </c>
      <c r="V20" s="314"/>
      <c r="W20" s="119">
        <f>'Plan de Acción 2022'!AF165</f>
        <v>0</v>
      </c>
      <c r="X20" s="216">
        <f>(W20*20)/(L20-K20)</f>
        <v>0</v>
      </c>
      <c r="Y20" s="166"/>
    </row>
    <row r="21" spans="1:52" ht="94.5" x14ac:dyDescent="0.2">
      <c r="A21" s="831"/>
      <c r="B21" s="497">
        <v>1</v>
      </c>
      <c r="C21" s="161">
        <v>0</v>
      </c>
      <c r="D21" s="159" t="s">
        <v>1652</v>
      </c>
      <c r="E21" s="118" t="s">
        <v>1833</v>
      </c>
      <c r="F21" s="851"/>
      <c r="G21" s="497" t="s">
        <v>1849</v>
      </c>
      <c r="H21" s="497" t="s">
        <v>618</v>
      </c>
      <c r="I21" s="119">
        <v>0.2</v>
      </c>
      <c r="J21" s="119">
        <v>0.4</v>
      </c>
      <c r="K21" s="165">
        <v>0.37</v>
      </c>
      <c r="L21" s="119">
        <f>'Plan de Acción 2022'!R166</f>
        <v>0.6</v>
      </c>
      <c r="M21" s="119">
        <v>1</v>
      </c>
      <c r="N21" s="417">
        <f>('Plan de Acción 2022'!W166+'Plan de Acción 2022'!W167)/2</f>
        <v>0</v>
      </c>
      <c r="O21" s="216">
        <f>(N21*23%)/(L21-K21)</f>
        <v>0</v>
      </c>
      <c r="P21" s="119" t="s">
        <v>612</v>
      </c>
      <c r="Q21" s="119"/>
      <c r="R21" s="216">
        <f>(Q21*23)/(L21-K21)</f>
        <v>0</v>
      </c>
      <c r="S21" s="115"/>
      <c r="T21" s="115"/>
      <c r="U21" s="216">
        <f>(T21*23%)/(L21-K21)</f>
        <v>0</v>
      </c>
      <c r="V21" s="503"/>
      <c r="W21" s="165"/>
      <c r="X21" s="216">
        <f>(W21*23%)/(L21-K21)</f>
        <v>0</v>
      </c>
      <c r="Y21" s="166"/>
    </row>
    <row r="22" spans="1:52" ht="236.25" x14ac:dyDescent="0.2">
      <c r="A22" s="831"/>
      <c r="B22" s="497">
        <v>1</v>
      </c>
      <c r="C22" s="161">
        <v>0</v>
      </c>
      <c r="D22" s="159" t="s">
        <v>1652</v>
      </c>
      <c r="E22" s="118" t="s">
        <v>1833</v>
      </c>
      <c r="F22" s="851"/>
      <c r="G22" s="497" t="s">
        <v>1850</v>
      </c>
      <c r="H22" s="497" t="s">
        <v>623</v>
      </c>
      <c r="I22" s="119">
        <v>0.2</v>
      </c>
      <c r="J22" s="119">
        <v>0.4</v>
      </c>
      <c r="K22" s="168">
        <v>0.3</v>
      </c>
      <c r="L22" s="119">
        <f>'Plan de Acción 2022'!R168</f>
        <v>0.6</v>
      </c>
      <c r="M22" s="119">
        <v>1</v>
      </c>
      <c r="N22" s="119">
        <f>('Plan de Acción 2022'!W168+'Plan de Acción 2022'!W169+'Plan de Acción 2022'!W203+'Plan de Acción 2022'!W204+'Plan de Acción 2022'!W205+'Plan de Acción 2022'!W206+'Plan de Acción 2022'!W207+'Plan de Acción 2022'!W208+'Plan de Acción 2022'!W209+'Plan de Acción 2022'!W210+'Plan de Acción 2022'!W211+'Plan de Acción 2022'!W367+'Plan de Acción 2022'!W368+'Plan de Acción 2022'!W369)/14</f>
        <v>0.21428571428571433</v>
      </c>
      <c r="O22" s="216">
        <f>(N22*30%)/(L22-K22)</f>
        <v>0.21428571428571433</v>
      </c>
      <c r="P22" s="119" t="s">
        <v>1851</v>
      </c>
      <c r="Q22" s="119">
        <f>('Plan de Acción 2022'!Z168+'Plan de Acción 2022'!Z169+'Plan de Acción 2022'!Z203+'Plan de Acción 2022'!Z204+'Plan de Acción 2022'!Z205+'Plan de Acción 2022'!Z206+'Plan de Acción 2022'!Z207+'Plan de Acción 2022'!Z208+'Plan de Acción 2022'!Z209+'Plan de Acción 2022'!Z210+'Plan de Acción 2022'!Z211+'Plan de Acción 2022'!Z367+'Plan de Acción 2022'!Z368+'Plan de Acción 2022'!Z369)/14</f>
        <v>0</v>
      </c>
      <c r="R22" s="216">
        <f>(Q22*30%)/(L22-K22)</f>
        <v>0</v>
      </c>
      <c r="S22" s="497"/>
      <c r="T22" s="119">
        <f>('Plan de Acción 2022'!AC168+'Plan de Acción 2022'!AC169+'Plan de Acción 2022'!AC203+'Plan de Acción 2022'!AC204+'Plan de Acción 2022'!AC205+'Plan de Acción 2022'!AC206+'Plan de Acción 2022'!AC207+'Plan de Acción 2022'!AC208+'Plan de Acción 2022'!AC209+'Plan de Acción 2022'!AC210+'Plan de Acción 2022'!AC211+'Plan de Acción 2022'!AC367+'Plan de Acción 2022'!AC368+'Plan de Acción 2022'!AC369)/14</f>
        <v>0</v>
      </c>
      <c r="U22" s="216">
        <f>(T22*30%)/(L22-K22)</f>
        <v>0</v>
      </c>
      <c r="V22" s="167"/>
      <c r="W22" s="119">
        <f>('Plan de Acción 2022'!AF168+'Plan de Acción 2022'!AF169+'Plan de Acción 2022'!AF203+'Plan de Acción 2022'!AF204+'Plan de Acción 2022'!AF205+'Plan de Acción 2022'!AF206+'Plan de Acción 2022'!AF207+'Plan de Acción 2022'!AF208+'Plan de Acción 2022'!AF209+'Plan de Acción 2022'!AF210+'Plan de Acción 2022'!AF211+'Plan de Acción 2022'!AF367+'Plan de Acción 2022'!AF368+'Plan de Acción 2022'!AF369)/14</f>
        <v>0</v>
      </c>
      <c r="X22" s="216">
        <f>(W22*30%)/(L22-K22)</f>
        <v>0</v>
      </c>
      <c r="Y22" s="173"/>
    </row>
    <row r="23" spans="1:52" s="146" customFormat="1" ht="189" x14ac:dyDescent="0.2">
      <c r="A23" s="869">
        <v>6</v>
      </c>
      <c r="B23" s="505">
        <v>0</v>
      </c>
      <c r="C23" s="174">
        <v>1</v>
      </c>
      <c r="D23" s="159" t="s">
        <v>1654</v>
      </c>
      <c r="E23" s="118" t="s">
        <v>1697</v>
      </c>
      <c r="F23" s="853" t="s">
        <v>1070</v>
      </c>
      <c r="G23" s="167" t="s">
        <v>1852</v>
      </c>
      <c r="H23" s="499" t="s">
        <v>1239</v>
      </c>
      <c r="I23" s="125">
        <v>0</v>
      </c>
      <c r="J23" s="115">
        <v>0.25</v>
      </c>
      <c r="K23" s="163">
        <v>0.2</v>
      </c>
      <c r="L23" s="115">
        <f>'Plan de Acción 2022'!R343</f>
        <v>0.5</v>
      </c>
      <c r="M23" s="125">
        <v>1</v>
      </c>
      <c r="N23" s="125">
        <f>'Plan de Acción 2022'!W343</f>
        <v>0.15</v>
      </c>
      <c r="O23" s="216">
        <f>(N23*30%)/(L23-K23)</f>
        <v>0.15</v>
      </c>
      <c r="P23" s="125" t="s">
        <v>1853</v>
      </c>
      <c r="Q23" s="125">
        <f>'Plan de Acción 2022'!Z343</f>
        <v>0</v>
      </c>
      <c r="R23" s="216">
        <f>(Q23*30%)/(L23-K23)</f>
        <v>0</v>
      </c>
      <c r="S23" s="115"/>
      <c r="T23" s="125">
        <f>'Plan de Acción 2022'!AC343</f>
        <v>0</v>
      </c>
      <c r="U23" s="216">
        <f>(T23*30%)/(L23-K23)</f>
        <v>0</v>
      </c>
      <c r="V23" s="115"/>
      <c r="W23" s="125">
        <f>'Plan de Acción 2022'!AF343</f>
        <v>0</v>
      </c>
      <c r="X23" s="216">
        <f>(W23*30%)/(L23-K23)</f>
        <v>0</v>
      </c>
      <c r="Y23" s="175"/>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row>
    <row r="24" spans="1:52" s="146" customFormat="1" ht="78.75" x14ac:dyDescent="0.2">
      <c r="A24" s="869"/>
      <c r="B24" s="505">
        <v>0</v>
      </c>
      <c r="C24" s="174">
        <v>1</v>
      </c>
      <c r="D24" s="199" t="s">
        <v>1654</v>
      </c>
      <c r="E24" s="129" t="s">
        <v>1697</v>
      </c>
      <c r="F24" s="867"/>
      <c r="G24" s="500" t="s">
        <v>1218</v>
      </c>
      <c r="H24" s="500" t="s">
        <v>1220</v>
      </c>
      <c r="I24" s="176">
        <v>0</v>
      </c>
      <c r="J24" s="177">
        <v>0.25</v>
      </c>
      <c r="K24" s="177">
        <v>0.1</v>
      </c>
      <c r="L24" s="177">
        <f>'Plan de Acción 2022'!R337</f>
        <v>0.5</v>
      </c>
      <c r="M24" s="176">
        <v>1</v>
      </c>
      <c r="N24" s="418">
        <f>'Plan de Acción 2022'!W337</f>
        <v>0</v>
      </c>
      <c r="O24" s="216">
        <f>(N24*40%)/(L24-K24)</f>
        <v>0</v>
      </c>
      <c r="P24" s="176" t="s">
        <v>1221</v>
      </c>
      <c r="Q24" s="176">
        <f>'Plan de Acción 2022'!Z337</f>
        <v>0</v>
      </c>
      <c r="R24" s="216">
        <f>(Q24*40%)/(L24-K24)</f>
        <v>0</v>
      </c>
      <c r="S24" s="177"/>
      <c r="T24" s="176">
        <f>'Plan de Acción 2022'!AC337</f>
        <v>0</v>
      </c>
      <c r="U24" s="216">
        <f>(T24*40%)/(L24-K24)</f>
        <v>0</v>
      </c>
      <c r="V24" s="177"/>
      <c r="W24" s="176">
        <f>'Plan de Acción 2022'!AF337</f>
        <v>0</v>
      </c>
      <c r="X24" s="216">
        <f>(W24*40%)/(L24-K24)</f>
        <v>0</v>
      </c>
      <c r="Y24" s="200"/>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row>
    <row r="25" spans="1:52" s="146" customFormat="1" ht="95.25" thickBot="1" x14ac:dyDescent="0.25">
      <c r="A25" s="101"/>
      <c r="B25" s="101"/>
      <c r="C25" s="101"/>
      <c r="D25" s="199" t="s">
        <v>1654</v>
      </c>
      <c r="E25" s="129" t="s">
        <v>1697</v>
      </c>
      <c r="F25" s="868"/>
      <c r="G25" s="201" t="s">
        <v>1854</v>
      </c>
      <c r="H25" s="201" t="s">
        <v>1073</v>
      </c>
      <c r="I25" s="176">
        <v>0</v>
      </c>
      <c r="J25" s="177">
        <v>0.25</v>
      </c>
      <c r="K25" s="177">
        <v>0.1</v>
      </c>
      <c r="L25" s="178">
        <f>'Plan de Acción 2022'!R292</f>
        <v>0.5</v>
      </c>
      <c r="M25" s="202">
        <v>1</v>
      </c>
      <c r="N25" s="202">
        <f>'Plan de Acción 2022'!W292</f>
        <v>0.05</v>
      </c>
      <c r="O25" s="216">
        <f>(N25*40%)/(L25-K25)</f>
        <v>5.000000000000001E-2</v>
      </c>
      <c r="P25" s="202" t="s">
        <v>1074</v>
      </c>
      <c r="Q25" s="202">
        <f>'Plan de Acción 2022'!Z292</f>
        <v>0</v>
      </c>
      <c r="R25" s="216">
        <f>(Q25*40%)/(L25-K25)</f>
        <v>0</v>
      </c>
      <c r="S25" s="178"/>
      <c r="T25" s="202">
        <f>'Plan de Acción 2022'!AC292</f>
        <v>0</v>
      </c>
      <c r="U25" s="216">
        <f>(T25*40%)/(L25-K25)</f>
        <v>0</v>
      </c>
      <c r="V25" s="178"/>
      <c r="W25" s="202">
        <f>'Plan de Acción 2022'!AF292</f>
        <v>0</v>
      </c>
      <c r="X25" s="216">
        <f>(W25*40%)/(L25-K25)</f>
        <v>0</v>
      </c>
      <c r="Y25" s="178"/>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row>
    <row r="26" spans="1:52" ht="63" x14ac:dyDescent="0.2">
      <c r="A26" s="97">
        <v>6</v>
      </c>
      <c r="B26" s="97"/>
      <c r="C26" s="97"/>
      <c r="D26" s="864"/>
      <c r="E26" s="865"/>
      <c r="F26" s="865"/>
      <c r="G26" s="865"/>
      <c r="H26" s="865"/>
      <c r="I26" s="865"/>
      <c r="J26" s="866"/>
      <c r="K26" s="504"/>
      <c r="L26" s="504"/>
      <c r="M26" s="504"/>
      <c r="N26" s="228" t="s">
        <v>1804</v>
      </c>
      <c r="O26" s="229">
        <f>AVERAGE(O8:O25)</f>
        <v>0.16760661375661376</v>
      </c>
      <c r="P26" s="228"/>
      <c r="Q26" s="228" t="s">
        <v>1805</v>
      </c>
      <c r="R26" s="229">
        <f>AVERAGE(R8:R25)</f>
        <v>0</v>
      </c>
      <c r="S26" s="230"/>
      <c r="T26" s="228" t="s">
        <v>1806</v>
      </c>
      <c r="U26" s="229">
        <f>AVERAGE(U8:U25)</f>
        <v>0</v>
      </c>
      <c r="V26" s="230"/>
      <c r="W26" s="228" t="s">
        <v>1807</v>
      </c>
      <c r="X26" s="229">
        <f>AVERAGE(X8:X25)</f>
        <v>0</v>
      </c>
      <c r="Y26" s="231">
        <f>AVERAGE(Y27:Y29)/3</f>
        <v>5.5326878306878297E-2</v>
      </c>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row>
    <row r="27" spans="1:52" ht="35.25" customHeight="1" x14ac:dyDescent="0.2">
      <c r="E27" s="137"/>
      <c r="N27" s="221" t="s">
        <v>1646</v>
      </c>
      <c r="O27" s="222">
        <f>AVERAGE(O8+O10+O11+O12)/4</f>
        <v>0.17708333333333326</v>
      </c>
      <c r="P27" s="184"/>
      <c r="Q27" s="184"/>
      <c r="R27" s="222">
        <f>AVERAGE(R8+R10+R11+R12)/4</f>
        <v>0</v>
      </c>
      <c r="S27" s="184"/>
      <c r="T27" s="184"/>
      <c r="U27" s="222">
        <f>AVERAGE(U8+U10+U11+U12)/4</f>
        <v>0</v>
      </c>
      <c r="V27" s="184"/>
      <c r="W27" s="184"/>
      <c r="X27" s="222">
        <f>AVERAGE(X8+X10+X11+X12)/4</f>
        <v>0</v>
      </c>
      <c r="Y27" s="222">
        <f>AVERAGE(O27+R27+U27+X27)</f>
        <v>0.17708333333333326</v>
      </c>
    </row>
    <row r="28" spans="1:52" ht="51" x14ac:dyDescent="0.2">
      <c r="E28" s="137"/>
      <c r="N28" s="221" t="s">
        <v>1654</v>
      </c>
      <c r="O28" s="222">
        <f>AVERAGE(O9+O23+O24+O25)/4</f>
        <v>0.15000000000000002</v>
      </c>
      <c r="P28" s="184"/>
      <c r="Q28" s="184"/>
      <c r="R28" s="222">
        <f>AVERAGE(R9+R23+R24+R25)/4</f>
        <v>0</v>
      </c>
      <c r="S28" s="184"/>
      <c r="T28" s="184"/>
      <c r="U28" s="222">
        <f>AVERAGE(U9+U23+U24+U25)/4</f>
        <v>0</v>
      </c>
      <c r="V28" s="184"/>
      <c r="W28" s="184"/>
      <c r="X28" s="222">
        <f>AVERAGE(X9+X23+X24+X25)/4</f>
        <v>0</v>
      </c>
      <c r="Y28" s="222">
        <f t="shared" ref="Y28:Y29" si="0">AVERAGE(O28+R28+U28+X28)</f>
        <v>0.15000000000000002</v>
      </c>
    </row>
    <row r="29" spans="1:52" ht="76.5" x14ac:dyDescent="0.2">
      <c r="E29" s="137"/>
      <c r="N29" s="221" t="s">
        <v>1652</v>
      </c>
      <c r="O29" s="222">
        <f>AVERAGE(O13+O14+O15+O16+O17+O18+O19+O20+O21+O22)/10</f>
        <v>0.17085857142857144</v>
      </c>
      <c r="P29" s="184"/>
      <c r="Q29" s="184"/>
      <c r="R29" s="222">
        <f>AVERAGE(R13+R14+R15+R16+R17+R18+R19+R20+R21+R22)/10</f>
        <v>0</v>
      </c>
      <c r="S29" s="184"/>
      <c r="T29" s="184"/>
      <c r="U29" s="222">
        <f>AVERAGE(U13+U14+U15+U16+U17+U18+U19+U20+U21+U22)/10</f>
        <v>0</v>
      </c>
      <c r="V29" s="184"/>
      <c r="W29" s="184"/>
      <c r="X29" s="222">
        <f>AVERAGE(X13+X14+X15+X16+X17+X18+X19+X20+X21+X22)/10</f>
        <v>0</v>
      </c>
      <c r="Y29" s="222">
        <f t="shared" si="0"/>
        <v>0.17085857142857144</v>
      </c>
    </row>
    <row r="30" spans="1:52" ht="13.5" thickBot="1" x14ac:dyDescent="0.25"/>
    <row r="31" spans="1:52" s="8" customFormat="1" ht="13.5" customHeight="1" thickTop="1" x14ac:dyDescent="0.2">
      <c r="A31" s="870" t="s">
        <v>1632</v>
      </c>
      <c r="B31" s="871"/>
      <c r="C31" s="871"/>
      <c r="D31" s="871"/>
      <c r="E31" s="871"/>
      <c r="F31" s="871"/>
      <c r="G31" s="871"/>
      <c r="H31" s="871"/>
      <c r="I31" s="872"/>
      <c r="J31" s="876" t="s">
        <v>1633</v>
      </c>
      <c r="K31" s="877"/>
      <c r="L31" s="877"/>
      <c r="M31" s="877"/>
      <c r="N31" s="877"/>
      <c r="O31" s="877"/>
      <c r="P31" s="877"/>
      <c r="Q31" s="878"/>
      <c r="R31" s="876" t="s">
        <v>1634</v>
      </c>
      <c r="S31" s="882"/>
      <c r="T31" s="870" t="s">
        <v>1635</v>
      </c>
      <c r="U31" s="871"/>
      <c r="V31" s="871"/>
      <c r="W31" s="871"/>
      <c r="X31" s="884"/>
      <c r="Y31" s="886">
        <v>1</v>
      </c>
      <c r="Z31" s="348"/>
      <c r="AC31" s="348"/>
      <c r="AF31" s="348"/>
    </row>
    <row r="32" spans="1:52" s="8" customFormat="1" ht="5.25" customHeight="1" thickBot="1" x14ac:dyDescent="0.25">
      <c r="A32" s="873"/>
      <c r="B32" s="874"/>
      <c r="C32" s="874"/>
      <c r="D32" s="874"/>
      <c r="E32" s="874"/>
      <c r="F32" s="874"/>
      <c r="G32" s="874"/>
      <c r="H32" s="874"/>
      <c r="I32" s="875"/>
      <c r="J32" s="879"/>
      <c r="K32" s="880"/>
      <c r="L32" s="880"/>
      <c r="M32" s="880"/>
      <c r="N32" s="880"/>
      <c r="O32" s="880"/>
      <c r="P32" s="880"/>
      <c r="Q32" s="881"/>
      <c r="R32" s="879"/>
      <c r="S32" s="883"/>
      <c r="T32" s="873"/>
      <c r="U32" s="874"/>
      <c r="V32" s="874"/>
      <c r="W32" s="874"/>
      <c r="X32" s="885"/>
      <c r="Y32" s="887"/>
      <c r="Z32" s="348"/>
      <c r="AC32" s="348"/>
      <c r="AF32" s="348"/>
    </row>
    <row r="33" spans="18:21" x14ac:dyDescent="0.2">
      <c r="R33" s="180"/>
      <c r="S33" s="181"/>
      <c r="T33" s="181"/>
      <c r="U33" s="181"/>
    </row>
    <row r="34" spans="18:21" x14ac:dyDescent="0.2">
      <c r="R34" s="180"/>
    </row>
  </sheetData>
  <autoFilter ref="A6:BU29"/>
  <mergeCells count="26">
    <mergeCell ref="A31:I32"/>
    <mergeCell ref="J31:Q32"/>
    <mergeCell ref="R31:S32"/>
    <mergeCell ref="T31:X32"/>
    <mergeCell ref="Y31:Y32"/>
    <mergeCell ref="D26:J26"/>
    <mergeCell ref="F23:F25"/>
    <mergeCell ref="A15:A22"/>
    <mergeCell ref="F15:F22"/>
    <mergeCell ref="G19:G20"/>
    <mergeCell ref="A23:A24"/>
    <mergeCell ref="AE5:AJ5"/>
    <mergeCell ref="AK5:AP5"/>
    <mergeCell ref="AQ5:AV5"/>
    <mergeCell ref="A10:A12"/>
    <mergeCell ref="F10:F12"/>
    <mergeCell ref="F13:F14"/>
    <mergeCell ref="G13:G14"/>
    <mergeCell ref="D5:M5"/>
    <mergeCell ref="N5:P5"/>
    <mergeCell ref="B1:Y2"/>
    <mergeCell ref="A3:Y3"/>
    <mergeCell ref="A4:Y4"/>
    <mergeCell ref="Q5:S5"/>
    <mergeCell ref="T5:V5"/>
    <mergeCell ref="W5:Y5"/>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65"/>
  <sheetViews>
    <sheetView showGridLines="0" topLeftCell="A7" zoomScale="55" zoomScaleNormal="55" workbookViewId="0">
      <selection activeCell="G23" sqref="G23"/>
    </sheetView>
  </sheetViews>
  <sheetFormatPr baseColWidth="10" defaultColWidth="11.42578125" defaultRowHeight="12.75" x14ac:dyDescent="0.2"/>
  <sheetData>
    <row r="63" spans="1:25" ht="13.5" thickBot="1" x14ac:dyDescent="0.25"/>
    <row r="64" spans="1:25" ht="13.5" thickTop="1" x14ac:dyDescent="0.2">
      <c r="A64" s="811" t="s">
        <v>1632</v>
      </c>
      <c r="B64" s="812"/>
      <c r="C64" s="812"/>
      <c r="D64" s="812"/>
      <c r="E64" s="812"/>
      <c r="F64" s="812"/>
      <c r="G64" s="812"/>
      <c r="H64" s="812"/>
      <c r="I64" s="813"/>
      <c r="J64" s="817" t="s">
        <v>1633</v>
      </c>
      <c r="K64" s="818"/>
      <c r="L64" s="818"/>
      <c r="M64" s="818"/>
      <c r="N64" s="818"/>
      <c r="O64" s="818"/>
      <c r="P64" s="818"/>
      <c r="Q64" s="819"/>
      <c r="R64" s="817" t="s">
        <v>1634</v>
      </c>
      <c r="S64" s="823"/>
      <c r="T64" s="811" t="s">
        <v>1635</v>
      </c>
      <c r="U64" s="812"/>
      <c r="V64" s="812"/>
      <c r="W64" s="812"/>
      <c r="X64" s="825"/>
      <c r="Y64" s="806">
        <v>1</v>
      </c>
    </row>
    <row r="65" spans="1:25" ht="13.5" thickBot="1" x14ac:dyDescent="0.25">
      <c r="A65" s="814"/>
      <c r="B65" s="815"/>
      <c r="C65" s="815"/>
      <c r="D65" s="815"/>
      <c r="E65" s="815"/>
      <c r="F65" s="815"/>
      <c r="G65" s="815"/>
      <c r="H65" s="815"/>
      <c r="I65" s="816"/>
      <c r="J65" s="820"/>
      <c r="K65" s="821"/>
      <c r="L65" s="821"/>
      <c r="M65" s="821"/>
      <c r="N65" s="821"/>
      <c r="O65" s="821"/>
      <c r="P65" s="821"/>
      <c r="Q65" s="822"/>
      <c r="R65" s="820"/>
      <c r="S65" s="824"/>
      <c r="T65" s="814"/>
      <c r="U65" s="815"/>
      <c r="V65" s="815"/>
      <c r="W65" s="815"/>
      <c r="X65" s="826"/>
      <c r="Y65" s="807"/>
    </row>
  </sheetData>
  <mergeCells count="5">
    <mergeCell ref="A64:I65"/>
    <mergeCell ref="J64:Q65"/>
    <mergeCell ref="R64:S65"/>
    <mergeCell ref="T64:X65"/>
    <mergeCell ref="Y64:Y6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79"/>
  <sheetViews>
    <sheetView showGridLines="0" topLeftCell="C28" zoomScale="70" zoomScaleNormal="70" workbookViewId="0">
      <selection activeCell="S47" sqref="S47"/>
    </sheetView>
  </sheetViews>
  <sheetFormatPr baseColWidth="10" defaultColWidth="11.42578125" defaultRowHeight="12.75" x14ac:dyDescent="0.2"/>
  <cols>
    <col min="1" max="16384" width="11.42578125" style="410"/>
  </cols>
  <sheetData>
    <row r="63" ht="13.5" customHeight="1" x14ac:dyDescent="0.2"/>
    <row r="64" ht="13.5" customHeight="1" x14ac:dyDescent="0.2"/>
    <row r="65" spans="1:25" ht="13.5" customHeight="1" x14ac:dyDescent="0.2"/>
    <row r="66" spans="1:25" ht="13.5" customHeight="1" x14ac:dyDescent="0.2"/>
    <row r="67" spans="1:25" ht="13.5" customHeight="1" x14ac:dyDescent="0.2"/>
    <row r="68" spans="1:25" ht="13.5" customHeight="1" x14ac:dyDescent="0.2"/>
    <row r="69" spans="1:25" ht="13.5" customHeight="1" x14ac:dyDescent="0.2"/>
    <row r="70" spans="1:25" ht="13.5" customHeight="1" x14ac:dyDescent="0.2"/>
    <row r="72" spans="1:25" ht="12.75" customHeight="1" x14ac:dyDescent="0.2">
      <c r="A72" s="888" t="s">
        <v>1632</v>
      </c>
      <c r="B72" s="888"/>
      <c r="C72" s="888"/>
      <c r="D72" s="888"/>
      <c r="E72" s="888"/>
      <c r="F72" s="888"/>
      <c r="G72" s="888"/>
      <c r="H72" s="888"/>
      <c r="I72" s="888"/>
      <c r="J72" s="888" t="s">
        <v>1633</v>
      </c>
      <c r="K72" s="888"/>
      <c r="L72" s="888"/>
      <c r="M72" s="888"/>
      <c r="N72" s="888"/>
      <c r="O72" s="888"/>
      <c r="P72" s="888"/>
      <c r="Q72" s="888"/>
      <c r="R72" s="888" t="s">
        <v>1634</v>
      </c>
      <c r="S72" s="888"/>
      <c r="T72" s="888" t="s">
        <v>1635</v>
      </c>
      <c r="U72" s="888"/>
      <c r="V72" s="888"/>
      <c r="W72" s="888"/>
      <c r="X72" s="888"/>
      <c r="Y72" s="888">
        <v>1</v>
      </c>
    </row>
    <row r="73" spans="1:25" ht="12.75" customHeight="1" x14ac:dyDescent="0.2">
      <c r="A73" s="888"/>
      <c r="B73" s="888"/>
      <c r="C73" s="888"/>
      <c r="D73" s="888"/>
      <c r="E73" s="888"/>
      <c r="F73" s="888"/>
      <c r="G73" s="888"/>
      <c r="H73" s="888"/>
      <c r="I73" s="888"/>
      <c r="J73" s="888"/>
      <c r="K73" s="888"/>
      <c r="L73" s="888"/>
      <c r="M73" s="888"/>
      <c r="N73" s="888"/>
      <c r="O73" s="888"/>
      <c r="P73" s="888"/>
      <c r="Q73" s="888"/>
      <c r="R73" s="888"/>
      <c r="S73" s="888"/>
      <c r="T73" s="888"/>
      <c r="U73" s="888"/>
      <c r="V73" s="888"/>
      <c r="W73" s="888"/>
      <c r="X73" s="888"/>
      <c r="Y73" s="888"/>
    </row>
    <row r="79" spans="1:25" ht="15.75" customHeight="1" x14ac:dyDescent="0.2"/>
  </sheetData>
  <mergeCells count="5">
    <mergeCell ref="A72:I73"/>
    <mergeCell ref="J72:Q73"/>
    <mergeCell ref="R72:S73"/>
    <mergeCell ref="T72:X73"/>
    <mergeCell ref="Y72:Y7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0EC9DC28FEB84E8772A9ADEDC09552" ma:contentTypeVersion="14" ma:contentTypeDescription="Create a new document." ma:contentTypeScope="" ma:versionID="9adf6d63978f55f1afb20ba8e23806b6">
  <xsd:schema xmlns:xsd="http://www.w3.org/2001/XMLSchema" xmlns:xs="http://www.w3.org/2001/XMLSchema" xmlns:p="http://schemas.microsoft.com/office/2006/metadata/properties" xmlns:ns3="43b5c514-35a4-416e-aff7-df25cf72a503" xmlns:ns4="ab6efe54-1113-4d03-9a9b-53d2d06840d9" targetNamespace="http://schemas.microsoft.com/office/2006/metadata/properties" ma:root="true" ma:fieldsID="d5514b6ca1c366bc5c606047de09048a" ns3:_="" ns4:_="">
    <xsd:import namespace="43b5c514-35a4-416e-aff7-df25cf72a503"/>
    <xsd:import namespace="ab6efe54-1113-4d03-9a9b-53d2d06840d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b5c514-35a4-416e-aff7-df25cf72a50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6efe54-1113-4d03-9a9b-53d2d06840d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1E2650-6E4D-4934-9173-A42632420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b5c514-35a4-416e-aff7-df25cf72a503"/>
    <ds:schemaRef ds:uri="ab6efe54-1113-4d03-9a9b-53d2d06840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AB121C-0D54-449E-A3C1-DCD06D27E3A5}">
  <ds:schemaRefs>
    <ds:schemaRef ds:uri="http://schemas.microsoft.com/sharepoint/v3/contenttype/forms"/>
  </ds:schemaRefs>
</ds:datastoreItem>
</file>

<file path=customXml/itemProps3.xml><?xml version="1.0" encoding="utf-8"?>
<ds:datastoreItem xmlns:ds="http://schemas.openxmlformats.org/officeDocument/2006/customXml" ds:itemID="{EF63305D-6236-4C56-A7F5-E7F5B2DCAA6C}">
  <ds:schemaRefs>
    <ds:schemaRef ds:uri="ab6efe54-1113-4d03-9a9b-53d2d06840d9"/>
    <ds:schemaRef ds:uri="43b5c514-35a4-416e-aff7-df25cf72a503"/>
    <ds:schemaRef ds:uri="http://schemas.microsoft.com/office/2006/metadata/properties"/>
    <ds:schemaRef ds:uri="http://www.w3.org/XML/1998/namespace"/>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Plan de Acción 2022</vt:lpstr>
      <vt:lpstr>AVANCES 2022</vt:lpstr>
      <vt:lpstr>LO INSTITUCIONAL</vt:lpstr>
      <vt:lpstr>LO SOCIAL</vt:lpstr>
      <vt:lpstr>LO AMBIENTAL</vt:lpstr>
      <vt:lpstr>AVANCE GENERAL 2022</vt:lpstr>
      <vt:lpstr>REC</vt:lpstr>
      <vt:lpstr>ETAPA</vt:lpstr>
      <vt:lpstr>ETAPAS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Plan de Accion ETITC</cp:lastModifiedBy>
  <cp:revision/>
  <dcterms:created xsi:type="dcterms:W3CDTF">2019-12-26T17:32:37Z</dcterms:created>
  <dcterms:modified xsi:type="dcterms:W3CDTF">2022-07-05T15:39:52Z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0x010100850EC9DC28FEB84E8772A9ADEDC09552</vt:lpwstr>
  </property>
</Properties>
</file>