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landeaccion\OneDrive - Escuela Tecnologica Instituto Tecnico Central\A. Vigencia 2022\PLAN DE ACCIÓN 2022\PLAN DE ACCIÓN 2022\A. SEGUIMIENTOS 2022\2 SEGUIMIENTO\"/>
    </mc:Choice>
  </mc:AlternateContent>
  <bookViews>
    <workbookView xWindow="0" yWindow="0" windowWidth="20490" windowHeight="7650" tabRatio="580"/>
  </bookViews>
  <sheets>
    <sheet name="Plan de Acción 2022" sheetId="2" r:id="rId1"/>
    <sheet name="AVANCES 2022" sheetId="10" state="hidden" r:id="rId2"/>
    <sheet name="LO INSTITUCIONAL" sheetId="6" state="hidden" r:id="rId3"/>
    <sheet name="LO SOCIAL" sheetId="5" state="hidden" r:id="rId4"/>
    <sheet name="LO AMBIENTAL" sheetId="9" state="hidden" r:id="rId5"/>
    <sheet name="AVANCE GENERAL 2022" sheetId="12" r:id="rId6"/>
    <sheet name="REC" sheetId="13" state="hidden" r:id="rId7"/>
  </sheets>
  <definedNames>
    <definedName name="_xlnm._FilterDatabase" localSheetId="4" hidden="1">'LO AMBIENTAL'!$A$6:$BV$29</definedName>
    <definedName name="_xlnm._FilterDatabase" localSheetId="2" hidden="1">'LO INSTITUCIONAL'!$A$7:$MA$42</definedName>
    <definedName name="_xlnm._FilterDatabase" localSheetId="3" hidden="1">'LO SOCIAL'!$A$5:$MJ$35</definedName>
    <definedName name="_xlnm._FilterDatabase" localSheetId="0" hidden="1">'Plan de Acción 2022'!$A$7:$AK$490</definedName>
    <definedName name="ETAPA">'Plan de Acción 2022'!$A$498:$A$503</definedName>
    <definedName name="ETAPAS">'Plan de Acción 2022'!$A$497:$A$503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8" i="5" l="1"/>
  <c r="R29" i="6"/>
  <c r="O29" i="6"/>
  <c r="R12" i="6"/>
  <c r="R9" i="6"/>
  <c r="U9" i="6"/>
  <c r="V9" i="6"/>
  <c r="X9" i="6"/>
  <c r="O9" i="6"/>
  <c r="X30" i="6" l="1"/>
  <c r="U30" i="6"/>
  <c r="AA489" i="2" l="1"/>
  <c r="N6" i="10" s="1"/>
  <c r="AA382" i="2"/>
  <c r="N5" i="10" s="1"/>
  <c r="AA227" i="2"/>
  <c r="N4" i="10" s="1"/>
  <c r="AA108" i="2"/>
  <c r="N3" i="10" s="1"/>
  <c r="R25" i="6"/>
  <c r="O25" i="6"/>
  <c r="R22" i="9"/>
  <c r="O22" i="9"/>
  <c r="R21" i="9"/>
  <c r="T20" i="9"/>
  <c r="T19" i="9"/>
  <c r="T14" i="9"/>
  <c r="T13" i="9"/>
  <c r="O8" i="9"/>
  <c r="U31" i="5"/>
  <c r="R31" i="5"/>
  <c r="Q22" i="5"/>
  <c r="U21" i="5"/>
  <c r="R21" i="5"/>
  <c r="O21" i="5"/>
  <c r="P21" i="5" s="1"/>
  <c r="L21" i="5"/>
  <c r="O6" i="5"/>
  <c r="L6" i="5"/>
  <c r="U7" i="5"/>
  <c r="R7" i="5"/>
  <c r="O7" i="5"/>
  <c r="X25" i="6"/>
  <c r="X31" i="6"/>
  <c r="U31" i="6"/>
  <c r="U38" i="6"/>
  <c r="R38" i="6"/>
  <c r="T36" i="6"/>
  <c r="T35" i="6"/>
  <c r="R32" i="6"/>
  <c r="O32" i="6"/>
  <c r="T34" i="6"/>
  <c r="T33" i="6"/>
  <c r="O31" i="6"/>
  <c r="R31" i="6"/>
  <c r="U29" i="6"/>
  <c r="O27" i="6"/>
  <c r="R27" i="6"/>
  <c r="X26" i="6"/>
  <c r="U26" i="6"/>
  <c r="R26" i="6"/>
  <c r="O26" i="6"/>
  <c r="X23" i="6"/>
  <c r="U23" i="6"/>
  <c r="R11" i="6"/>
  <c r="P168" i="2" l="1"/>
  <c r="Q168" i="2" s="1"/>
  <c r="P169" i="2"/>
  <c r="Q169" i="2" s="1"/>
  <c r="P170" i="2"/>
  <c r="Q170" i="2" s="1"/>
  <c r="P171" i="2"/>
  <c r="Q171" i="2" s="1"/>
  <c r="P172" i="2"/>
  <c r="Q172" i="2" s="1"/>
  <c r="P173" i="2"/>
  <c r="Q173" i="2" s="1"/>
  <c r="P174" i="2"/>
  <c r="Q174" i="2" s="1"/>
  <c r="P175" i="2"/>
  <c r="Q175" i="2" s="1"/>
  <c r="P176" i="2"/>
  <c r="Q176" i="2" s="1"/>
  <c r="P177" i="2"/>
  <c r="Q177" i="2" s="1"/>
  <c r="P178" i="2"/>
  <c r="Q178" i="2" s="1"/>
  <c r="P179" i="2"/>
  <c r="Q179" i="2" s="1"/>
  <c r="P180" i="2"/>
  <c r="Q180" i="2" s="1"/>
  <c r="P181" i="2"/>
  <c r="Q181" i="2" s="1"/>
  <c r="P182" i="2"/>
  <c r="Q182" i="2" s="1"/>
  <c r="P183" i="2"/>
  <c r="Q183" i="2" s="1"/>
  <c r="P184" i="2"/>
  <c r="Q184" i="2" s="1"/>
  <c r="P63" i="2" l="1"/>
  <c r="Q63" i="2" s="1"/>
  <c r="P348" i="2" l="1"/>
  <c r="Q348" i="2" s="1"/>
  <c r="U15" i="5" l="1"/>
  <c r="R15" i="5"/>
  <c r="O15" i="5"/>
  <c r="L15" i="5"/>
  <c r="W20" i="5" l="1"/>
  <c r="U20" i="5"/>
  <c r="R20" i="5"/>
  <c r="O20" i="5"/>
  <c r="P20" i="5" s="1"/>
  <c r="L20" i="5"/>
  <c r="U17" i="5" l="1"/>
  <c r="R17" i="5"/>
  <c r="O17" i="5"/>
  <c r="L17" i="5"/>
  <c r="U26" i="5"/>
  <c r="R26" i="5"/>
  <c r="O26" i="5"/>
  <c r="L26" i="5"/>
  <c r="P410" i="2"/>
  <c r="Q410" i="2" s="1"/>
  <c r="U24" i="5"/>
  <c r="R24" i="5"/>
  <c r="O24" i="5"/>
  <c r="L24" i="5"/>
  <c r="P397" i="2"/>
  <c r="Q397" i="2" s="1"/>
  <c r="L12" i="5" l="1"/>
  <c r="U12" i="10" l="1"/>
  <c r="U3" i="10"/>
  <c r="U4" i="10"/>
  <c r="U5" i="10"/>
  <c r="U6" i="10"/>
  <c r="U7" i="10"/>
  <c r="U8" i="10"/>
  <c r="U9" i="10"/>
  <c r="U10" i="10"/>
  <c r="U11" i="10"/>
  <c r="U17" i="10"/>
  <c r="W382" i="2"/>
  <c r="W489" i="2"/>
  <c r="T38" i="10"/>
  <c r="U37" i="10"/>
  <c r="U36" i="10"/>
  <c r="U35" i="10"/>
  <c r="U34" i="10"/>
  <c r="U33" i="10"/>
  <c r="U32" i="10"/>
  <c r="U31" i="10"/>
  <c r="U30" i="10"/>
  <c r="U29" i="10"/>
  <c r="U28" i="10"/>
  <c r="U27" i="10"/>
  <c r="U26" i="10"/>
  <c r="U25" i="10"/>
  <c r="U24" i="10"/>
  <c r="U23" i="10"/>
  <c r="U22" i="10"/>
  <c r="U21" i="10"/>
  <c r="U20" i="10"/>
  <c r="U19" i="10"/>
  <c r="U18" i="10"/>
  <c r="U16" i="10"/>
  <c r="U15" i="10"/>
  <c r="U14" i="10"/>
  <c r="U13" i="10"/>
  <c r="U38" i="10" l="1"/>
  <c r="P131" i="2" l="1"/>
  <c r="Q131" i="2" s="1"/>
  <c r="P155" i="2"/>
  <c r="Q155" i="2" s="1"/>
  <c r="P159" i="2"/>
  <c r="Q159" i="2" s="1"/>
  <c r="P224" i="2"/>
  <c r="Q224" i="2" s="1"/>
  <c r="P238" i="2"/>
  <c r="Q238" i="2" s="1"/>
  <c r="P237" i="2"/>
  <c r="Q237" i="2" s="1"/>
  <c r="P236" i="2"/>
  <c r="Q236" i="2" s="1"/>
  <c r="P242" i="2"/>
  <c r="P243" i="2"/>
  <c r="P244" i="2"/>
  <c r="P245" i="2"/>
  <c r="P262" i="2"/>
  <c r="Q262" i="2" s="1"/>
  <c r="P261" i="2"/>
  <c r="Q261" i="2" s="1"/>
  <c r="P260" i="2"/>
  <c r="Q260" i="2" s="1"/>
  <c r="P258" i="2"/>
  <c r="Q258" i="2" s="1"/>
  <c r="P257" i="2"/>
  <c r="Q257" i="2" s="1"/>
  <c r="P264" i="2"/>
  <c r="Q264" i="2" s="1"/>
  <c r="P279" i="2"/>
  <c r="Q279" i="2" s="1"/>
  <c r="P286" i="2"/>
  <c r="Q286" i="2" s="1"/>
  <c r="P287" i="2"/>
  <c r="P360" i="2"/>
  <c r="Q360" i="2" s="1"/>
  <c r="P406" i="2" l="1"/>
  <c r="Q406" i="2" s="1"/>
  <c r="P422" i="2"/>
  <c r="Q422" i="2" s="1"/>
  <c r="P387" i="2"/>
  <c r="Q387" i="2" s="1"/>
  <c r="P386" i="2"/>
  <c r="Q386" i="2" s="1"/>
  <c r="P384" i="2"/>
  <c r="Q384" i="2" s="1"/>
  <c r="U25" i="6" l="1"/>
  <c r="N28" i="10" l="1"/>
  <c r="N23" i="10"/>
  <c r="U14" i="5"/>
  <c r="R14" i="5"/>
  <c r="O14" i="5"/>
  <c r="L14" i="5"/>
  <c r="U12" i="5"/>
  <c r="R12" i="5"/>
  <c r="O12" i="5"/>
  <c r="U11" i="5"/>
  <c r="R11" i="5"/>
  <c r="O11" i="5"/>
  <c r="L11" i="5"/>
  <c r="P241" i="2"/>
  <c r="Q241" i="2" s="1"/>
  <c r="P240" i="2"/>
  <c r="Q240" i="2" s="1"/>
  <c r="O19" i="9" l="1"/>
  <c r="O12" i="9"/>
  <c r="U25" i="5"/>
  <c r="R25" i="5"/>
  <c r="O25" i="5"/>
  <c r="L25" i="5"/>
  <c r="U22" i="5"/>
  <c r="R22" i="5"/>
  <c r="O22" i="5"/>
  <c r="P22" i="5" s="1"/>
  <c r="J22" i="5"/>
  <c r="J21" i="5"/>
  <c r="L22" i="5"/>
  <c r="L10" i="5" l="1"/>
  <c r="L7" i="5"/>
  <c r="O35" i="6"/>
  <c r="X17" i="6" l="1"/>
  <c r="U17" i="6"/>
  <c r="R17" i="6"/>
  <c r="O17" i="6"/>
  <c r="U9" i="5"/>
  <c r="R9" i="5"/>
  <c r="O9" i="5"/>
  <c r="L9" i="5"/>
  <c r="X13" i="6"/>
  <c r="U13" i="6"/>
  <c r="R13" i="6"/>
  <c r="O13" i="6"/>
  <c r="O11" i="6"/>
  <c r="W227" i="2"/>
  <c r="W108" i="2"/>
  <c r="P8" i="10"/>
  <c r="N8" i="10" l="1"/>
  <c r="N25" i="10" s="1"/>
  <c r="O29" i="10" l="1"/>
  <c r="N29" i="10"/>
  <c r="U28" i="5"/>
  <c r="R28" i="5"/>
  <c r="O28" i="5"/>
  <c r="X23" i="9"/>
  <c r="U23" i="9"/>
  <c r="R23" i="9"/>
  <c r="M23" i="9"/>
  <c r="X10" i="9"/>
  <c r="U10" i="9"/>
  <c r="R10" i="9"/>
  <c r="O10" i="9"/>
  <c r="X27" i="6"/>
  <c r="U27" i="6"/>
  <c r="M25" i="9"/>
  <c r="X25" i="9"/>
  <c r="U25" i="9"/>
  <c r="R25" i="9"/>
  <c r="O25" i="9"/>
  <c r="X15" i="9"/>
  <c r="U15" i="9"/>
  <c r="R15" i="9"/>
  <c r="O15" i="9"/>
  <c r="S23" i="9" l="1"/>
  <c r="V23" i="9"/>
  <c r="Y23" i="9"/>
  <c r="M37" i="6"/>
  <c r="X8" i="9"/>
  <c r="U8" i="9"/>
  <c r="R8" i="9"/>
  <c r="X16" i="9"/>
  <c r="U16" i="9"/>
  <c r="R16" i="9"/>
  <c r="O16" i="9"/>
  <c r="X22" i="9"/>
  <c r="U22" i="9"/>
  <c r="P161" i="2" l="1"/>
  <c r="Q161" i="2" s="1"/>
  <c r="P135" i="2"/>
  <c r="Q135" i="2" s="1"/>
  <c r="P133" i="2"/>
  <c r="Q133" i="2" s="1"/>
  <c r="P132" i="2"/>
  <c r="Q132" i="2" s="1"/>
  <c r="X11" i="6" l="1"/>
  <c r="U11" i="6"/>
  <c r="X29" i="6" l="1"/>
  <c r="P125" i="2"/>
  <c r="Q125" i="2" s="1"/>
  <c r="X15" i="6"/>
  <c r="U15" i="6"/>
  <c r="R15" i="6"/>
  <c r="O15" i="6"/>
  <c r="X12" i="6"/>
  <c r="U12" i="6"/>
  <c r="X24" i="9"/>
  <c r="U24" i="9"/>
  <c r="R24" i="9"/>
  <c r="O24" i="9"/>
  <c r="O23" i="9"/>
  <c r="P23" i="9" s="1"/>
  <c r="O21" i="9"/>
  <c r="X20" i="9"/>
  <c r="U20" i="9"/>
  <c r="R20" i="9"/>
  <c r="X19" i="9"/>
  <c r="U19" i="9"/>
  <c r="R19" i="9"/>
  <c r="O20" i="9"/>
  <c r="X18" i="9"/>
  <c r="U18" i="9"/>
  <c r="R18" i="9"/>
  <c r="O18" i="9"/>
  <c r="X17" i="9"/>
  <c r="U17" i="9"/>
  <c r="O17" i="9"/>
  <c r="X14" i="9"/>
  <c r="U14" i="9"/>
  <c r="R14" i="9"/>
  <c r="X13" i="9"/>
  <c r="U13" i="9"/>
  <c r="R13" i="9"/>
  <c r="O14" i="9"/>
  <c r="O13" i="9"/>
  <c r="X12" i="9"/>
  <c r="U12" i="9"/>
  <c r="R12" i="9"/>
  <c r="X11" i="9"/>
  <c r="U11" i="9"/>
  <c r="R11" i="9"/>
  <c r="O11" i="9"/>
  <c r="X9" i="9"/>
  <c r="U9" i="9"/>
  <c r="R9" i="9"/>
  <c r="O9" i="9"/>
  <c r="U32" i="5"/>
  <c r="V32" i="5" s="1"/>
  <c r="R32" i="5"/>
  <c r="S32" i="5" s="1"/>
  <c r="O32" i="5"/>
  <c r="P32" i="5" s="1"/>
  <c r="L32" i="5"/>
  <c r="M32" i="5" s="1"/>
  <c r="O31" i="5"/>
  <c r="L31" i="5"/>
  <c r="U30" i="5"/>
  <c r="R30" i="5"/>
  <c r="O30" i="5"/>
  <c r="P30" i="5" s="1"/>
  <c r="L30" i="5"/>
  <c r="U29" i="5"/>
  <c r="R29" i="5"/>
  <c r="O29" i="5"/>
  <c r="L29" i="5"/>
  <c r="J28" i="5"/>
  <c r="U27" i="5"/>
  <c r="R27" i="5"/>
  <c r="O27" i="5"/>
  <c r="L27" i="5"/>
  <c r="U23" i="5"/>
  <c r="V23" i="5" s="1"/>
  <c r="R23" i="5"/>
  <c r="S23" i="5" s="1"/>
  <c r="O23" i="5"/>
  <c r="P23" i="5" s="1"/>
  <c r="L23" i="5"/>
  <c r="M23" i="5" s="1"/>
  <c r="U13" i="5"/>
  <c r="R13" i="5"/>
  <c r="O13" i="5"/>
  <c r="L13" i="5"/>
  <c r="U10" i="5"/>
  <c r="R10" i="5"/>
  <c r="O10" i="5"/>
  <c r="U8" i="5"/>
  <c r="R8" i="5"/>
  <c r="O8" i="5"/>
  <c r="L8" i="5"/>
  <c r="U6" i="5"/>
  <c r="R6" i="5"/>
  <c r="X38" i="6"/>
  <c r="O38" i="6"/>
  <c r="X37" i="6"/>
  <c r="U37" i="6"/>
  <c r="R37" i="6"/>
  <c r="O37" i="6"/>
  <c r="P37" i="6" s="1"/>
  <c r="X36" i="6"/>
  <c r="U36" i="6"/>
  <c r="R36" i="6"/>
  <c r="O36" i="6"/>
  <c r="X35" i="6"/>
  <c r="U35" i="6"/>
  <c r="R35" i="6"/>
  <c r="X34" i="6"/>
  <c r="Y34" i="6" s="1"/>
  <c r="U34" i="6"/>
  <c r="V34" i="6" s="1"/>
  <c r="R34" i="6"/>
  <c r="S34" i="6" s="1"/>
  <c r="O34" i="6"/>
  <c r="P34" i="6" s="1"/>
  <c r="X33" i="6"/>
  <c r="U33" i="6"/>
  <c r="R33" i="6"/>
  <c r="O33" i="6"/>
  <c r="X32" i="6"/>
  <c r="U32" i="6"/>
  <c r="R30" i="6"/>
  <c r="O30" i="6"/>
  <c r="X28" i="6"/>
  <c r="Y28" i="6" s="1"/>
  <c r="U28" i="6"/>
  <c r="V28" i="6" s="1"/>
  <c r="R28" i="6"/>
  <c r="S28" i="6" s="1"/>
  <c r="O28" i="6"/>
  <c r="P28" i="6" s="1"/>
  <c r="X24" i="6"/>
  <c r="U24" i="6"/>
  <c r="R24" i="6"/>
  <c r="O24" i="6"/>
  <c r="R23" i="6"/>
  <c r="O23" i="6"/>
  <c r="X22" i="6"/>
  <c r="U22" i="6"/>
  <c r="R22" i="6"/>
  <c r="O22" i="6"/>
  <c r="X21" i="6"/>
  <c r="U21" i="6"/>
  <c r="R21" i="6"/>
  <c r="O21" i="6"/>
  <c r="X16" i="6"/>
  <c r="Y16" i="6" s="1"/>
  <c r="U16" i="6"/>
  <c r="V16" i="6" s="1"/>
  <c r="R16" i="6"/>
  <c r="S16" i="6" s="1"/>
  <c r="O16" i="6"/>
  <c r="P16" i="6" s="1"/>
  <c r="X14" i="6"/>
  <c r="U14" i="6"/>
  <c r="R14" i="6"/>
  <c r="O14" i="6"/>
  <c r="Y13" i="6"/>
  <c r="V13" i="6"/>
  <c r="S13" i="6"/>
  <c r="O12" i="6"/>
  <c r="P28" i="5" l="1"/>
  <c r="M28" i="5"/>
  <c r="R10" i="6"/>
  <c r="X10" i="6"/>
  <c r="O10" i="6"/>
  <c r="P13" i="6" l="1"/>
  <c r="P30" i="2" l="1"/>
  <c r="Q30" i="2" s="1"/>
  <c r="P9" i="2"/>
  <c r="P10" i="2"/>
  <c r="P11" i="2"/>
  <c r="P12" i="2"/>
  <c r="P13" i="2"/>
  <c r="P14" i="2"/>
  <c r="P15" i="2"/>
  <c r="P16" i="2"/>
  <c r="P17" i="2"/>
  <c r="P19" i="2"/>
  <c r="P20" i="2"/>
  <c r="P21" i="2"/>
  <c r="P24" i="2"/>
  <c r="P25" i="2"/>
  <c r="P26" i="2"/>
  <c r="P27" i="2"/>
  <c r="P28" i="2"/>
  <c r="P29" i="2"/>
  <c r="P31" i="2"/>
  <c r="P32" i="2"/>
  <c r="P33" i="2"/>
  <c r="P34" i="2"/>
  <c r="P35" i="2"/>
  <c r="P36" i="2"/>
  <c r="P37" i="2"/>
  <c r="P38" i="2"/>
  <c r="P39" i="2"/>
  <c r="P41" i="2"/>
  <c r="P43" i="2"/>
  <c r="P44" i="2"/>
  <c r="P45" i="2"/>
  <c r="P46" i="2"/>
  <c r="P47" i="2"/>
  <c r="P48" i="2"/>
  <c r="P49" i="2"/>
  <c r="P50" i="2"/>
  <c r="P51" i="2"/>
  <c r="Q51" i="2" s="1"/>
  <c r="P52" i="2"/>
  <c r="Q52" i="2" s="1"/>
  <c r="P53" i="2"/>
  <c r="Q53" i="2" s="1"/>
  <c r="P54" i="2"/>
  <c r="Q54" i="2" s="1"/>
  <c r="P55" i="2"/>
  <c r="Q55" i="2" s="1"/>
  <c r="P56" i="2"/>
  <c r="Q56" i="2" s="1"/>
  <c r="P57" i="2"/>
  <c r="Q57" i="2" s="1"/>
  <c r="P58" i="2"/>
  <c r="Q58" i="2" s="1"/>
  <c r="P64" i="2"/>
  <c r="Q64" i="2" s="1"/>
  <c r="P65" i="2"/>
  <c r="Q65" i="2" s="1"/>
  <c r="P66" i="2"/>
  <c r="Q66" i="2" s="1"/>
  <c r="P67" i="2"/>
  <c r="Q67" i="2" s="1"/>
  <c r="P68" i="2"/>
  <c r="Q68" i="2" s="1"/>
  <c r="P69" i="2"/>
  <c r="Q69" i="2" s="1"/>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6" i="2"/>
  <c r="P128" i="2"/>
  <c r="P129" i="2"/>
  <c r="P130" i="2"/>
  <c r="P134" i="2"/>
  <c r="P136" i="2"/>
  <c r="P137" i="2"/>
  <c r="P138" i="2"/>
  <c r="P139" i="2"/>
  <c r="P140" i="2"/>
  <c r="P141" i="2"/>
  <c r="P142" i="2"/>
  <c r="P143" i="2"/>
  <c r="P144" i="2"/>
  <c r="P145" i="2"/>
  <c r="P146" i="2"/>
  <c r="P147" i="2"/>
  <c r="P148" i="2"/>
  <c r="P149" i="2"/>
  <c r="P151" i="2"/>
  <c r="P153" i="2"/>
  <c r="P154" i="2"/>
  <c r="P156" i="2"/>
  <c r="P158" i="2"/>
  <c r="P160" i="2"/>
  <c r="P162" i="2"/>
  <c r="P163" i="2"/>
  <c r="P164" i="2"/>
  <c r="P165" i="2"/>
  <c r="P166" i="2"/>
  <c r="P167" i="2"/>
  <c r="P185" i="2"/>
  <c r="P273"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5" i="2"/>
  <c r="P223" i="2"/>
  <c r="P226" i="2"/>
  <c r="P228" i="2"/>
  <c r="P229" i="2"/>
  <c r="P230" i="2"/>
  <c r="P231" i="2"/>
  <c r="P232" i="2"/>
  <c r="P233" i="2"/>
  <c r="P234" i="2"/>
  <c r="P235" i="2"/>
  <c r="P239" i="2"/>
  <c r="P246" i="2"/>
  <c r="P247" i="2"/>
  <c r="P248" i="2"/>
  <c r="P249" i="2"/>
  <c r="P250" i="2"/>
  <c r="P251" i="2"/>
  <c r="P252" i="2"/>
  <c r="P254" i="2"/>
  <c r="P255" i="2"/>
  <c r="P256" i="2"/>
  <c r="P259" i="2"/>
  <c r="P263" i="2"/>
  <c r="P265" i="2"/>
  <c r="P266" i="2"/>
  <c r="P267" i="2"/>
  <c r="P268" i="2"/>
  <c r="P269" i="2"/>
  <c r="P270" i="2"/>
  <c r="P271" i="2"/>
  <c r="P272" i="2"/>
  <c r="P274" i="2"/>
  <c r="P275" i="2"/>
  <c r="P276" i="2"/>
  <c r="P277" i="2"/>
  <c r="P278" i="2"/>
  <c r="P280" i="2"/>
  <c r="P281" i="2"/>
  <c r="P282" i="2"/>
  <c r="P283" i="2"/>
  <c r="P284" i="2"/>
  <c r="P285" i="2"/>
  <c r="P288" i="2"/>
  <c r="P289" i="2"/>
  <c r="P290" i="2"/>
  <c r="P291" i="2"/>
  <c r="P292" i="2"/>
  <c r="P293" i="2"/>
  <c r="P294" i="2"/>
  <c r="P295"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9" i="2"/>
  <c r="P350" i="2"/>
  <c r="P352" i="2"/>
  <c r="P353" i="2"/>
  <c r="P354" i="2"/>
  <c r="P355" i="2"/>
  <c r="P356" i="2"/>
  <c r="P357" i="2"/>
  <c r="P358" i="2"/>
  <c r="P359" i="2"/>
  <c r="P361" i="2"/>
  <c r="P362" i="2"/>
  <c r="P363" i="2"/>
  <c r="P364" i="2"/>
  <c r="P365" i="2"/>
  <c r="P366" i="2"/>
  <c r="P367" i="2"/>
  <c r="P368" i="2"/>
  <c r="P369" i="2"/>
  <c r="P370" i="2"/>
  <c r="P371" i="2"/>
  <c r="P372" i="2"/>
  <c r="P351" i="2"/>
  <c r="P373" i="2"/>
  <c r="P374" i="2"/>
  <c r="P375" i="2"/>
  <c r="P376" i="2"/>
  <c r="P377" i="2"/>
  <c r="P378" i="2"/>
  <c r="P379" i="2"/>
  <c r="P380" i="2"/>
  <c r="P381" i="2"/>
  <c r="P383" i="2"/>
  <c r="P388" i="2"/>
  <c r="Q388" i="2" s="1"/>
  <c r="P389" i="2"/>
  <c r="Q389" i="2" s="1"/>
  <c r="P390" i="2"/>
  <c r="P391" i="2"/>
  <c r="P392" i="2"/>
  <c r="P393" i="2"/>
  <c r="P394" i="2"/>
  <c r="P395" i="2"/>
  <c r="P398" i="2"/>
  <c r="P399" i="2"/>
  <c r="P400" i="2"/>
  <c r="P401" i="2"/>
  <c r="P402" i="2"/>
  <c r="P404" i="2"/>
  <c r="P405" i="2"/>
  <c r="P407" i="2"/>
  <c r="P408" i="2"/>
  <c r="P409" i="2"/>
  <c r="P411" i="2"/>
  <c r="P412" i="2"/>
  <c r="P413" i="2"/>
  <c r="P414" i="2"/>
  <c r="Q414" i="2" s="1"/>
  <c r="P415" i="2"/>
  <c r="Q415" i="2" s="1"/>
  <c r="P416" i="2"/>
  <c r="Q416" i="2" s="1"/>
  <c r="P417" i="2"/>
  <c r="Q417" i="2" s="1"/>
  <c r="P418" i="2"/>
  <c r="Q418" i="2" s="1"/>
  <c r="P419" i="2"/>
  <c r="Q419" i="2" s="1"/>
  <c r="P420" i="2"/>
  <c r="Q420" i="2" s="1"/>
  <c r="P421" i="2"/>
  <c r="Q421" i="2" s="1"/>
  <c r="P423" i="2"/>
  <c r="Q423" i="2" s="1"/>
  <c r="P424" i="2"/>
  <c r="Q424" i="2" s="1"/>
  <c r="P425" i="2"/>
  <c r="Q425" i="2" s="1"/>
  <c r="P426" i="2"/>
  <c r="Q426" i="2" s="1"/>
  <c r="P427" i="2"/>
  <c r="Q427" i="2" s="1"/>
  <c r="P428" i="2"/>
  <c r="Q428" i="2" s="1"/>
  <c r="P429" i="2"/>
  <c r="Q429" i="2" s="1"/>
  <c r="P430" i="2"/>
  <c r="Q430" i="2" s="1"/>
  <c r="P431" i="2"/>
  <c r="Q431" i="2" s="1"/>
  <c r="P432" i="2"/>
  <c r="Q432" i="2" s="1"/>
  <c r="P433" i="2"/>
  <c r="Q433" i="2" s="1"/>
  <c r="P435" i="2"/>
  <c r="Q435" i="2" s="1"/>
  <c r="P436" i="2"/>
  <c r="Q436" i="2" s="1"/>
  <c r="P437" i="2"/>
  <c r="Q437" i="2" s="1"/>
  <c r="P438" i="2"/>
  <c r="Q438" i="2" s="1"/>
  <c r="P439" i="2"/>
  <c r="Q439" i="2" s="1"/>
  <c r="P440" i="2"/>
  <c r="Q440" i="2" s="1"/>
  <c r="P441" i="2"/>
  <c r="Q441" i="2" s="1"/>
  <c r="P442" i="2"/>
  <c r="Q442" i="2" s="1"/>
  <c r="P443" i="2"/>
  <c r="Q443" i="2" s="1"/>
  <c r="P444" i="2"/>
  <c r="Q444" i="2" s="1"/>
  <c r="P445" i="2"/>
  <c r="Q445" i="2" s="1"/>
  <c r="P446" i="2"/>
  <c r="Q446" i="2" s="1"/>
  <c r="P447" i="2"/>
  <c r="Q447" i="2" s="1"/>
  <c r="P448" i="2"/>
  <c r="Q448" i="2" s="1"/>
  <c r="P449" i="2"/>
  <c r="Q449" i="2" s="1"/>
  <c r="P450" i="2"/>
  <c r="Q450" i="2" s="1"/>
  <c r="P451" i="2"/>
  <c r="Q451" i="2" s="1"/>
  <c r="P452" i="2"/>
  <c r="Q452" i="2" s="1"/>
  <c r="P453" i="2"/>
  <c r="Q453" i="2" s="1"/>
  <c r="P454" i="2"/>
  <c r="Q454" i="2" s="1"/>
  <c r="P455" i="2"/>
  <c r="Q455" i="2" s="1"/>
  <c r="P457" i="2"/>
  <c r="Q457" i="2" s="1"/>
  <c r="P458" i="2"/>
  <c r="Q458" i="2" s="1"/>
  <c r="P459" i="2"/>
  <c r="Q459" i="2" s="1"/>
  <c r="P460" i="2"/>
  <c r="Q460" i="2" s="1"/>
  <c r="P461" i="2"/>
  <c r="Q461" i="2" s="1"/>
  <c r="P462" i="2"/>
  <c r="Q462" i="2" s="1"/>
  <c r="P463" i="2"/>
  <c r="Q463" i="2" s="1"/>
  <c r="P464" i="2"/>
  <c r="Q464" i="2" s="1"/>
  <c r="P465" i="2"/>
  <c r="Q465" i="2" s="1"/>
  <c r="P466" i="2"/>
  <c r="Q466" i="2" s="1"/>
  <c r="P467" i="2"/>
  <c r="Q467" i="2" s="1"/>
  <c r="P468" i="2"/>
  <c r="Q468" i="2" s="1"/>
  <c r="P469" i="2"/>
  <c r="Q469" i="2" s="1"/>
  <c r="P470" i="2"/>
  <c r="P471" i="2"/>
  <c r="P472" i="2"/>
  <c r="P473" i="2"/>
  <c r="P474" i="2"/>
  <c r="P475" i="2"/>
  <c r="P476" i="2"/>
  <c r="P477" i="2"/>
  <c r="P478" i="2"/>
  <c r="P456" i="2"/>
  <c r="P482" i="2"/>
  <c r="P483" i="2"/>
  <c r="P484" i="2"/>
  <c r="P485" i="2"/>
  <c r="P486" i="2"/>
  <c r="P487" i="2"/>
  <c r="P488" i="2"/>
  <c r="Q478" i="2" l="1"/>
  <c r="Q477" i="2"/>
  <c r="Q476" i="2"/>
  <c r="Q475" i="2"/>
  <c r="Q474" i="2"/>
  <c r="Q473" i="2"/>
  <c r="Q472" i="2"/>
  <c r="Q471" i="2"/>
  <c r="Q470" i="2"/>
  <c r="Q488" i="2"/>
  <c r="Q487" i="2"/>
  <c r="Q486" i="2"/>
  <c r="Q485" i="2"/>
  <c r="Q484" i="2"/>
  <c r="Q483" i="2"/>
  <c r="U10" i="6" l="1"/>
  <c r="Q333" i="2"/>
  <c r="Q332" i="2"/>
  <c r="Q331" i="2"/>
  <c r="Q330" i="2"/>
  <c r="Q329" i="2"/>
  <c r="Q328" i="2"/>
  <c r="Q327" i="2"/>
  <c r="Q316" i="2"/>
  <c r="Q315" i="2"/>
  <c r="Q318" i="2"/>
  <c r="Q314" i="2"/>
  <c r="Q313" i="2"/>
  <c r="Q301" i="2"/>
  <c r="Q300" i="2"/>
  <c r="Q297" i="2"/>
  <c r="Q280" i="2"/>
  <c r="E8" i="10" l="1"/>
  <c r="K7" i="10"/>
  <c r="C29" i="10" l="1"/>
  <c r="C24" i="10"/>
  <c r="M9" i="6"/>
  <c r="S9" i="6" s="1"/>
  <c r="P9" i="6" l="1"/>
  <c r="M19" i="6"/>
  <c r="Y15" i="6"/>
  <c r="V15" i="6"/>
  <c r="S15" i="6"/>
  <c r="P15" i="6"/>
  <c r="M24" i="9"/>
  <c r="M22" i="9"/>
  <c r="M21" i="9"/>
  <c r="S21" i="9" s="1"/>
  <c r="M20" i="9"/>
  <c r="S20" i="9" s="1"/>
  <c r="M19" i="9"/>
  <c r="Q163" i="2"/>
  <c r="M18" i="9"/>
  <c r="S18" i="9" s="1"/>
  <c r="M17" i="9"/>
  <c r="S17" i="9" s="1"/>
  <c r="M16" i="9"/>
  <c r="S16" i="9" s="1"/>
  <c r="M15" i="9"/>
  <c r="S15" i="9" s="1"/>
  <c r="M14" i="9"/>
  <c r="S14" i="9" s="1"/>
  <c r="M13" i="9"/>
  <c r="M12" i="9"/>
  <c r="M11" i="9"/>
  <c r="M10" i="9"/>
  <c r="M9" i="9"/>
  <c r="S9" i="9" s="1"/>
  <c r="M8" i="9"/>
  <c r="J31" i="5"/>
  <c r="J30" i="5"/>
  <c r="V30" i="5" s="1"/>
  <c r="J29" i="5"/>
  <c r="P29" i="5" s="1"/>
  <c r="V28" i="5"/>
  <c r="J27" i="5"/>
  <c r="J26" i="5"/>
  <c r="P26" i="5" s="1"/>
  <c r="J25" i="5"/>
  <c r="J24" i="5"/>
  <c r="M22" i="5"/>
  <c r="V21" i="5"/>
  <c r="J20" i="5"/>
  <c r="V20" i="5" s="1"/>
  <c r="J10" i="5"/>
  <c r="M10" i="5" s="1"/>
  <c r="J17" i="5"/>
  <c r="J15" i="5"/>
  <c r="J14" i="5"/>
  <c r="J13" i="5"/>
  <c r="J11" i="5"/>
  <c r="J12" i="5"/>
  <c r="J9" i="5"/>
  <c r="V9" i="5" s="1"/>
  <c r="J8" i="5"/>
  <c r="J7" i="5"/>
  <c r="P7" i="5" s="1"/>
  <c r="J6" i="5"/>
  <c r="M38" i="6"/>
  <c r="M36" i="6"/>
  <c r="M35" i="6"/>
  <c r="S35" i="6" s="1"/>
  <c r="Q129" i="2"/>
  <c r="N34" i="6"/>
  <c r="M33" i="6"/>
  <c r="M32" i="6"/>
  <c r="P32" i="6" s="1"/>
  <c r="M31" i="6"/>
  <c r="M30" i="6"/>
  <c r="S30" i="6" s="1"/>
  <c r="M29" i="6"/>
  <c r="V29" i="6" s="1"/>
  <c r="M28" i="6"/>
  <c r="M27" i="6"/>
  <c r="M26" i="6"/>
  <c r="M25" i="6"/>
  <c r="P25" i="6" s="1"/>
  <c r="M24" i="6"/>
  <c r="S24" i="6" s="1"/>
  <c r="M23" i="6"/>
  <c r="Q350" i="2"/>
  <c r="V24" i="5" l="1"/>
  <c r="M24" i="5"/>
  <c r="P24" i="5"/>
  <c r="S38" i="6"/>
  <c r="V38" i="6"/>
  <c r="P29" i="6"/>
  <c r="S29" i="6"/>
  <c r="Y18" i="9"/>
  <c r="P18" i="9"/>
  <c r="V18" i="9"/>
  <c r="V7" i="5"/>
  <c r="S7" i="5"/>
  <c r="M7" i="5"/>
  <c r="P19" i="9"/>
  <c r="Y19" i="9"/>
  <c r="S19" i="9"/>
  <c r="V19" i="9"/>
  <c r="S24" i="9"/>
  <c r="V24" i="9"/>
  <c r="P24" i="9"/>
  <c r="Y24" i="9"/>
  <c r="V20" i="9"/>
  <c r="P20" i="9"/>
  <c r="Y20" i="9"/>
  <c r="S25" i="9"/>
  <c r="Y25" i="9"/>
  <c r="V25" i="9"/>
  <c r="P25" i="9"/>
  <c r="V21" i="9"/>
  <c r="Y21" i="9"/>
  <c r="P21" i="9"/>
  <c r="V22" i="9"/>
  <c r="P22" i="9"/>
  <c r="Y22" i="9"/>
  <c r="S22" i="9"/>
  <c r="Y16" i="9"/>
  <c r="V16" i="9"/>
  <c r="P16" i="9"/>
  <c r="V17" i="9"/>
  <c r="Y17" i="9"/>
  <c r="P17" i="9"/>
  <c r="P15" i="9"/>
  <c r="Y15" i="9"/>
  <c r="V15" i="9"/>
  <c r="S12" i="9"/>
  <c r="P12" i="9"/>
  <c r="Y12" i="9"/>
  <c r="V12" i="9"/>
  <c r="P13" i="9"/>
  <c r="Y13" i="9"/>
  <c r="V13" i="9"/>
  <c r="S13" i="9"/>
  <c r="V14" i="9"/>
  <c r="P14" i="9"/>
  <c r="Y14" i="9"/>
  <c r="V11" i="9"/>
  <c r="P11" i="9"/>
  <c r="Y11" i="9"/>
  <c r="S11" i="9"/>
  <c r="S10" i="9"/>
  <c r="P10" i="9"/>
  <c r="Y10" i="9"/>
  <c r="V10" i="9"/>
  <c r="V9" i="9"/>
  <c r="Y9" i="9"/>
  <c r="P9" i="9"/>
  <c r="S8" i="9"/>
  <c r="P8" i="9"/>
  <c r="Y8" i="9"/>
  <c r="V8" i="9"/>
  <c r="P25" i="5"/>
  <c r="M25" i="5"/>
  <c r="V25" i="5"/>
  <c r="S25" i="5"/>
  <c r="M29" i="5"/>
  <c r="V29" i="5"/>
  <c r="S29" i="5"/>
  <c r="V26" i="5"/>
  <c r="S26" i="5"/>
  <c r="M26" i="5"/>
  <c r="P27" i="5"/>
  <c r="V27" i="5"/>
  <c r="S27" i="5"/>
  <c r="M27" i="5"/>
  <c r="P31" i="5"/>
  <c r="M31" i="5"/>
  <c r="V31" i="5"/>
  <c r="S31" i="5"/>
  <c r="V10" i="5"/>
  <c r="S10" i="5"/>
  <c r="P10" i="5"/>
  <c r="V15" i="5"/>
  <c r="S15" i="5"/>
  <c r="P15" i="5"/>
  <c r="M15" i="5"/>
  <c r="S13" i="5"/>
  <c r="P13" i="5"/>
  <c r="M13" i="5"/>
  <c r="V13" i="5"/>
  <c r="P14" i="5"/>
  <c r="S14" i="5"/>
  <c r="V14" i="5"/>
  <c r="M14" i="5"/>
  <c r="P12" i="5"/>
  <c r="M12" i="5"/>
  <c r="V12" i="5"/>
  <c r="S12" i="5"/>
  <c r="V11" i="5"/>
  <c r="S11" i="5"/>
  <c r="P11" i="5"/>
  <c r="M11" i="5"/>
  <c r="V17" i="5"/>
  <c r="P17" i="5"/>
  <c r="S17" i="5"/>
  <c r="M17" i="5"/>
  <c r="S8" i="5"/>
  <c r="P8" i="5"/>
  <c r="V8" i="5"/>
  <c r="M8" i="5"/>
  <c r="S9" i="5"/>
  <c r="P9" i="5"/>
  <c r="M9" i="5"/>
  <c r="S6" i="5"/>
  <c r="P6" i="5"/>
  <c r="V6" i="5"/>
  <c r="M6" i="5"/>
  <c r="P38" i="6"/>
  <c r="Y38" i="6"/>
  <c r="Y37" i="6"/>
  <c r="S37" i="6"/>
  <c r="V37" i="6"/>
  <c r="Y35" i="6"/>
  <c r="P35" i="6"/>
  <c r="V35" i="6"/>
  <c r="Y36" i="6"/>
  <c r="P36" i="6"/>
  <c r="S36" i="6"/>
  <c r="V36" i="6"/>
  <c r="V33" i="6"/>
  <c r="S33" i="6"/>
  <c r="Y33" i="6"/>
  <c r="P33" i="6"/>
  <c r="S32" i="6"/>
  <c r="V32" i="6"/>
  <c r="Y32" i="6"/>
  <c r="S31" i="6"/>
  <c r="V31" i="6"/>
  <c r="Y31" i="6"/>
  <c r="P31" i="6"/>
  <c r="P30" i="6"/>
  <c r="V30" i="6"/>
  <c r="Y30" i="6"/>
  <c r="S27" i="6"/>
  <c r="V27" i="6"/>
  <c r="Y27" i="6"/>
  <c r="P27" i="6"/>
  <c r="S26" i="6"/>
  <c r="Y26" i="6"/>
  <c r="P26" i="6"/>
  <c r="V26" i="6"/>
  <c r="Y25" i="6"/>
  <c r="V25" i="6"/>
  <c r="S25" i="6"/>
  <c r="P24" i="6"/>
  <c r="V24" i="6"/>
  <c r="Y24" i="6"/>
  <c r="V23" i="6"/>
  <c r="S23" i="6"/>
  <c r="P23" i="6"/>
  <c r="Y23" i="6"/>
  <c r="Y29" i="6"/>
  <c r="M30" i="5"/>
  <c r="M21" i="5"/>
  <c r="S21" i="5"/>
  <c r="S22" i="5"/>
  <c r="S28" i="5"/>
  <c r="M20" i="5"/>
  <c r="S20" i="5"/>
  <c r="V22" i="5"/>
  <c r="S24" i="5"/>
  <c r="S30" i="5"/>
  <c r="Q346" i="2"/>
  <c r="Q345" i="2"/>
  <c r="Q343" i="2"/>
  <c r="Q342" i="2"/>
  <c r="Q341" i="2"/>
  <c r="Q340" i="2"/>
  <c r="Q339" i="2"/>
  <c r="Q338" i="2"/>
  <c r="Q337" i="2"/>
  <c r="Q336" i="2"/>
  <c r="Q335" i="2"/>
  <c r="Q325" i="2"/>
  <c r="Q324" i="2"/>
  <c r="Q323" i="2"/>
  <c r="P29" i="9" l="1"/>
  <c r="P28" i="9"/>
  <c r="P27" i="9"/>
  <c r="S28" i="9"/>
  <c r="Y28" i="9"/>
  <c r="P33" i="5"/>
  <c r="V29" i="9"/>
  <c r="S26" i="9"/>
  <c r="S27" i="9"/>
  <c r="Y26" i="9"/>
  <c r="Y27" i="9"/>
  <c r="M33" i="5"/>
  <c r="S34" i="5"/>
  <c r="S29" i="9"/>
  <c r="P26" i="9"/>
  <c r="Y29" i="9"/>
  <c r="V33" i="5"/>
  <c r="S35" i="5"/>
  <c r="V28" i="9"/>
  <c r="V26" i="9"/>
  <c r="V27" i="9"/>
  <c r="S33" i="5"/>
  <c r="V35" i="5"/>
  <c r="P34" i="5"/>
  <c r="P35" i="5"/>
  <c r="M34" i="5"/>
  <c r="M35" i="5"/>
  <c r="V34" i="5"/>
  <c r="Q311" i="2"/>
  <c r="Q310" i="2"/>
  <c r="Q308" i="2"/>
  <c r="Q309" i="2"/>
  <c r="Q276" i="2"/>
  <c r="Q284" i="2"/>
  <c r="Q299" i="2"/>
  <c r="Q295" i="2"/>
  <c r="Q302" i="2"/>
  <c r="Q298" i="2"/>
  <c r="Q289" i="2"/>
  <c r="Q288" i="2"/>
  <c r="Q287" i="2"/>
  <c r="Q285" i="2"/>
  <c r="Q283" i="2"/>
  <c r="Q281" i="2"/>
  <c r="Q278" i="2"/>
  <c r="Q270" i="2"/>
  <c r="Q268" i="2"/>
  <c r="M14" i="6"/>
  <c r="S14" i="6" l="1"/>
  <c r="P14" i="6"/>
  <c r="V14" i="6"/>
  <c r="Y14" i="6"/>
  <c r="Z28" i="9"/>
  <c r="W35" i="5"/>
  <c r="C6" i="10" s="1"/>
  <c r="Z29" i="9"/>
  <c r="Z27" i="9"/>
  <c r="W34" i="5"/>
  <c r="Q273" i="2"/>
  <c r="M22" i="6"/>
  <c r="M21" i="6"/>
  <c r="M20" i="6"/>
  <c r="M17" i="6"/>
  <c r="M13" i="6"/>
  <c r="M12" i="6"/>
  <c r="M11" i="6"/>
  <c r="M10" i="6"/>
  <c r="S10" i="6" s="1"/>
  <c r="G8" i="5"/>
  <c r="J15" i="6"/>
  <c r="Q407" i="2"/>
  <c r="Q408" i="2"/>
  <c r="Q411" i="2"/>
  <c r="Q412" i="2"/>
  <c r="Q413" i="2"/>
  <c r="Q456" i="2"/>
  <c r="Q233" i="2"/>
  <c r="Q239" i="2"/>
  <c r="Q246" i="2"/>
  <c r="Q266" i="2"/>
  <c r="Q252" i="2"/>
  <c r="Q256" i="2"/>
  <c r="Q272" i="2"/>
  <c r="Q369" i="2"/>
  <c r="Q372" i="2"/>
  <c r="Q373" i="2"/>
  <c r="Q375" i="2"/>
  <c r="Q376" i="2"/>
  <c r="Q377" i="2"/>
  <c r="Q378" i="2"/>
  <c r="Q379" i="2"/>
  <c r="Q380" i="2"/>
  <c r="Q381" i="2"/>
  <c r="Q112" i="2"/>
  <c r="Q113" i="2"/>
  <c r="Q114" i="2"/>
  <c r="Q115" i="2"/>
  <c r="Q116" i="2"/>
  <c r="Q117" i="2"/>
  <c r="Q118" i="2"/>
  <c r="Q119" i="2"/>
  <c r="Q120" i="2"/>
  <c r="Q121" i="2"/>
  <c r="Q122" i="2"/>
  <c r="Q123" i="2"/>
  <c r="Q124" i="2"/>
  <c r="Q141" i="2"/>
  <c r="Q142" i="2"/>
  <c r="Q143" i="2"/>
  <c r="Q144" i="2"/>
  <c r="Q153" i="2"/>
  <c r="Q154" i="2"/>
  <c r="Q156" i="2"/>
  <c r="Q185" i="2"/>
  <c r="Q186" i="2"/>
  <c r="Q187" i="2"/>
  <c r="Q188" i="2"/>
  <c r="Q193" i="2"/>
  <c r="Q194" i="2"/>
  <c r="Q196" i="2"/>
  <c r="Q197" i="2"/>
  <c r="Q198" i="2"/>
  <c r="Q199" i="2"/>
  <c r="Q202" i="2"/>
  <c r="Q203" i="2"/>
  <c r="Q204" i="2"/>
  <c r="Q205" i="2"/>
  <c r="Q206" i="2"/>
  <c r="Q207" i="2"/>
  <c r="Q208" i="2"/>
  <c r="Q209" i="2"/>
  <c r="Q210" i="2"/>
  <c r="Q211" i="2"/>
  <c r="Q212" i="2"/>
  <c r="Q213" i="2"/>
  <c r="Q214" i="2"/>
  <c r="Q215" i="2"/>
  <c r="Q216" i="2"/>
  <c r="Q217" i="2"/>
  <c r="Q218" i="2"/>
  <c r="Q219" i="2"/>
  <c r="Q220" i="2"/>
  <c r="Q221" i="2"/>
  <c r="Q222" i="2"/>
  <c r="Q225" i="2"/>
  <c r="Q223" i="2"/>
  <c r="Q226" i="2"/>
  <c r="Q9" i="2"/>
  <c r="Q10" i="2"/>
  <c r="Q11" i="2"/>
  <c r="Q12" i="2"/>
  <c r="Q13" i="2"/>
  <c r="Q14" i="2"/>
  <c r="Q15" i="2"/>
  <c r="Q16" i="2"/>
  <c r="Q17" i="2"/>
  <c r="Q19" i="2"/>
  <c r="Q20" i="2"/>
  <c r="Q29" i="2"/>
  <c r="Q31" i="2"/>
  <c r="Q32" i="2"/>
  <c r="Q33" i="2"/>
  <c r="Q34" i="2"/>
  <c r="Q35" i="2"/>
  <c r="Q36" i="2"/>
  <c r="Q37" i="2"/>
  <c r="Q38" i="2"/>
  <c r="Q46" i="2"/>
  <c r="Q47" i="2"/>
  <c r="Q48" i="2"/>
  <c r="Q49" i="2"/>
  <c r="Q50"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2" i="2"/>
  <c r="Q103" i="2"/>
  <c r="Q104" i="2"/>
  <c r="Q107" i="2"/>
  <c r="Q167" i="2"/>
  <c r="Q166" i="2"/>
  <c r="Q165" i="2"/>
  <c r="Q164" i="2"/>
  <c r="Q162" i="2"/>
  <c r="Q160" i="2"/>
  <c r="Q158" i="2"/>
  <c r="Q151" i="2"/>
  <c r="Q140" i="2"/>
  <c r="Q139" i="2"/>
  <c r="Q138" i="2"/>
  <c r="Q137" i="2"/>
  <c r="Q136" i="2"/>
  <c r="Q134" i="2"/>
  <c r="Q130" i="2"/>
  <c r="Q128" i="2"/>
  <c r="Q370" i="2"/>
  <c r="Q371" i="2"/>
  <c r="Q351" i="2"/>
  <c r="Q374" i="2"/>
  <c r="Q228" i="2"/>
  <c r="Q229" i="2"/>
  <c r="Q230" i="2"/>
  <c r="Q231" i="2"/>
  <c r="Q232" i="2"/>
  <c r="Q234" i="2"/>
  <c r="Q235" i="2"/>
  <c r="Q247" i="2"/>
  <c r="Q248" i="2"/>
  <c r="Q249" i="2"/>
  <c r="Q250" i="2"/>
  <c r="Q251" i="2"/>
  <c r="Q254" i="2"/>
  <c r="Q255" i="2"/>
  <c r="Q259" i="2"/>
  <c r="Q263" i="2"/>
  <c r="Q265" i="2"/>
  <c r="Q267" i="2"/>
  <c r="Q269" i="2"/>
  <c r="Q271" i="2"/>
  <c r="Q274" i="2"/>
  <c r="Q275" i="2"/>
  <c r="Q277" i="2"/>
  <c r="Q282" i="2"/>
  <c r="Q290" i="2"/>
  <c r="Q291" i="2"/>
  <c r="Q292" i="2"/>
  <c r="Q293" i="2"/>
  <c r="Q294" i="2"/>
  <c r="Q303" i="2"/>
  <c r="Q304" i="2"/>
  <c r="Q305" i="2"/>
  <c r="Q306" i="2"/>
  <c r="Q307" i="2"/>
  <c r="Q312" i="2"/>
  <c r="Q317" i="2"/>
  <c r="Q319" i="2"/>
  <c r="Q320" i="2"/>
  <c r="Q321" i="2"/>
  <c r="Q322" i="2"/>
  <c r="Q326" i="2"/>
  <c r="Q334" i="2"/>
  <c r="Q344" i="2"/>
  <c r="Q347" i="2"/>
  <c r="Q349" i="2"/>
  <c r="Q352" i="2"/>
  <c r="Q353" i="2"/>
  <c r="Q354" i="2"/>
  <c r="Q355" i="2"/>
  <c r="Q356" i="2"/>
  <c r="Q357" i="2"/>
  <c r="Q358" i="2"/>
  <c r="Q359" i="2"/>
  <c r="Q361" i="2"/>
  <c r="Q362" i="2"/>
  <c r="Q363" i="2"/>
  <c r="Q364" i="2"/>
  <c r="Q365" i="2"/>
  <c r="Q366" i="2"/>
  <c r="Q367" i="2"/>
  <c r="Q368" i="2"/>
  <c r="Q390" i="2"/>
  <c r="Q391" i="2"/>
  <c r="Q392" i="2"/>
  <c r="Q393" i="2"/>
  <c r="Q394" i="2"/>
  <c r="Q395" i="2"/>
  <c r="Q398" i="2"/>
  <c r="Q399" i="2"/>
  <c r="Q400" i="2"/>
  <c r="Q401" i="2"/>
  <c r="Q402" i="2"/>
  <c r="Q404" i="2"/>
  <c r="Q405" i="2"/>
  <c r="Q409" i="2"/>
  <c r="Q195" i="2"/>
  <c r="Q200" i="2"/>
  <c r="Q201" i="2"/>
  <c r="Q101" i="2"/>
  <c r="Q105" i="2"/>
  <c r="Q106" i="2"/>
  <c r="K76" i="2"/>
  <c r="K90" i="2"/>
  <c r="Q21" i="2"/>
  <c r="Q24" i="2"/>
  <c r="Q25" i="2"/>
  <c r="Q26" i="2"/>
  <c r="Q27" i="2"/>
  <c r="Q28" i="2"/>
  <c r="Q39" i="2"/>
  <c r="Q41" i="2"/>
  <c r="Q43" i="2"/>
  <c r="Q44" i="2"/>
  <c r="Q45" i="2"/>
  <c r="P8" i="2"/>
  <c r="Q8" i="2" s="1"/>
  <c r="Q109" i="2"/>
  <c r="Q110" i="2"/>
  <c r="Q111" i="2"/>
  <c r="Q126" i="2"/>
  <c r="Q145" i="2"/>
  <c r="Q146" i="2"/>
  <c r="Q147" i="2"/>
  <c r="Q148" i="2"/>
  <c r="Q149" i="2"/>
  <c r="Q189" i="2"/>
  <c r="Q190" i="2"/>
  <c r="Q191" i="2"/>
  <c r="Q192" i="2"/>
  <c r="Q108" i="2" l="1"/>
  <c r="Q227" i="2"/>
  <c r="W33" i="5"/>
  <c r="H5" i="10" s="1"/>
  <c r="Z26" i="9"/>
  <c r="H6" i="10" s="1"/>
  <c r="P22" i="6"/>
  <c r="V22" i="6"/>
  <c r="S22" i="6"/>
  <c r="Y22" i="6"/>
  <c r="V21" i="6"/>
  <c r="S21" i="6"/>
  <c r="P21" i="6"/>
  <c r="Y21" i="6"/>
  <c r="V17" i="6"/>
  <c r="P17" i="6"/>
  <c r="Y17" i="6"/>
  <c r="S17" i="6"/>
  <c r="V12" i="6"/>
  <c r="P12" i="6"/>
  <c r="Y12" i="6"/>
  <c r="S12" i="6"/>
  <c r="Y11" i="6"/>
  <c r="V11" i="6"/>
  <c r="S11" i="6"/>
  <c r="P11" i="6"/>
  <c r="P10" i="6"/>
  <c r="Q383" i="2"/>
  <c r="V10" i="6"/>
  <c r="Y10" i="6"/>
  <c r="S20" i="6"/>
  <c r="Y20" i="6"/>
  <c r="V20" i="6"/>
  <c r="P20" i="6"/>
  <c r="Q482" i="2"/>
  <c r="Q382" i="2" a="1"/>
  <c r="Q382" i="2" s="1"/>
  <c r="S42" i="6" l="1"/>
  <c r="S41" i="6"/>
  <c r="P41" i="6"/>
  <c r="P42" i="6"/>
  <c r="Y42" i="6"/>
  <c r="V41" i="6"/>
  <c r="Y41" i="6"/>
  <c r="V42" i="6"/>
  <c r="Q489" i="2"/>
  <c r="P40" i="6"/>
  <c r="Z41" i="6" l="1"/>
  <c r="C5" i="10" s="1"/>
  <c r="Z42" i="6"/>
  <c r="C4" i="10" s="1"/>
  <c r="Y9" i="6"/>
  <c r="S40" i="6" l="1"/>
  <c r="V40" i="6"/>
  <c r="Y40" i="6"/>
  <c r="Z40" i="6" l="1"/>
  <c r="Z39" i="6" s="1"/>
  <c r="C3" i="10" l="1"/>
  <c r="H4" i="10"/>
  <c r="C8" i="10" l="1"/>
  <c r="C26" i="10" s="1"/>
  <c r="C30" i="10" l="1"/>
  <c r="D30" i="10"/>
</calcChain>
</file>

<file path=xl/comments1.xml><?xml version="1.0" encoding="utf-8"?>
<comments xmlns="http://schemas.openxmlformats.org/spreadsheetml/2006/main">
  <authors>
    <author>ANDRES</author>
    <author>Plan de Accion ETITC</author>
    <author>Estadistica ETITC.</author>
  </authors>
  <commentList>
    <comment ref="H21" authorId="0" shapeId="0">
      <text>
        <r>
          <rPr>
            <b/>
            <sz val="9"/>
            <color indexed="81"/>
            <rFont val="Tahoma"/>
            <family val="2"/>
          </rPr>
          <t>Medición meta etsratégica</t>
        </r>
      </text>
    </comment>
    <comment ref="H35" authorId="0" shapeId="0">
      <text>
        <r>
          <rPr>
            <b/>
            <sz val="9"/>
            <color indexed="81"/>
            <rFont val="Tahoma"/>
            <family val="2"/>
          </rPr>
          <t>Medición meta etsratégica</t>
        </r>
      </text>
    </comment>
    <comment ref="H36" authorId="0" shapeId="0">
      <text>
        <r>
          <rPr>
            <b/>
            <sz val="9"/>
            <color indexed="81"/>
            <rFont val="Tahoma"/>
            <family val="2"/>
          </rPr>
          <t>Medición meta etsratégica</t>
        </r>
      </text>
    </comment>
    <comment ref="H38" authorId="0" shapeId="0">
      <text>
        <r>
          <rPr>
            <b/>
            <sz val="9"/>
            <color indexed="81"/>
            <rFont val="Tahoma"/>
            <family val="2"/>
          </rPr>
          <t>Medición meta etsratégica</t>
        </r>
      </text>
    </comment>
    <comment ref="H59" authorId="1" shapeId="0">
      <text>
        <r>
          <rPr>
            <b/>
            <sz val="9"/>
            <color indexed="81"/>
            <rFont val="Tahoma"/>
            <charset val="1"/>
          </rPr>
          <t>MEDICIÓN ME</t>
        </r>
      </text>
    </comment>
    <comment ref="AB67" authorId="2" shapeId="0">
      <text>
        <r>
          <rPr>
            <b/>
            <sz val="9"/>
            <color indexed="81"/>
            <rFont val="Tahoma"/>
            <family val="2"/>
          </rPr>
          <t>Estadistica ETITC.:</t>
        </r>
        <r>
          <rPr>
            <sz val="9"/>
            <color indexed="81"/>
            <rFont val="Tahoma"/>
            <family val="2"/>
          </rPr>
          <t xml:space="preserve">
Validar con Viceacadémica</t>
        </r>
      </text>
    </comment>
    <comment ref="H70" authorId="0" shapeId="0">
      <text>
        <r>
          <rPr>
            <b/>
            <sz val="9"/>
            <color indexed="81"/>
            <rFont val="Tahoma"/>
            <family val="2"/>
          </rPr>
          <t>Medición meta etsratégica</t>
        </r>
      </text>
    </comment>
    <comment ref="H89" authorId="0" shapeId="0">
      <text>
        <r>
          <rPr>
            <b/>
            <sz val="9"/>
            <color indexed="81"/>
            <rFont val="Tahoma"/>
            <family val="2"/>
          </rPr>
          <t>Medición meta etsratégica</t>
        </r>
      </text>
    </comment>
    <comment ref="H97" authorId="0" shapeId="0">
      <text>
        <r>
          <rPr>
            <b/>
            <sz val="9"/>
            <color indexed="81"/>
            <rFont val="Tahoma"/>
            <family val="2"/>
          </rPr>
          <t>Medición meta etsratégica</t>
        </r>
      </text>
    </comment>
    <comment ref="H100" authorId="0" shapeId="0">
      <text>
        <r>
          <rPr>
            <b/>
            <sz val="9"/>
            <color indexed="81"/>
            <rFont val="Tahoma"/>
            <family val="2"/>
          </rPr>
          <t>Medición meta etsratégica</t>
        </r>
      </text>
    </comment>
    <comment ref="H101" authorId="0" shapeId="0">
      <text>
        <r>
          <rPr>
            <b/>
            <sz val="9"/>
            <color indexed="81"/>
            <rFont val="Tahoma"/>
            <family val="2"/>
          </rPr>
          <t>Medición meta etsratégica</t>
        </r>
      </text>
    </comment>
    <comment ref="H127" authorId="1" shapeId="0">
      <text>
        <r>
          <rPr>
            <b/>
            <sz val="9"/>
            <color indexed="81"/>
            <rFont val="Tahoma"/>
            <family val="2"/>
          </rPr>
          <t xml:space="preserve">MME
</t>
        </r>
      </text>
    </comment>
    <comment ref="H128" authorId="0" shapeId="0">
      <text>
        <r>
          <rPr>
            <b/>
            <sz val="9"/>
            <color indexed="81"/>
            <rFont val="Tahoma"/>
            <family val="2"/>
          </rPr>
          <t>Medición meta etsratégica</t>
        </r>
      </text>
    </comment>
    <comment ref="H130" authorId="0" shapeId="0">
      <text>
        <r>
          <rPr>
            <b/>
            <sz val="9"/>
            <color indexed="81"/>
            <rFont val="Tahoma"/>
            <family val="2"/>
          </rPr>
          <t>Medición meta etsratégica</t>
        </r>
      </text>
    </comment>
    <comment ref="H132" authorId="0" shapeId="0">
      <text>
        <r>
          <rPr>
            <b/>
            <sz val="9"/>
            <color indexed="81"/>
            <rFont val="Tahoma"/>
            <family val="2"/>
          </rPr>
          <t>Medición meta etsratégica</t>
        </r>
      </text>
    </comment>
    <comment ref="H133" authorId="0" shapeId="0">
      <text>
        <r>
          <rPr>
            <b/>
            <sz val="9"/>
            <color indexed="81"/>
            <rFont val="Tahoma"/>
            <family val="2"/>
          </rPr>
          <t>Medición meta etsratégica</t>
        </r>
      </text>
    </comment>
    <comment ref="H134" authorId="0" shapeId="0">
      <text>
        <r>
          <rPr>
            <b/>
            <sz val="9"/>
            <color indexed="81"/>
            <rFont val="Tahoma"/>
            <family val="2"/>
          </rPr>
          <t>Medición meta etsratégica</t>
        </r>
      </text>
    </comment>
    <comment ref="H139" authorId="0" shapeId="0">
      <text>
        <r>
          <rPr>
            <b/>
            <sz val="9"/>
            <color indexed="81"/>
            <rFont val="Tahoma"/>
            <family val="2"/>
          </rPr>
          <t>Medición meta estratégica</t>
        </r>
      </text>
    </comment>
    <comment ref="H142" authorId="0" shapeId="0">
      <text>
        <r>
          <rPr>
            <b/>
            <sz val="9"/>
            <color indexed="81"/>
            <rFont val="Tahoma"/>
            <family val="2"/>
          </rPr>
          <t>Medición meta etsratégica</t>
        </r>
      </text>
    </comment>
    <comment ref="H158" authorId="0" shapeId="0">
      <text>
        <r>
          <rPr>
            <b/>
            <sz val="9"/>
            <color indexed="81"/>
            <rFont val="Tahoma"/>
            <family val="2"/>
          </rPr>
          <t>Medición meta etsratégica</t>
        </r>
      </text>
    </comment>
    <comment ref="H160" authorId="0" shapeId="0">
      <text>
        <r>
          <rPr>
            <b/>
            <sz val="9"/>
            <color indexed="81"/>
            <rFont val="Tahoma"/>
            <family val="2"/>
          </rPr>
          <t>Medición meta etsratégica</t>
        </r>
      </text>
    </comment>
    <comment ref="H161" authorId="0" shapeId="0">
      <text>
        <r>
          <rPr>
            <b/>
            <sz val="9"/>
            <color indexed="81"/>
            <rFont val="Tahoma"/>
            <family val="2"/>
          </rPr>
          <t>Medición meta etsratégica</t>
        </r>
      </text>
    </comment>
    <comment ref="H162" authorId="0" shapeId="0">
      <text>
        <r>
          <rPr>
            <b/>
            <sz val="9"/>
            <color indexed="81"/>
            <rFont val="Tahoma"/>
            <family val="2"/>
          </rPr>
          <t>Medición meta etsratégica</t>
        </r>
      </text>
    </comment>
    <comment ref="H166" authorId="0" shapeId="0">
      <text>
        <r>
          <rPr>
            <b/>
            <sz val="9"/>
            <color indexed="81"/>
            <rFont val="Tahoma"/>
            <family val="2"/>
          </rPr>
          <t>Medición meta etsratégica</t>
        </r>
      </text>
    </comment>
    <comment ref="H171" authorId="0" shapeId="0">
      <text>
        <r>
          <rPr>
            <b/>
            <sz val="9"/>
            <color indexed="81"/>
            <rFont val="Tahoma"/>
            <family val="2"/>
          </rPr>
          <t>Medición meta etsratégica</t>
        </r>
      </text>
    </comment>
    <comment ref="H172" authorId="0" shapeId="0">
      <text>
        <r>
          <rPr>
            <b/>
            <sz val="9"/>
            <color indexed="81"/>
            <rFont val="Tahoma"/>
            <family val="2"/>
          </rPr>
          <t xml:space="preserve">Medición de meta estratégica
</t>
        </r>
      </text>
    </comment>
    <comment ref="H179" authorId="0" shapeId="0">
      <text>
        <r>
          <rPr>
            <b/>
            <sz val="9"/>
            <color indexed="81"/>
            <rFont val="Tahoma"/>
            <family val="2"/>
          </rPr>
          <t>Medición de meta estratégica</t>
        </r>
      </text>
    </comment>
    <comment ref="H180" authorId="0" shapeId="0">
      <text>
        <r>
          <rPr>
            <b/>
            <sz val="9"/>
            <color indexed="81"/>
            <rFont val="Tahoma"/>
            <family val="2"/>
          </rPr>
          <t>Medición de meta estratégica</t>
        </r>
      </text>
    </comment>
    <comment ref="H183" authorId="0" shapeId="0">
      <text>
        <r>
          <rPr>
            <b/>
            <sz val="9"/>
            <color indexed="81"/>
            <rFont val="Tahoma"/>
            <family val="2"/>
          </rPr>
          <t>Medición de meta estratégica</t>
        </r>
      </text>
    </comment>
    <comment ref="H184" authorId="0" shapeId="0">
      <text>
        <r>
          <rPr>
            <b/>
            <sz val="9"/>
            <color indexed="81"/>
            <rFont val="Tahoma"/>
            <family val="2"/>
          </rPr>
          <t>Medición de meta estratégica</t>
        </r>
      </text>
    </comment>
    <comment ref="H185" authorId="0" shapeId="0">
      <text>
        <r>
          <rPr>
            <b/>
            <sz val="9"/>
            <color indexed="81"/>
            <rFont val="Tahoma"/>
            <family val="2"/>
          </rPr>
          <t>Medición de meta estratégica</t>
        </r>
      </text>
    </comment>
    <comment ref="H223" authorId="0" shapeId="0">
      <text>
        <r>
          <rPr>
            <b/>
            <sz val="9"/>
            <color indexed="81"/>
            <rFont val="Tahoma"/>
            <family val="2"/>
          </rPr>
          <t>Medición de meta estratégica</t>
        </r>
      </text>
    </comment>
    <comment ref="H225" authorId="0" shapeId="0">
      <text>
        <r>
          <rPr>
            <b/>
            <sz val="9"/>
            <color indexed="81"/>
            <rFont val="Tahoma"/>
            <family val="2"/>
          </rPr>
          <t xml:space="preserve">Medición meta estratégica </t>
        </r>
      </text>
    </comment>
    <comment ref="H226" authorId="0" shapeId="0">
      <text>
        <r>
          <rPr>
            <b/>
            <sz val="9"/>
            <color indexed="81"/>
            <rFont val="Tahoma"/>
            <family val="2"/>
          </rPr>
          <t>Medición de meta estratégica</t>
        </r>
      </text>
    </comment>
    <comment ref="H228" authorId="0" shapeId="0">
      <text>
        <r>
          <rPr>
            <b/>
            <sz val="9"/>
            <color indexed="81"/>
            <rFont val="Tahoma"/>
            <family val="2"/>
          </rPr>
          <t>Medición de meta estratégica</t>
        </r>
      </text>
    </comment>
    <comment ref="H229" authorId="0" shapeId="0">
      <text>
        <r>
          <rPr>
            <b/>
            <sz val="9"/>
            <color indexed="81"/>
            <rFont val="Tahoma"/>
            <family val="2"/>
          </rPr>
          <t>Medición de meta estratégica</t>
        </r>
      </text>
    </comment>
    <comment ref="H230" authorId="0" shapeId="0">
      <text>
        <r>
          <rPr>
            <b/>
            <sz val="9"/>
            <color indexed="81"/>
            <rFont val="Tahoma"/>
            <family val="2"/>
          </rPr>
          <t>Medición meta estratégica</t>
        </r>
      </text>
    </comment>
    <comment ref="H233" authorId="0" shapeId="0">
      <text>
        <r>
          <rPr>
            <b/>
            <sz val="9"/>
            <color indexed="81"/>
            <rFont val="Tahoma"/>
            <family val="2"/>
          </rPr>
          <t>Medición de meta estratégica</t>
        </r>
      </text>
    </comment>
    <comment ref="H234" authorId="0" shapeId="0">
      <text>
        <r>
          <rPr>
            <b/>
            <sz val="9"/>
            <color indexed="81"/>
            <rFont val="Tahoma"/>
            <family val="2"/>
          </rPr>
          <t>Medición de meta estratégica</t>
        </r>
      </text>
    </comment>
    <comment ref="H238" authorId="0" shapeId="0">
      <text>
        <r>
          <rPr>
            <b/>
            <sz val="9"/>
            <color indexed="81"/>
            <rFont val="Tahoma"/>
            <family val="2"/>
          </rPr>
          <t>Medición de meta estratégica</t>
        </r>
      </text>
    </comment>
    <comment ref="F239" authorId="1" shapeId="0">
      <text>
        <r>
          <rPr>
            <b/>
            <sz val="9"/>
            <color indexed="81"/>
            <rFont val="Tahoma"/>
            <family val="2"/>
          </rPr>
          <t>PFC</t>
        </r>
      </text>
    </comment>
    <comment ref="H239" authorId="0" shapeId="0">
      <text>
        <r>
          <rPr>
            <b/>
            <sz val="9"/>
            <color indexed="81"/>
            <rFont val="Tahoma"/>
            <family val="2"/>
          </rPr>
          <t>Medición de meta estratégica</t>
        </r>
      </text>
    </comment>
    <comment ref="H246" authorId="0" shapeId="0">
      <text>
        <r>
          <rPr>
            <b/>
            <sz val="9"/>
            <color indexed="81"/>
            <rFont val="Tahoma"/>
            <family val="2"/>
          </rPr>
          <t>Medición de meta estratégica</t>
        </r>
      </text>
    </comment>
    <comment ref="H266" authorId="0" shapeId="0">
      <text>
        <r>
          <rPr>
            <b/>
            <sz val="9"/>
            <color indexed="81"/>
            <rFont val="Tahoma"/>
            <family val="2"/>
          </rPr>
          <t>Medición de meta estratégica</t>
        </r>
      </text>
    </comment>
    <comment ref="H267" authorId="0" shapeId="0">
      <text>
        <r>
          <rPr>
            <b/>
            <sz val="9"/>
            <color indexed="81"/>
            <rFont val="Tahoma"/>
            <family val="2"/>
          </rPr>
          <t>Medición de meta estratégica</t>
        </r>
      </text>
    </comment>
    <comment ref="H269" authorId="0" shapeId="0">
      <text>
        <r>
          <rPr>
            <b/>
            <sz val="9"/>
            <color indexed="81"/>
            <rFont val="Tahoma"/>
            <family val="2"/>
          </rPr>
          <t>Medición de meta estratégica</t>
        </r>
      </text>
    </comment>
    <comment ref="H270" authorId="0" shapeId="0">
      <text>
        <r>
          <rPr>
            <b/>
            <sz val="9"/>
            <color indexed="81"/>
            <rFont val="Tahoma"/>
            <family val="2"/>
          </rPr>
          <t>Medición de meta estratégica</t>
        </r>
      </text>
    </comment>
    <comment ref="H271" authorId="0" shapeId="0">
      <text>
        <r>
          <rPr>
            <b/>
            <sz val="9"/>
            <color indexed="81"/>
            <rFont val="Tahoma"/>
            <family val="2"/>
          </rPr>
          <t>Medición de meta estratégica</t>
        </r>
      </text>
    </comment>
    <comment ref="H272" authorId="0" shapeId="0">
      <text>
        <r>
          <rPr>
            <b/>
            <sz val="9"/>
            <color indexed="81"/>
            <rFont val="Tahoma"/>
            <family val="2"/>
          </rPr>
          <t>Medición de meta estratégica</t>
        </r>
      </text>
    </comment>
    <comment ref="H273" authorId="0" shapeId="0">
      <text>
        <r>
          <rPr>
            <b/>
            <sz val="9"/>
            <color indexed="81"/>
            <rFont val="Tahoma"/>
            <family val="2"/>
          </rPr>
          <t>Medición de meta estratégica</t>
        </r>
      </text>
    </comment>
    <comment ref="H274" authorId="0" shapeId="0">
      <text>
        <r>
          <rPr>
            <b/>
            <sz val="9"/>
            <color indexed="81"/>
            <rFont val="Tahoma"/>
            <family val="2"/>
          </rPr>
          <t>Medición de meta estratégica</t>
        </r>
      </text>
    </comment>
    <comment ref="F277" authorId="1" shapeId="0">
      <text>
        <r>
          <rPr>
            <b/>
            <sz val="9"/>
            <color indexed="81"/>
            <rFont val="Tahoma"/>
            <family val="2"/>
          </rPr>
          <t>PFC</t>
        </r>
      </text>
    </comment>
    <comment ref="H277" authorId="0" shapeId="0">
      <text>
        <r>
          <rPr>
            <b/>
            <sz val="9"/>
            <color indexed="81"/>
            <rFont val="Tahoma"/>
            <family val="2"/>
          </rPr>
          <t>Medición meta estratégica</t>
        </r>
      </text>
    </comment>
    <comment ref="F319" authorId="1" shapeId="0">
      <text>
        <r>
          <rPr>
            <b/>
            <sz val="9"/>
            <color indexed="81"/>
            <rFont val="Tahoma"/>
            <family val="2"/>
          </rPr>
          <t>PFC</t>
        </r>
      </text>
    </comment>
    <comment ref="H319" authorId="0" shapeId="0">
      <text>
        <r>
          <rPr>
            <b/>
            <sz val="9"/>
            <color indexed="81"/>
            <rFont val="Tahoma"/>
            <family val="2"/>
          </rPr>
          <t>Medición de meta estratégica</t>
        </r>
      </text>
    </comment>
    <comment ref="H325" authorId="0" shapeId="0">
      <text>
        <r>
          <rPr>
            <b/>
            <sz val="9"/>
            <color indexed="81"/>
            <rFont val="Tahoma"/>
            <family val="2"/>
          </rPr>
          <t>Medición de meta estratégica</t>
        </r>
      </text>
    </comment>
    <comment ref="H347" authorId="0" shapeId="0">
      <text>
        <r>
          <rPr>
            <b/>
            <sz val="9"/>
            <color indexed="81"/>
            <rFont val="Tahoma"/>
            <family val="2"/>
          </rPr>
          <t>Medición de meta estratégica</t>
        </r>
      </text>
    </comment>
    <comment ref="H383" authorId="0" shapeId="0">
      <text>
        <r>
          <rPr>
            <b/>
            <sz val="9"/>
            <color indexed="81"/>
            <rFont val="Tahoma"/>
            <family val="2"/>
          </rPr>
          <t>Medición de meta estratégica</t>
        </r>
      </text>
    </comment>
    <comment ref="H388" authorId="0" shapeId="0">
      <text>
        <r>
          <rPr>
            <b/>
            <sz val="9"/>
            <color indexed="81"/>
            <rFont val="Tahoma"/>
            <family val="2"/>
          </rPr>
          <t>Medición de meta estratégica</t>
        </r>
      </text>
    </comment>
    <comment ref="H389" authorId="0" shapeId="0">
      <text>
        <r>
          <rPr>
            <b/>
            <sz val="9"/>
            <color indexed="81"/>
            <rFont val="Tahoma"/>
            <family val="2"/>
          </rPr>
          <t>Medición de meta estratégica</t>
        </r>
      </text>
    </comment>
    <comment ref="H392" authorId="0" shapeId="0">
      <text>
        <r>
          <rPr>
            <b/>
            <sz val="9"/>
            <color indexed="81"/>
            <rFont val="Tahoma"/>
            <family val="2"/>
          </rPr>
          <t>Medición de meta estratégica</t>
        </r>
      </text>
    </comment>
    <comment ref="H407" authorId="0" shapeId="0">
      <text>
        <r>
          <rPr>
            <b/>
            <sz val="9"/>
            <color indexed="81"/>
            <rFont val="Tahoma"/>
            <family val="2"/>
          </rPr>
          <t>Medición de meta estratégica</t>
        </r>
      </text>
    </comment>
    <comment ref="H409" authorId="0" shapeId="0">
      <text>
        <r>
          <rPr>
            <b/>
            <sz val="9"/>
            <color indexed="81"/>
            <rFont val="Tahoma"/>
            <family val="2"/>
          </rPr>
          <t>Medición meta estratégica</t>
        </r>
      </text>
    </comment>
    <comment ref="H412" authorId="0" shapeId="0">
      <text>
        <r>
          <rPr>
            <b/>
            <sz val="9"/>
            <color indexed="81"/>
            <rFont val="Tahoma"/>
            <family val="2"/>
          </rPr>
          <t>Medición de meta estratégica</t>
        </r>
      </text>
    </comment>
    <comment ref="H413" authorId="0" shapeId="0">
      <text>
        <r>
          <rPr>
            <b/>
            <sz val="9"/>
            <color indexed="81"/>
            <rFont val="Tahoma"/>
            <family val="2"/>
          </rPr>
          <t>Medición de meta estratégica</t>
        </r>
      </text>
    </comment>
    <comment ref="H417" authorId="0" shapeId="0">
      <text>
        <r>
          <rPr>
            <b/>
            <sz val="9"/>
            <color indexed="81"/>
            <rFont val="Tahoma"/>
            <family val="2"/>
          </rPr>
          <t>Medición de meta estratégica</t>
        </r>
      </text>
    </comment>
    <comment ref="H452" authorId="0" shapeId="0">
      <text>
        <r>
          <rPr>
            <b/>
            <sz val="9"/>
            <color indexed="81"/>
            <rFont val="Tahoma"/>
            <family val="2"/>
          </rPr>
          <t>Medición de meta estratégica</t>
        </r>
      </text>
    </comment>
    <comment ref="H453" authorId="0" shapeId="0">
      <text>
        <r>
          <rPr>
            <b/>
            <sz val="9"/>
            <color indexed="81"/>
            <rFont val="Tahoma"/>
            <family val="2"/>
          </rPr>
          <t>Medición de meta estratégica</t>
        </r>
      </text>
    </comment>
    <comment ref="H456" authorId="0" shapeId="0">
      <text>
        <r>
          <rPr>
            <b/>
            <sz val="9"/>
            <color indexed="81"/>
            <rFont val="Tahoma"/>
            <family val="2"/>
          </rPr>
          <t xml:space="preserve">Medición meta etsrategica
</t>
        </r>
      </text>
    </comment>
    <comment ref="H482" authorId="0" shapeId="0">
      <text>
        <r>
          <rPr>
            <b/>
            <sz val="9"/>
            <color indexed="81"/>
            <rFont val="Tahoma"/>
            <family val="2"/>
          </rPr>
          <t>Medición meta estrategica</t>
        </r>
      </text>
    </comment>
  </commentList>
</comments>
</file>

<file path=xl/comments2.xml><?xml version="1.0" encoding="utf-8"?>
<comments xmlns="http://schemas.openxmlformats.org/spreadsheetml/2006/main">
  <authors>
    <author>Plan de Accion ETITC</author>
    <author>ANDRES</author>
  </authors>
  <commentList>
    <comment ref="T12" authorId="0" shapeId="0">
      <text>
        <r>
          <rPr>
            <b/>
            <sz val="9"/>
            <color indexed="81"/>
            <rFont val="Tahoma"/>
            <charset val="1"/>
          </rPr>
          <t>'Se calcula el avance del indicador según los avances de las diferentes actividades que deben ejecutarse para articular los programas con el modelo de evualuación de resultados de aprendizaje y competencias</t>
        </r>
      </text>
    </comment>
    <comment ref="Z39" authorId="1" shapeId="0">
      <text>
        <r>
          <rPr>
            <sz val="9"/>
            <color indexed="81"/>
            <rFont val="Tahoma"/>
            <family val="2"/>
          </rPr>
          <t xml:space="preserve">AVANCE GENERAL "LO INSTITUCIONAL" 2022
</t>
        </r>
      </text>
    </comment>
  </commentList>
</comments>
</file>

<file path=xl/comments3.xml><?xml version="1.0" encoding="utf-8"?>
<comments xmlns="http://schemas.openxmlformats.org/spreadsheetml/2006/main">
  <authors>
    <author>mylife</author>
    <author>Plan de Accion ETITC</author>
    <author>ANDRES</author>
  </authors>
  <commentList>
    <comment ref="H9" authorId="0" shapeId="0">
      <text>
        <r>
          <rPr>
            <sz val="9"/>
            <color indexed="81"/>
            <rFont val="Tahoma"/>
            <family val="2"/>
          </rPr>
          <t xml:space="preserve">Del PEI actualizado
</t>
        </r>
      </text>
    </comment>
    <comment ref="F11" authorId="1" shapeId="0">
      <text>
        <r>
          <rPr>
            <b/>
            <sz val="9"/>
            <color indexed="81"/>
            <rFont val="Tahoma"/>
            <charset val="1"/>
          </rPr>
          <t>Número de atendidos:
Salud: 2.670; Sicología: 5.425; Trabajo Social: 4.468; Deportes: 1.405; Artes: 2.646; Pastoral: 1.469.
Se realizaron 141 actividades, con un promedio de asistencia de 128 estudiantes (sobre 3.600)</t>
        </r>
      </text>
    </comment>
    <comment ref="F12" authorId="1" shapeId="0">
      <text>
        <r>
          <rPr>
            <b/>
            <sz val="9"/>
            <color indexed="81"/>
            <rFont val="Tahoma"/>
            <charset val="1"/>
          </rPr>
          <t>Los estudiantes registrados en Rusia son: 2.833 (sobre 3.600)</t>
        </r>
      </text>
    </comment>
    <comment ref="F13" authorId="1" shapeId="0">
      <text>
        <r>
          <rPr>
            <b/>
            <sz val="9"/>
            <color indexed="81"/>
            <rFont val="Tahoma"/>
            <charset val="1"/>
          </rPr>
          <t>Se han presentado para aporbación 2 electivas: 1. Deportes y 2.Artes. Está en revisión por los Decanos. Se espera contar con la aprobación en el mes de septiembre</t>
        </r>
      </text>
    </comment>
    <comment ref="F14" authorId="1" shapeId="0">
      <text>
        <r>
          <rPr>
            <b/>
            <sz val="9"/>
            <color indexed="81"/>
            <rFont val="Tahoma"/>
            <charset val="1"/>
          </rPr>
          <t>Los estudiantes registrados en CREA: 383 (sobre 3.600)</t>
        </r>
      </text>
    </comment>
    <comment ref="J19" authorId="2" shapeId="0">
      <text>
        <r>
          <rPr>
            <sz val="9"/>
            <color indexed="81"/>
            <rFont val="Tahoma"/>
            <family val="2"/>
          </rPr>
          <t xml:space="preserve">N/A
</t>
        </r>
      </text>
    </comment>
    <comment ref="H27" authorId="0" shapeId="0">
      <text>
        <r>
          <rPr>
            <b/>
            <sz val="9"/>
            <color indexed="81"/>
            <rFont val="Tahoma"/>
            <family val="2"/>
          </rPr>
          <t xml:space="preserve">25%
25 empresas </t>
        </r>
      </text>
    </comment>
    <comment ref="H32" authorId="0" shapeId="0">
      <text>
        <r>
          <rPr>
            <b/>
            <sz val="9"/>
            <color indexed="81"/>
            <rFont val="Tahoma"/>
            <family val="2"/>
          </rPr>
          <t>25%
1 convenio firmado con comunidades vulnerables</t>
        </r>
      </text>
    </comment>
    <comment ref="W33" authorId="2" shapeId="0">
      <text>
        <r>
          <rPr>
            <b/>
            <sz val="9"/>
            <color indexed="81"/>
            <rFont val="Tahoma"/>
            <family val="2"/>
          </rPr>
          <t>AVANCE GENERAL "LO SOCIAL" 2022</t>
        </r>
        <r>
          <rPr>
            <sz val="9"/>
            <color indexed="81"/>
            <rFont val="Tahoma"/>
            <family val="2"/>
          </rPr>
          <t xml:space="preserve">
</t>
        </r>
      </text>
    </comment>
  </commentList>
</comments>
</file>

<file path=xl/comments4.xml><?xml version="1.0" encoding="utf-8"?>
<comments xmlns="http://schemas.openxmlformats.org/spreadsheetml/2006/main">
  <authors>
    <author>ANDRES</author>
  </authors>
  <commentList>
    <comment ref="Z26" authorId="0" shapeId="0">
      <text>
        <r>
          <rPr>
            <sz val="9"/>
            <color indexed="81"/>
            <rFont val="Tahoma"/>
            <family val="2"/>
          </rPr>
          <t xml:space="preserve">AVANCE GENERAL "LO AMBIENTAL" 2022
</t>
        </r>
      </text>
    </comment>
  </commentList>
</comments>
</file>

<file path=xl/sharedStrings.xml><?xml version="1.0" encoding="utf-8"?>
<sst xmlns="http://schemas.openxmlformats.org/spreadsheetml/2006/main" count="4467" uniqueCount="2373">
  <si>
    <t>PLAN DE ACCIÓN INSTITUCIONAL 2022</t>
  </si>
  <si>
    <t>CÓDIGO:  DIE-FO-10</t>
  </si>
  <si>
    <t>VERSIÓN: 1</t>
  </si>
  <si>
    <t>VIGENCIA: ENERO de 2021</t>
  </si>
  <si>
    <t>PÁGINA:    1 de 1</t>
  </si>
  <si>
    <t>ÁREA</t>
  </si>
  <si>
    <t>ESTRATEGIA</t>
  </si>
  <si>
    <t>OBJETIVO ESTRATÉGICO</t>
  </si>
  <si>
    <t>SUBÁREA</t>
  </si>
  <si>
    <t>PROYECTO ESTRATÉGICO</t>
  </si>
  <si>
    <t>META ESTRATEGICA</t>
  </si>
  <si>
    <t>FASE O ETAPAS</t>
  </si>
  <si>
    <t>ACTIVIDAD</t>
  </si>
  <si>
    <t>INDICADOR</t>
  </si>
  <si>
    <t>PRODUCTO / EVIDENCIA</t>
  </si>
  <si>
    <t>PRESUPUESTO ASIGNADO</t>
  </si>
  <si>
    <t>PRESUPUESTO EJECUTADO</t>
  </si>
  <si>
    <t>FECHA INICIO</t>
  </si>
  <si>
    <t>FECHA FIN</t>
  </si>
  <si>
    <t>FECHA SEGUIMIENTO</t>
  </si>
  <si>
    <t>Avance en tiempo</t>
  </si>
  <si>
    <t>% AVANCE EN EL TIEMPO</t>
  </si>
  <si>
    <t>META ANUAL</t>
  </si>
  <si>
    <t>PROGRAMACIÓN META TRIMESTRAL</t>
  </si>
  <si>
    <t>SEGUIMIENTO TRIMESTRE 1</t>
  </si>
  <si>
    <t>SEGUIMIENTO TRIMESTRE 2</t>
  </si>
  <si>
    <t>SEGUIMIENTO TRIMESTRE 3</t>
  </si>
  <si>
    <t>SEGUIMIENTO TRIMESTRE 4</t>
  </si>
  <si>
    <t>Meta T1</t>
  </si>
  <si>
    <t>Meta T2</t>
  </si>
  <si>
    <t>Meta T3</t>
  </si>
  <si>
    <t>Meta T4</t>
  </si>
  <si>
    <t>% CUMPLIMIENTO META T1</t>
  </si>
  <si>
    <t>OBSERVACIONES</t>
  </si>
  <si>
    <t>UBICACIÓN DE EVIDENCIA / SOPORTE</t>
  </si>
  <si>
    <t xml:space="preserve">RESUPUESTO EJECUTADO </t>
  </si>
  <si>
    <t>% CUMPLIMIENTO META T2</t>
  </si>
  <si>
    <t>% CUMPLIMIENTO META T3</t>
  </si>
  <si>
    <t>% CUMPLIMIENTO META T4</t>
  </si>
  <si>
    <t>RECTORÍA</t>
  </si>
  <si>
    <t>Lo Institucional: La transformación cultural de la ETITC</t>
  </si>
  <si>
    <t>OE-1-Consolidar la calidad académica para la acreditación institucional de alta calidad respaldada fortalecimiento
de la gestión, la infraestructura tecnológica y física.</t>
  </si>
  <si>
    <t>OFICINA DE CONTROL INTERNO</t>
  </si>
  <si>
    <t>PE-5- MIPG y los sistemas de gestión para una gobernanza transparente</t>
  </si>
  <si>
    <t>ME-5- Alinear el modelo MIPG con el Sistema Integrado de Gestión (SIG) para la acreditación</t>
  </si>
  <si>
    <t xml:space="preserve">Implementación </t>
  </si>
  <si>
    <t>Formular y desarrollar el programa anual de auditorías.</t>
  </si>
  <si>
    <t>Porcentaje de alineación del MIPG con el SIG.</t>
  </si>
  <si>
    <t>Plan de auditorías formulado y desarrollado</t>
  </si>
  <si>
    <t xml:space="preserve">El programa anual de auditorías fue aprobado mediante el acta No 1 del CICCI, el 26 de enero de 2022.
</t>
  </si>
  <si>
    <t>https://www.etitc.edu.co/archives/paai22.pdf</t>
  </si>
  <si>
    <t>Presentación de informes a entes externos</t>
  </si>
  <si>
    <t>Informes presentados y publicados</t>
  </si>
  <si>
    <t>N/A</t>
  </si>
  <si>
    <t xml:space="preserve">Se ha presentado el informe de derechos de autor (9 de marzo).
Presentación del Informe de seguimiento a las funciones establecidad en el eKOGUI.
Se reporto el informe anual del FURAG vigencia 2021.
Informe de Control interno contable 
</t>
  </si>
  <si>
    <t>https://www.etitc.edu.co/archives/infoderechosautor21.pdf
https://www.etitc.edu.co/archives/infoeav21.pdf
https://www.etitc.edu.co/archives/ekogui221.pdf
https://www.etitc.edu.co/archives/infocic21.pdf</t>
  </si>
  <si>
    <t>Presentación de informes de requerimiento legal</t>
  </si>
  <si>
    <t xml:space="preserve">Informe de Austeridad en el Gasto 4° trimestre de 2021
Informe de seguimiento a las PQRSD 2021 (2 semestre).
Informe de evaluación independiente del Sistema de Control Interno.
Informe de seguimiento del Cómite de conciliación vigencia 2021.
 </t>
  </si>
  <si>
    <t>https://www.etitc.edu.co/archives/informeausteridad26.pdf
https://www.etitc.edu.co/archives/informepqrs221.pdf
https://www.etitc.edu.co/archives/infoseguimientocc21.pdf
https://www.etitc.edu.co/archives/seguimientotranspa20.pdf</t>
  </si>
  <si>
    <t xml:space="preserve">Seguimiento al Plan Anticorrupción y de Atención al Ciudadano y  mapas de riesgo de corrupción.  </t>
  </si>
  <si>
    <t>Informe cuatrimestral de los seguimientos realizados</t>
  </si>
  <si>
    <t xml:space="preserve">Seguimiento al PAAC 2021. Tercer cuatrimestre. 
Se realiza monitoreo constante a la publicación de los Mapas y Planes de Riesgos 2022.  </t>
  </si>
  <si>
    <t>https://www.etitc.edu.co/archives/seguimientoplanan321.pdf</t>
  </si>
  <si>
    <t xml:space="preserve">Seguimiento a la efectividad de las acciones de los planes de mejoramiento </t>
  </si>
  <si>
    <t xml:space="preserve">Seguimientos realizados a los procesos </t>
  </si>
  <si>
    <t>Esta actividad se realizará durante el 2° trimestre de la vigencia.</t>
  </si>
  <si>
    <t xml:space="preserve">Actividades de autocontrol </t>
  </si>
  <si>
    <t>Campañas de autocontrol realizadas</t>
  </si>
  <si>
    <t>A través de correo electrónico se socializo la actividad de control "¡Prepárese para presentar su plan de mejoramiento!" (29 de marzo).</t>
  </si>
  <si>
    <t>https://etitc.edu.co/es/page/control-interno</t>
  </si>
  <si>
    <t>Seguimiento a mapas de riesgos</t>
  </si>
  <si>
    <t>Seguimientos realizados e informe al final de la vigencia,</t>
  </si>
  <si>
    <t xml:space="preserve">De manera cuatrimestral se realiza seguimiento a los riesgos de corrupción a  través del informe de seguimiento al PAAC.
En la Auditoria realizada al área de Contratación se revisaron los riesgos asociados </t>
  </si>
  <si>
    <t>0E-01-Consolidar la calidad académica para la acreditación institucional de alta calidad respaldada fortalecimiento
de la gestión, la infraestructura tecnológica y física.</t>
  </si>
  <si>
    <t xml:space="preserve">SEGURIDAD DIGITAL </t>
  </si>
  <si>
    <t>PE-10-Transformación  digital de la ETITC</t>
  </si>
  <si>
    <t>ME-19-Implementar un modelo estratégico para impulsar la evolución digital de la ETITC, plasmado en el PETI.</t>
  </si>
  <si>
    <t>Ejecución</t>
  </si>
  <si>
    <t xml:space="preserve">Renovación de 50 licencias de la herramienta de correlacionamiento de eventos de seguridad SEM </t>
  </si>
  <si>
    <t>Porcentaje de implementación de la política de Gobierno Digital</t>
  </si>
  <si>
    <t xml:space="preserve">Aumentar la capacidad de servidores con la protección de la herramienta SEM </t>
  </si>
  <si>
    <t xml:space="preserve">Esta actividad se llevará a cabo a través del Cto 153 de 2022 E- DEA  NETWORKS SAS (28 de enero de 2022 hasta el mayo de 2023, % 27.009.430).
</t>
  </si>
  <si>
    <t xml:space="preserve">Actas d e inicio </t>
  </si>
  <si>
    <t>A la fecha se estructura el plan de trabajo con el área de Informática y Comunicaciones. La ejecución de este plan se ejecuta acorde a lo pactado.
Se realizo la actualización en el servidor de la última versión.
El seguimiento se realiza a través del aplicativo GLPI, a través del cual se evidencia en tiempo real los diferentes eventos y alertas de seguridad que se efectuan dentro de la entidad.</t>
  </si>
  <si>
    <t>Plataforma GLPI</t>
  </si>
  <si>
    <t>Prestación de servicios para el Análisis de Vulnerabilidades y Ethical Hacking a nuestros sistemas de información</t>
  </si>
  <si>
    <t>Realizar análisis de vulnerabilidades externa</t>
  </si>
  <si>
    <t>Con el Cto-366 de 2021 del 27 de diciembre, se continua ejecutado esta actividad ($16.600.500).
Se evidencia el cronograma de ejecución de las actividades contractuales, en este sentido se muestra en informe de ejecución (27 de enero de 2022)</t>
  </si>
  <si>
    <t xml:space="preserve">Informe de entregables. </t>
  </si>
  <si>
    <t xml:space="preserve">El Cto 366 e 2021 finalizo el 5 de julio  $16.600.500, se dio cumplimiento a todas las actividades pactadas.
A la fecha se trabaja en el plan de remediación, mismo que se realizará por fases, según las diferentes vulnerabilidades (9.963 a la fecha)  </t>
  </si>
  <si>
    <t xml:space="preserve">Cto finalizado </t>
  </si>
  <si>
    <t>OE-2-Fortalecer y potenciar el Talento Humano en las plantas de personal docente y administrativa.</t>
  </si>
  <si>
    <t>PE-7- Consolidación y aseguramiento del Talento Humano para el mejoramiento de las capacidades en las plantas administrativas y docentes</t>
  </si>
  <si>
    <t>ME-12-Dar continuidad al Talento Humano integral en las plantas de personal.</t>
  </si>
  <si>
    <t>Curso o Capacitación en formación basados en el marco de trabajo como el modelo C2M2 (Modelo de Madurez de Capacidad de Ciberseguridad), la serie de normas ISO 27000 y la ISO 31000:2009 de Gestión del Riesgo para fomentar cultura de Gobernanza Digital</t>
  </si>
  <si>
    <t>Procentaje de apropiación presupuestal para el pago del personal de planta</t>
  </si>
  <si>
    <t>Creación a Aula Virtual con las tematicas vistas en la certificación</t>
  </si>
  <si>
    <t xml:space="preserve">Esta actividadad se realziará de manera directa una vez finalice la Ley de garantias ($14.000.000). Se cuenta con el borrador de los estudios previos. </t>
  </si>
  <si>
    <t>No se han priorizado recursos para esta actividad.</t>
  </si>
  <si>
    <t>Prestación de servicios profesionales para apoyar las actividades de análisis de vulnerabilidad, gestión de amenazas y emergencias, asi como las gestión de riesgos tecnológicos y de continuidad del servicio.</t>
  </si>
  <si>
    <t xml:space="preserve">A la fecha se estructura el estudio previo de conformidad con las necesidades institucionales. </t>
  </si>
  <si>
    <t xml:space="preserve">Borrador de estudios previos </t>
  </si>
  <si>
    <t>Curso o Capacitación de Certified Ethical Hacker V11
Certificado por Ec-Council para cumplir con los lineamientos de GEL</t>
  </si>
  <si>
    <t>Fortalecimiento de las dependencias en temas relacionados con la Ciberseguridad y cultura de gobernanza digital, cumpliendo con los lineamientos de Gobierno en Línea.</t>
  </si>
  <si>
    <t xml:space="preserve">Esta actividad se proyecta realizar durante el 2° semestre del año, una vez finaliada la Ley de Garantias. </t>
  </si>
  <si>
    <t>Curso o Capacitación en formación técnica de Lider Implementador ISO/IEC 27001:2013 Sistema de Gestión de Seguridad de la Información (40 Horas) - Lunes 13 Junio hasta  07 de Julio</t>
  </si>
  <si>
    <t>Capacitación realziada</t>
  </si>
  <si>
    <t>OE-4-Fortalecer la visibilidad de la escuela bajo en entorno de asertividad para el posicionamiento
nacional e internacional.</t>
  </si>
  <si>
    <t>ORII</t>
  </si>
  <si>
    <t>PE-12-Internacionalización para ampliar fronteras de conocimiento</t>
  </si>
  <si>
    <t>ME-23- Consolidar la política de internacionalización y cooperación Nacional e Internacional de la ETITC.</t>
  </si>
  <si>
    <t xml:space="preserve">Llevar a cabo las actividades planeadas para la comunidad de apoyo para clases espejo </t>
  </si>
  <si>
    <t>Porcentaje de implementación de la Política Institucional de internacionalización y cooperación Nacional e Internacional.</t>
  </si>
  <si>
    <t>Repositorio con grabaciones de encuentros realizados</t>
  </si>
  <si>
    <t xml:space="preserve">Desde la ORII se han realizado las siguientes actividades:
8 sesiones de de la comunidad de apoyo para clases espejo, entre el 18 de enero y el 31 de marzo, con una totalidad de participantes de 167 </t>
  </si>
  <si>
    <t xml:space="preserve">Evidencias Fotograficas de las sesiones realizas </t>
  </si>
  <si>
    <t>Durante el 2° trimestre en el marco de  la comunidad de apoyo para clases espejo, se realizaron siete actividades entre el 7 de abril y 2 de junio, con más de 136 registro de participantes.
Por otra parte se realizó un ejercicio de dialogos interculturales con la UNIBAC de Cartagena (16 de junio - 38 participantes) .</t>
  </si>
  <si>
    <t>Evidencia visual de los eventos</t>
  </si>
  <si>
    <t xml:space="preserve">Actividades de Taller de Internacionalización </t>
  </si>
  <si>
    <t xml:space="preserve">Actividades realizadas </t>
  </si>
  <si>
    <t>En paso 16 de marzo, se realizo el 2° taller de Internacionalización con metodologia open space entre las 9 am y las 12 pm. Se contó con la participación de: ETITC, Universidad la Gran Colombia, Alianza Colombo Búlgar</t>
  </si>
  <si>
    <t>Durante el 2° trimesre de la vigencia se llevo a cabo con la Universidad San Marcos de costa Rica el evento "Mes del Investigador" (21 de junio), se contó con la participación de 65 aistentes.</t>
  </si>
  <si>
    <t xml:space="preserve">Actividades de visibilidad nacional e Internacional </t>
  </si>
  <si>
    <t xml:space="preserve">La ETITC, durante el mes de marzo ( 4 al 12) participo en la la conferencia ""RED TTU Academic Mission Expo Dubai. En dichos encuentros participaron 15 instituciones </t>
  </si>
  <si>
    <t xml:space="preserve">Estancia académica Erasmus + en la Universidad Técnica de Sofia (Bulgaria) del 23 de mayo al 03 de julio de 2022, junto con el ing. Sócrates Rojas Amador, Decano de la Facultad de sistemas 
Participación en la Mesa Intersectorial para la Internacionalización de la Educación Superior MIIES Ministerio de Educación Nacional (MEN) (26 de mayo)
Asistencia a las reuniones de la Red ORI SUE Distrito Capital (8 de abril, 6 de mayo, 19 de mayo y 10 de junio)
Asistencia a la reunión de la Red TTU (26 de abril y 2 de junio)
Asistencia a las reuniones de la Red de Internacionalización del Currículo RIUC (29 de abril)
</t>
  </si>
  <si>
    <t>SECRETARÍA GENERAL</t>
  </si>
  <si>
    <t>Acompañamiento a la actualización de la mejora normativa institucional con las áreas misionales y de apoyo</t>
  </si>
  <si>
    <t>Resoluciones que surjan de las actualizaciones</t>
  </si>
  <si>
    <t>Por definir</t>
  </si>
  <si>
    <t xml:space="preserve">Se adelantó con relación a los lineamientos de la Rectoría, mesas de trabajo con las Vicerrectorías, en este sentido se ha adelantado el plan de mejora normativa
• Vicerrectoría Académica
• Vicerrectoría de investigación Extensión y Transferencia 
• Rectoría 
• Vicerrectoría Administrativa y financiera 
</t>
  </si>
  <si>
    <t xml:space="preserve">Reuniones realizadas </t>
  </si>
  <si>
    <t>Actualización y reporte de las plataformas de control y seguimiento de actividades judiciales e institucionales</t>
  </si>
  <si>
    <t>Soportes de reporte generadas por plataformas</t>
  </si>
  <si>
    <t xml:space="preserve">Para el 1° trimestre se realzo el diligenciamiento del FURAG 2021, de conformidad con las mesas de trabajo con al Oficina Asesora de Planeación ()
Reporte Austeridad en el gasto, vigencia 2021 (10 de febrero).
Plataforma eKOGUI. dicha plataforma se va actualizando dependiendo de las actuaciones institucionales. 
</t>
  </si>
  <si>
    <t xml:space="preserve">Formulario FURAG diligenciado.
Reporte Austeridad en el gasto
Reporte Ekogui enviado.
</t>
  </si>
  <si>
    <t>Diseño y actualización de la base de datos de los procesos disciplinarios de primera instancia que conoce la Secretaría General</t>
  </si>
  <si>
    <t>Base de datos actualizada</t>
  </si>
  <si>
    <t xml:space="preserve">Se cuenta con 2 bases: La 1° comprende 23 procesos disciplinarios. 
La 2° integra las enumeraciones de los autos que se producen con relación a los autos disciplinarios.
</t>
  </si>
  <si>
    <t>Bases de datos en funcionamiento</t>
  </si>
  <si>
    <t>Diseño e implementación de campañas de sensibilización sobre el correcto actuar del servidor público</t>
  </si>
  <si>
    <t>Documentos que surjan de las campañas</t>
  </si>
  <si>
    <t xml:space="preserve">Se llevó a cabo una capacitación acerca de la actualización del nuevo código disciplinario y pautas para servidores públicos en tiempos de elecciones electorales (25 de marzo). </t>
  </si>
  <si>
    <t>Presentación realizada.</t>
  </si>
  <si>
    <t>Acompañamiento logístico y preparación del proceso de grados y ceremonias</t>
  </si>
  <si>
    <t>Ceremonias de grado realizadas</t>
  </si>
  <si>
    <t xml:space="preserve">Alrededor de 350 estudiantes cumplen con los requerimientos para ejecutar el proceso de grados, dicha actividad se proyecta realizar el próximo 28 de abril. </t>
  </si>
  <si>
    <t>OFICINA ASESORA DE PLANEACIÓN</t>
  </si>
  <si>
    <t xml:space="preserve">Seguimiento y monitoreo institucional </t>
  </si>
  <si>
    <t>Seguimiento a planes institucional (Plan Anticorrupción y de Atención al Ciudadano, Plan de Acción Sectorial, Plan de Acción)</t>
  </si>
  <si>
    <t>Seguimientos y monitoreos realizados</t>
  </si>
  <si>
    <t xml:space="preserve">Durante el 1° trimestre de la vigencia se realzaron las siguientes actividades: 
Reunión con los responsables del desarrollo de las actividades a corte de 31 de marzo: Control Interno, Oficina de Calidad, Oficina de Comunicaciones, Oficina de Atención al ciudadano. 
En el marco del seguimiento al PAS, se realizó una reunión con Talento Humano, para socializar las actividades a cargo de esta Oficina. 
</t>
  </si>
  <si>
    <t xml:space="preserve">Documento en construcción </t>
  </si>
  <si>
    <t>Hacer seguimiento a los espacios de Participación ciudadana (5)</t>
  </si>
  <si>
    <t xml:space="preserve">Esta actividad sse tiene prevista para el 2° trimestre de la vigencia. Sin embargo, se construyo el documento propio para realizar los diferentes seguimientos, durante la vigenvia. </t>
  </si>
  <si>
    <t xml:space="preserve">Fortalecer la implementación del Modelo Integrado de Planeación y Gestión.  </t>
  </si>
  <si>
    <t xml:space="preserve">Políticas de desarrollo administrativo fortalecidad </t>
  </si>
  <si>
    <t xml:space="preserve">Con el reporte del FURAG, se realizaron mesas de trabajo en las que se dio claridad a los líderes de política de la forma adecuada para la apliación de los lineamientos MIPG 2.0. 
Se realizo acompañamiento en la formulación de los planes y mapas de tratamiento de riesgos (20 procesos)
</t>
  </si>
  <si>
    <t>4.11. Mapa y Plan de Tratamiento de Riesgos
https://etitc.edu.co/es/page/leytransparencia
Certificado de reporte FURAG</t>
  </si>
  <si>
    <t>Seguimiento y monitoreo al contenido de la matriz ITA (Índice de transparencia)</t>
  </si>
  <si>
    <t xml:space="preserve">Reporte ITA realizado </t>
  </si>
  <si>
    <t xml:space="preserve">https://etitc.edu.co/es/page/leytransparencia
</t>
  </si>
  <si>
    <t>Reporte de información ante entidades externas</t>
  </si>
  <si>
    <t>Reporte realizado</t>
  </si>
  <si>
    <t xml:space="preserve">El reporte FURAG fue realizado durante el mes de marzo, con la ayuda de mesas de trabajo con los líderes de política (22 de marzo). 
</t>
  </si>
  <si>
    <t>Certificado de reporte FURAG</t>
  </si>
  <si>
    <t xml:space="preserve">Formulación, seguimiento de planes,   proyectos e indicadores </t>
  </si>
  <si>
    <t xml:space="preserve">Seguimietno y reportes realizados </t>
  </si>
  <si>
    <t xml:space="preserve">Se formulo y publico el Plan de Acción y Plan Anticorrupción y de Atención al Ciudadano, surtiendo el proceso de participación ciudadana y en cumplimiento de los requerimientos de la ley 1712/14 
De igual modo se actualizaron los 3 proyectos de inversión con los que cuenta la ETITC, ajustandolos al decreto 1805 de 2020, adjuntando el documento técnico de justificación en SUIFP, los 3 proyectos se encuentran en estado registrado y actualizado ante el DNP; de igual modo se realiza el seguimiento a los 3 proyectos en mención mediante SPI. </t>
  </si>
  <si>
    <t>https://www.etitc.edu.co/archives/plandeaccion21.xlsx
https://www.etitc.edu.co/archives/paac21v1.pdf
https://sts.dnp.gov.co/login.aspx?ReturnUrl=%2f%3fwa%3dwsignin1.0%26wtrealm%3dhttps%253a%252f%252fspi.dnp.gov.co%252f%26wctx%3drm%253d0%2526id%253dpassive%2526ru%253d%25252f%26wct%3d2021-04-15T15%253a15%253a49Z&amp;wa=wsignin1.0&amp;wtrealm=https%3a%2f%2fspi.dnp.gov.co%2f&amp;wctx=rm%3d0%26id%3dpassive%26ru%3d%252f&amp;wct=2021-04-15T15%3a15%3a49Z
https://www.etitc.edu.co/es/page/transparencia</t>
  </si>
  <si>
    <t>ME-9- Implementar modelo de Gestión por Proyectos con metodologías aplicables según fuente de recursos.</t>
  </si>
  <si>
    <t>Implementación del Banco de Proyectos</t>
  </si>
  <si>
    <t>Implementación del Banco del Proyectos Institucional y capacitación (Implementación, seguimiento y monitoreo)</t>
  </si>
  <si>
    <t>Porcentaje de proyectos del PDI gestionados por metodologías exigibles.</t>
  </si>
  <si>
    <t>Banco del Proyectos Institucional implementadao</t>
  </si>
  <si>
    <t>Desde la OAP se desarrollo un instrumento que permite ver la materialziación del Banco de Proyectos Institucionales. Este se presentará ante las instancias correspondientes.</t>
  </si>
  <si>
    <t xml:space="preserve">Intrumento en construcción </t>
  </si>
  <si>
    <t>ME-6- Diseñar e implementar el Sistema Unificado de Información y Estadística (SUIE).</t>
  </si>
  <si>
    <t>Diseño del SUIE</t>
  </si>
  <si>
    <t>Levantamiento y análisis de información 
Ejecución de la etapa precontractual</t>
  </si>
  <si>
    <t xml:space="preserve">Porcentaje de implementación del SUIE. </t>
  </si>
  <si>
    <t>Fase de diseño concluida</t>
  </si>
  <si>
    <t xml:space="preserve">Esta actividad no se ha tenido desarrollo </t>
  </si>
  <si>
    <t>Implementación el SUIE</t>
  </si>
  <si>
    <t>Desarrollo, pruebas y seguimiento al  funcionamiento del SUIE</t>
  </si>
  <si>
    <t xml:space="preserve">SUIE puesto en funcionamiento </t>
  </si>
  <si>
    <t xml:space="preserve">Seguimeinto y evaluación </t>
  </si>
  <si>
    <t>Dar continuidad a las correcta aplicación de las políticas de desarrollo administrativo  del MIPG 2.0</t>
  </si>
  <si>
    <t xml:space="preserve">IDI </t>
  </si>
  <si>
    <t>Durtante el 1° trimestre de la vigencia desde la Oficina Asesora de Planeación se realizaron reuniones con el MEN, como parte de la estrategia para mejorar los resultados frente al reporte FURAG 2021. En este sentido s erealizaron reunines con los diferentes díderes de las políticas de desarrollo administrativo, para recolectar evidencias y realizar el reporte en el aplicativo dispuesto para tal fin durante la 2° y 3° semana de marzxo, el certificado de diligenciamiento se recibio el pasado 22 de marzo con un diligenciamiento al 100%</t>
  </si>
  <si>
    <t>OFICINA DE CALIDAD</t>
  </si>
  <si>
    <t>PE-1- Acreditación Institucional de alta calidad</t>
  </si>
  <si>
    <t>ME-1- Obtener la Acreditación Institucional de Alta Calidad en el 2024</t>
  </si>
  <si>
    <t>Implementaicón</t>
  </si>
  <si>
    <t>Renovación de membresia de icontec</t>
  </si>
  <si>
    <t>Porcentaje de cumplimiento en las fases del Consejo Nacional de Acreditación</t>
  </si>
  <si>
    <t>Membresía renovada</t>
  </si>
  <si>
    <t xml:space="preserve">Esta actividad se proyecta realziar durante el mes de octubre. </t>
  </si>
  <si>
    <t>Plan de auditoria 
Informe definitivo</t>
  </si>
  <si>
    <t xml:space="preserve">Auditoria de Seguimiento. </t>
  </si>
  <si>
    <t xml:space="preserve">Informe de auditoria </t>
  </si>
  <si>
    <t xml:space="preserve">Se concretaron las fechas para la auditoria a realiazr por ICONTEC, 20 y 21 de abril. </t>
  </si>
  <si>
    <t xml:space="preserve">Correos enviados </t>
  </si>
  <si>
    <t xml:space="preserve">Durante el 20 y 21 de abril se realizo la auditoria externa de seguimiento asociado a las normas ISO 9001/ 2015 e ISO 27001 de 2013. Se identificaron 2 no conformidades menores, a las cuales se formulo en la de mejoramiento y fue aprobado por ICONTEC.
En este sentido, se actualizaron los mapas de riesgos de V. Investigación y Extensión.  Se tiene pendiente la revisión de la organización documental de GITEPS.  </t>
  </si>
  <si>
    <t xml:space="preserve">Informe definitivo </t>
  </si>
  <si>
    <t>Ejecutar las actividades de la oficina de Calidad de la Escuela Tecnológica Instituto Técnico Central</t>
  </si>
  <si>
    <t>Ejecución contractual</t>
  </si>
  <si>
    <t xml:space="preserve">Se realizo el informe por la dirección y se presento ante el CIGD el 25 de febrero.
Se han actualizado documentos (20 de documentos).
Se aprobo por parte del CIGD el programa de auditorias 
Se realizo el informe de auditorias 2021.
Realización de la auditoria a los procesos: Control interno y gestión de adquisiciones.  </t>
  </si>
  <si>
    <t>Acta de CIGD 25 de febrero.
https://itceduco-my.sharepoint.com/:f:/g/personal/calidad_itc_edu_co/EpT1760NHatIvGy2r9_BHYYBUW38e1quYehurvBx514DfA?e=rOeONH
Programa Anual de Auditorías Internas 2022 
https://etitc.edu.co/archives/progamaauditorias22.pdf
Informe de Auditorias Internas del SGI 2021  
https://etitc.edu.co/archives/auditoriainternagc21.pdf</t>
  </si>
  <si>
    <t xml:space="preserve">Se realizo el informe de satisfacción del servicio prestado 1° trimestre.
Atención a la actualización, eliminación de documentos y actualización del listado maestro.
Se apoyo al seguimiento de riesgos de gestión. 
</t>
  </si>
  <si>
    <t>https://www.etitc.edu.co/es/page/nosotros&amp;sgi</t>
  </si>
  <si>
    <t>Preauditoria de la NTC 14001</t>
  </si>
  <si>
    <t xml:space="preserve">Preauditoria realizada </t>
  </si>
  <si>
    <t>Organizar y realizar las actividades necesarias para las auditoría de renovación de las certificaciones NTC ISO 9001:2015 y NTC ISO IEC 27001:2013</t>
  </si>
  <si>
    <t>Auditorías realizadas</t>
  </si>
  <si>
    <t xml:space="preserve">Se remitió correo a ICONTEC el 2 marzo, donde se relaciona la información solicitada para realizar las auditorias de seguimiento NTC ISO 9001:2015, NTC ISO IEC 27001:2013 y 14001.
Se proyecta realizar la auditoria antes del 11 de julio. </t>
  </si>
  <si>
    <t>Correo enviado 2 de marzo</t>
  </si>
  <si>
    <t>Apoyar la evaluación de la gestión de riesgos en la entidad como insumo para la toma de decisiones</t>
  </si>
  <si>
    <t>Mapas de riesgos</t>
  </si>
  <si>
    <t xml:space="preserve">El apoyo a la gestión del riesgo de la Institución se realiza a través de la Oficina Asesora de Planeación, quienes para el 1° trimestre de la vigencia acompaño en la estructuración de los 20 Mapas y planes de tratamiento de Riesgos correspondientes a los 20 procesos. </t>
  </si>
  <si>
    <t>Matrices de planes y mapas de riesgos publicados. 
4.11. Mapa y Plan de Tratamiento de Riesgos
https://etitc.edu.co/es/page/leytransparencia</t>
  </si>
  <si>
    <t xml:space="preserve">Se realizo seguimiento al reporte de cada uno de los 20 procesos, actualmente 17 de los 20 procesos han publicado sus respectivos seguimientos.  </t>
  </si>
  <si>
    <t>4.11. MAPA Y PLAN DE TRATAMIENTO DE RIESGOS
https://www.etitc.edu.co/es/page/leytransparencia</t>
  </si>
  <si>
    <t>Fortalecer la socialización del sistema de gestión integrado a través de publicidad, vallas y/o actividades.</t>
  </si>
  <si>
    <t>Campañas, correos, amteriales</t>
  </si>
  <si>
    <t>El 17 de marzo, se realizo una capacitación referente el tema "Salida no conforme". Participaron 10 funcionarios de la Entidad.</t>
  </si>
  <si>
    <t xml:space="preserve">https://itceduco-my.sharepoint.com/:f:/g/personal/calidad_itc_edu_co/EpT1760NHatIvGy2r9_BHYYBUW38e1quYehurvBx514DfA?e=rOeONH
</t>
  </si>
  <si>
    <t xml:space="preserve">En el espacio dispuesto para el SIACET, se publico el boletin número 1 de la vigencia 2022 </t>
  </si>
  <si>
    <t>https://www.etitc.edu.co/archives/siacet2.pdf</t>
  </si>
  <si>
    <t>ASEGURAMIENTO DE LA CALIDAD</t>
  </si>
  <si>
    <t xml:space="preserve">Diseño e implementación </t>
  </si>
  <si>
    <t>Finalizar informes planes de mejoramiento 2017-2018 por Facultad</t>
  </si>
  <si>
    <t>Documentos Planes de mejoramiento por Facultad</t>
  </si>
  <si>
    <t>De las 4 facultades pendientes por finalizar los informes, se han entregado 2 informes: Electrómecanica y procesos industriales, con miras a que estos revisen y finalicen el respectivo informe.</t>
  </si>
  <si>
    <t>Informes de finalización de planes de mejoramiento</t>
  </si>
  <si>
    <t>Elaborar informes planes de mejoramiento 2019-2020 por Facultad</t>
  </si>
  <si>
    <t xml:space="preserve">Esta actividad esta programada para el 2° semestre de la vigencia. </t>
  </si>
  <si>
    <t>Elaborar informe general de planes de mejoramiento 2019-2020</t>
  </si>
  <si>
    <t>Documento Plan de mejoramiento general</t>
  </si>
  <si>
    <t>Elaborar boletínes del SIACET</t>
  </si>
  <si>
    <t>3 Boletínes</t>
  </si>
  <si>
    <t xml:space="preserve">El 1° boletin de la vigencia esta en proceso de construcción y su publicación y socialización se realizara durate le mes de abril. </t>
  </si>
  <si>
    <t>Borrador del !° Boletin SIACET</t>
  </si>
  <si>
    <t>Construir matriz de evidencias a partir de las condiciones de calidad y los criterios normativos</t>
  </si>
  <si>
    <t>Matriz de evidencias</t>
  </si>
  <si>
    <t>La matriz se está contruyendo articulando las condiciones de calidad de programas e institucionales, con los factores de acreditación institucional y de programa, MIPG y la NTC 9001 de 2015. A la fecha se cuenta con la articulación a partir de las dos primeras condiciones institucionales.</t>
  </si>
  <si>
    <t>Proponer el modelo de autoevalución con fines de acreditación de programas.</t>
  </si>
  <si>
    <t>Modelo de Autoevaluación</t>
  </si>
  <si>
    <t>Se cuenta con la propuesta del modelo y la metodologia para la definición del modelo de autoevalución con fines de acreditación de programas, se encuentra pendiente su aprobación por el Cómite del PDI y Autoevación.
Asi mismo y una vez aprobado se realizará el taller para la ponderación de factores y características del modelo.</t>
  </si>
  <si>
    <t>Verificar la definición de lineamientos asociados a las políticas institucionales a partir del Decreto 1330 de 2019</t>
  </si>
  <si>
    <t>Políticas Institucionales</t>
  </si>
  <si>
    <t>Se ha realizado la verificación y existencia de las políticas en documentos institucionales vigentes y acompañamiento en la actualización de las mismas.</t>
  </si>
  <si>
    <t>Implementación</t>
  </si>
  <si>
    <t xml:space="preserve">Ejecutar procesos y estrategias dirigidas  a la acreditación institucional </t>
  </si>
  <si>
    <t>Processo ejecutados</t>
  </si>
  <si>
    <t>El 2 de febrero se definieron los equipos de trabajo para el desarrollo de la Acreditación institucional (Misional, Estratégico, Técnico).
Definición de cronograma con el equipo técnico para desarrollar el proceso de Autoevaluación con fines de acreditación Institucional</t>
  </si>
  <si>
    <t>Plan de Acción de Acreditación Institucional 
Cronograma de trabajo</t>
  </si>
  <si>
    <t>OE-1 Consolidar la calidad académica para la acreditación institucional de alta calidad respaldada fortalecimiento de la gestión, la infraestructura tecnológica y física.</t>
  </si>
  <si>
    <t>AUTOEVALUACIÓN</t>
  </si>
  <si>
    <t>PE-1- Acreditación institucional de Alta Calidad</t>
  </si>
  <si>
    <t>ME-1 Obtener la acreditación institucional de alta calidad en el 2024</t>
  </si>
  <si>
    <t>Articular el modelo de autoevaluación institucional con el modelo de autoevaluación de programas.</t>
  </si>
  <si>
    <t>Informe de avance</t>
  </si>
  <si>
    <t xml:space="preserve">Co relación a la Articular el modelo de autoevaluación institucional con el modelo de autoevaluación de programa,
Se creo una matriz de identificación en la cual se determinaron las responsabilidades y evidencias, se consolido la matriz de evaluación en la cual se determinaron los criterios mínimos a calificar, cruzando con esto el modelo de autoevaluación institucional y el proyecto de modelo de programas (400 aspectos en promedio).
Se realizó la articulación de las condiciones institucionales y las condiciones de programa </t>
  </si>
  <si>
    <t xml:space="preserve">Matriz de identificación </t>
  </si>
  <si>
    <t>Desarrollar 8 ejercicios de autoevaluación de programas.</t>
  </si>
  <si>
    <t>Informe de avance
(PFC)</t>
  </si>
  <si>
    <t>Se definieron los compromisos del equipo técnico de autoevaluación para las Facultades de Sistemas, procesos industriales y Mecatrónica, con un desarrollo del 50% para la técnica de recolección documental.
Se inicio la recolección documental de áreas tranversales como: Financiera, Egresados, Bienestar, Extensión, ORII.</t>
  </si>
  <si>
    <t>Correos enviados</t>
  </si>
  <si>
    <t>Radicar la solicitud de renovación de la acreditación de 8 programas de pregrado.</t>
  </si>
  <si>
    <t xml:space="preserve">Esta actividad esta sujeta a la consecución de la actividad anterior </t>
  </si>
  <si>
    <t>Garantizar que los ejercicios de autoevaluación y los procesos en cumplimiento del Decreto 1330 de 2019 y Acuerdo 02 de 2020 sean visibles, claros y transparentes entre la comunidad institucional</t>
  </si>
  <si>
    <t xml:space="preserve">Se diseño la estrategia para fortalecer la cultura de Autoevaluación inciando con la propuesta de embajadores de la ETITC y la preselección de candidatos a embajadores </t>
  </si>
  <si>
    <t>Evidencia de reunión realizada</t>
  </si>
  <si>
    <t>Consolidar la documentación de condiciones iniciales para el inicio al ejercicio de acreditación institucional</t>
  </si>
  <si>
    <t xml:space="preserve">Se cuenta con un borrador de documento de condiciones iniciales y con el 80% de avance de recolección de evidencias que daran cuenta del proceso. </t>
  </si>
  <si>
    <t xml:space="preserve">Nborrador del docuemnto Condiciones iniciales </t>
  </si>
  <si>
    <t>PFC</t>
  </si>
  <si>
    <t>Lo social: un acuerdo para lo fundamental</t>
  </si>
  <si>
    <t>OE-6 Aumentar la cobertura mediante programas de educación superior diferenciados, con alta pertinencia regional de la institución.</t>
  </si>
  <si>
    <t>PE-14- Nuevos programas de pregrado y posgrado</t>
  </si>
  <si>
    <t>ME-29 Lograr para 2024, 3 carreras profesionales articulados por ciclos propedéuticos TP-TG-PU (Ing. Agrícola, Ing. Ambiental e Ing. Energías) y 1 maestría (seguridad informática)</t>
  </si>
  <si>
    <t>Concluir el proceso de condiciones institucionales ante el Ministerio de Educación Nacional. (1. Visita de EE, 2. Informe de Pares)</t>
  </si>
  <si>
    <t>Programas nuevos con registro calificado/Programas nuevos propuestos al MEN y al CNA*100</t>
  </si>
  <si>
    <t>Frente a Concluir el proceso de condiciones institucionales ante el Ministerio de Educación Naciona, se consolido el proceso a nivel interno finalizando visita de marzo durante los días 8, 9 y 10 de marzo</t>
  </si>
  <si>
    <t>Acta de cierre Visita de pares</t>
  </si>
  <si>
    <t>Concluir el proceso de renovación de registro calificado del programa de Ingeniería Mecánica articulada por ciclos propedéuticos con los niveles Técnico Profesional y Tecnología ante el Ministerio de Educación Nacional (1. Completitud, 2. Visita de EE, 2. Informe de Pares)</t>
  </si>
  <si>
    <t xml:space="preserve">Frente a la actividad Concluir el proceso de renovación de registro calificado del programa de Ingeniería Mecánica articulada por ciclos propedéuticos con los niveles Técnico Profesional y Tecnología ante el Ministerio de Educación Nacional. El proceso de renovación acepto las fechas propuestas por el MEN, radicadas el pasado 24 de marzo. Se iniciaron 2  simulacros: 1°, 23 de marzo, 2. 24 de marzo. </t>
  </si>
  <si>
    <t>Evicencias de Simulacros realizados.</t>
  </si>
  <si>
    <t>Asesorar a las facultades para el avance documental, consolidación de evidencias en cumplimiento con el Decreto 1330 de 2019, radicación, atención completitud.
1. Ing. Agrícola (3 niveles), 2. Ing. Ambiental (3 niveles), 3. Ing. Energías (3 niveles), 4. Maestría (1 programa), 5. Especializaciónes universitarias (1 programa), 6. Ing. Prof. Farmacéuticos (3 niveles)</t>
  </si>
  <si>
    <t xml:space="preserve">Se realizó una reunión con las Decaturas para mostrar los criterios a evaluar por el MEN y cual era la ingenerencia con el proceso 
El pasado 18 de marzo se realizó una reunión en la que se despejaron dudas acerca de los nuevos programas de posgrado: Especialización en mantenimiento Industrial. 
Se hizo entrega de guias de apoyo "Factibilidad". </t>
  </si>
  <si>
    <t>ME-30 Lograr al 2024, que el 50% de los programas con registro calificado en la modalidad presencial estén convertidos a modalidad semipresencial (blended)</t>
  </si>
  <si>
    <t>Capacitar a la Institución frente los mecanismos diseñados para el cumplimiento de modificaciones de registro calificado.</t>
  </si>
  <si>
    <t>De acuerdo a las decisiones que se tomen por la Vicerrectoría Académica se procedera a ejecutar esta actividad.</t>
  </si>
  <si>
    <t>Lo Ambiental: Un nuevo acuerdo por la vida y para la vida en contexto ambiental</t>
  </si>
  <si>
    <t>OE-11 Aumentar la cobertura mediante programas de educación superior diferenciados,
con alta pertinencia regional.</t>
  </si>
  <si>
    <t>PE-27- Diseñar y ofertar nuevos programas de pregrado con alta pertinencia regional rural</t>
  </si>
  <si>
    <t>ME-69 Estructurar y gestionar el registro de pregrado de Ingeniería Agrícola por ciclos</t>
  </si>
  <si>
    <t>Capacitar a la Institución frente los mecanismos diseñados para el cumplimiento de la solicitud de nuevo registro.</t>
  </si>
  <si>
    <t>Programas con registro calificado en la modalidad semipresencial/ programas con registro calificado en la modalidad presencial*100</t>
  </si>
  <si>
    <t xml:space="preserve">Durante el 1° trimestre se revisaron los 3 documentos maestros entregados. Se espera su presentación ante el Consejo académico y Consejo directivo para dar continuidad al prámite. </t>
  </si>
  <si>
    <t>Invitación a la socialiazción.</t>
  </si>
  <si>
    <t>ME-70 Estructurar y gestionar el registro de pregrado de Ingeniería Ambiental por ciclos</t>
  </si>
  <si>
    <t xml:space="preserve">A la fecha no se ha contratado el equipo curricular para desarrollar esta actividad. </t>
  </si>
  <si>
    <t>Prestación de servicios en las actividades de aseguramiento de la calidad</t>
  </si>
  <si>
    <t>5 Contratos formalizados. Ejecución contractual Prestación Servicios Profesionales Aseguramiento de Calidad. Ejecución contractual</t>
  </si>
  <si>
    <t>Actualmente se ejecutan los contratos: 095, 094, 096 de 2022, por un valor de 33.605.000 cada uno. Estos se ejecutan en la Oficina de Autoevaluación.
Durante el segundo semestre de la vigencia se proyecta contratar 2 profesionales para la Vicerrectiría Académica</t>
  </si>
  <si>
    <t>Actas de inicio</t>
  </si>
  <si>
    <t xml:space="preserve">Los contratos 095, 094, 096 de 2022 se ejecutan con normalidad. </t>
  </si>
  <si>
    <t>OE-10-Establecer un nuevo acuerdo ambiental mediante una
política institucional ambiental y la catedra institucional
en la ETITC</t>
  </si>
  <si>
    <t>GESTIÓN AMBIENTAL</t>
  </si>
  <si>
    <t xml:space="preserve">PE-22- Política institucional ambiental en la ETITC alineada al sistema de gestión ambiental </t>
  </si>
  <si>
    <t>ME-56 Implementar una política ambiental bajo consideraciones de sostenibilidad.</t>
  </si>
  <si>
    <t>1. Estudios Previos</t>
  </si>
  <si>
    <t xml:space="preserve">Estudios previos  para el contrato del proveedor: Laboratorio certificado por el IDEAM  para le muestreo y analisis de PCB en las matrices que se necesitan. </t>
  </si>
  <si>
    <t>Porcentaje de la política ambiental implementado.</t>
  </si>
  <si>
    <t xml:space="preserve">Estudios previos realizados </t>
  </si>
  <si>
    <t>Desde el proceso de gestión ambiental se encuentra en verificación de la posible usabilidad de la maquina electroerosionadora. 
Con relación al cambio del transformador eléctrico, durante la 3° semana de abril se realizaran estudios, que apoyen la compresión de las caracteristicas de sus contaminante, paso siguiente se dara paso al procesos contractual con la empresa certificado para tal fin</t>
  </si>
  <si>
    <t xml:space="preserve">Esta actividad no ha tenido avance. </t>
  </si>
  <si>
    <t>Medición Análisis</t>
  </si>
  <si>
    <t>Muetreo y análisis del contenido de PCB de la Maquina electroerosionadora y el Transformador de la Subestación.</t>
  </si>
  <si>
    <t>Ejecución contractual realizado</t>
  </si>
  <si>
    <t>Esta actividad depende de la ejecución de la actividad anterior</t>
  </si>
  <si>
    <t xml:space="preserve">El estudio de mercado arroja que solo existe un laboratorio en Colombia, con las condiciones técnicas adecuadas para la realización del muestreo, se proyecta realizar los respectivos estudios previos. </t>
  </si>
  <si>
    <t>Reporte a la Autoridad Ambiental</t>
  </si>
  <si>
    <t>Radicado de la Autoridad Ambiental del reporte de los resultados de la caracterización de los equipos.</t>
  </si>
  <si>
    <t xml:space="preserve">Radicación de los documentos ante el ente ambiental </t>
  </si>
  <si>
    <t xml:space="preserve">2. Adquisición de elementos </t>
  </si>
  <si>
    <t xml:space="preserve">Adquisición de: Caja cartón coarrugado con bolsas interiores de PE de 0,05 mm de grosor, ideales para la recogida, transporte y eliminación de crist ales rotos en el laboratorio, 203x203x254 mm 
</t>
  </si>
  <si>
    <t xml:space="preserve">Elementos adquiridos </t>
  </si>
  <si>
    <t>Se evalua la posibilidad con la Asociación de Reciclaje, de recibir estetipo de elementos en contraprestación por  los elementos donados por la ETITC. (30 de marzo).</t>
  </si>
  <si>
    <t>Se realizaron intercambios de materia reciclado con la asociación de reciclaje Pedro León Trauchi, mismo que proveyeron los recipientes necesitados por la institución, por ende, no se ha requerido la compra de cajas u otrol elementos.</t>
  </si>
  <si>
    <t>Adecuación de espacios verdes</t>
  </si>
  <si>
    <t>Adecuación de invernadero para la impelmentación de una huerta urbana que apoye los proceso de educación ambeintal de la ETITC</t>
  </si>
  <si>
    <t>espacios verdes adecuados</t>
  </si>
  <si>
    <t>Se encuentra en etapa de exploración con la Viverrectoría de Investigación y el Grupo de Investigación GEA, con miras de determinar la posiblidad de retomar estas actividades de sostenibilidad (24 de marzo).</t>
  </si>
  <si>
    <t xml:space="preserve">El espacio dispuesto para esta actividad se encuentra clausurado por motivos de obra.  </t>
  </si>
  <si>
    <t>Incorporación de talento humano calificado</t>
  </si>
  <si>
    <t>Profesional en Ingeniería Ambiental Administración Ambiental o afines con experiencia en implementación de la norma ISO14001:2015. Preferiblemente con formación como Auditor Interno en ISO 1401.</t>
  </si>
  <si>
    <t>Ejecución del proceso contractual</t>
  </si>
  <si>
    <t xml:space="preserve">El Cto - 019 de 2022 se ejecuta con normalidad y esta vigente hasta el 9 de diciembre. </t>
  </si>
  <si>
    <t xml:space="preserve">Acta de inicio </t>
  </si>
  <si>
    <t>Tecnólogo o tecnico en saneamiento ambiental, gestión ambiental o afines para el apoyo en la implementación del Sistema de Gestión Ambiental.</t>
  </si>
  <si>
    <t>Se revisará su posible ejecución despues del 30 de junio de 2022</t>
  </si>
  <si>
    <t xml:space="preserve">Esta actividad no se realizará. 
Por parte del programa Estado Joven ingresara un apoyo a la Institución. </t>
  </si>
  <si>
    <t>3. Alistamiento</t>
  </si>
  <si>
    <t>Identificar los puntos de vertimientos al sistema público de alcantarillado mediante Prueba de Anilinas.</t>
  </si>
  <si>
    <t>100% de las cajas de inspección identificadas</t>
  </si>
  <si>
    <t>La actividad fue realizada la 4 semana de marzo con el apoyo del personal de mantenimiento, en donde se inspeccionaron 5 cajas. 
Se proyecta inspeccionar 2 cajas adicionales durante el mes de abril.</t>
  </si>
  <si>
    <t>Informe de actividad</t>
  </si>
  <si>
    <t xml:space="preserve">La pruebas de anilina se realizaron durante el 1° trimestre de la vigencia, se detectó que se tienen algunas conexiones herradas, de esta amanera se proyecta realizar los diseños al respecto presentandolos ante las entidades correspondientes. </t>
  </si>
  <si>
    <t>Informe final de actividad "Prueba de anilinas"</t>
  </si>
  <si>
    <t>Adecuar pocetas de laboratorio de Química para colectar vertimientos de las prácticas</t>
  </si>
  <si>
    <t>Trampa de grasas instalada en la poceta de la cafeteria</t>
  </si>
  <si>
    <t xml:space="preserve">Se evalua con el proceso Planta Física la posibilidad de hacer modificaciones en el laboratorio de química, toda vez que la infraestructura a través de la cual se reciben los residuos no cumple con los requerimientos legales. 
</t>
  </si>
  <si>
    <t xml:space="preserve">Esta actividad no ha tenido avance, se proyecta revisar con el apoyo a gestión ambiental revisar la viabilidad de esta. </t>
  </si>
  <si>
    <t>Instalar Trampa de grasas en la poceta de la cafeteria y realizar el respectivo seguimiento</t>
  </si>
  <si>
    <t>Seguimiento alas pocetas relizado</t>
  </si>
  <si>
    <t>Por definir (preguntat a planta física)</t>
  </si>
  <si>
    <t xml:space="preserve">Se solicitaron las cotizaciones necesarias para la instalación de etrapas de grasa en la cocina de la cafeteria (2 pocetas). </t>
  </si>
  <si>
    <t>Cotizaciones solicitadas</t>
  </si>
  <si>
    <t>A la fecha se solicitó la elaboración de las trampas a la medida de las necesidades institucionales, se esta a la espera de recibirlas para su respectiva instación.</t>
  </si>
  <si>
    <t>Muestreo</t>
  </si>
  <si>
    <t>Contratación de laboratorio autorizado por el IDEAM para la caracterización de los vertimeintos No Domésticos</t>
  </si>
  <si>
    <t>Laboratorios que cumple requisitos legales contratado</t>
  </si>
  <si>
    <t>El proceso de Gestión ambiental recibio las cotizaciones y se encuentra en elaboración de estudios previos.</t>
  </si>
  <si>
    <t>Cotizaciones recibidas</t>
  </si>
  <si>
    <t xml:space="preserve">Los estudios previos se encuentran estructurados y en revisión, es necesario ajustarlos a lo correspondiente del proceso sancionatorio.  </t>
  </si>
  <si>
    <t>Reporte de resultados ante autoridades ambientales</t>
  </si>
  <si>
    <t>Recepción de los resultados de la caracterización de vertimientos</t>
  </si>
  <si>
    <t>Vertimientos No Domesticos Caracterizados.</t>
  </si>
  <si>
    <t>Esta actividad depende de la contratación del laboratorio para la caracterización de vertimientos</t>
  </si>
  <si>
    <t>Reportar los resultados de la caracterización de vertimientos ante la SDA y la EAAB.</t>
  </si>
  <si>
    <t>Resultados de caracterización reportados.</t>
  </si>
  <si>
    <t>4. Pre Auditoria</t>
  </si>
  <si>
    <t>Levantamiento de información y estadística</t>
  </si>
  <si>
    <t>Certificación del SGA bajo estandares de la ISO14001:2015</t>
  </si>
  <si>
    <t>De la información acerca de 6 programas, se ha recolectado la informaicón de 1. 
Se cuenta con un analisis del cumplimiento de objetivos ambientales y fue socializado a la alta dirección de la Escuela. 
La ETITC participa en la estrategia ACERCAR de la SDA, quien hace acompañamiento a la Escuela en la implementación del Sistema ambiental y lo concerniente a la ISO 14.001.</t>
  </si>
  <si>
    <t>Lista de asistencia a las capacitaciones</t>
  </si>
  <si>
    <t>Auditoria de Certificación</t>
  </si>
  <si>
    <t>Análisis y clasificación de la información</t>
  </si>
  <si>
    <t>Esta actividades se planea realizar durante el 2° semestre de la vigencia</t>
  </si>
  <si>
    <t xml:space="preserve">Se a adelantado el análisis para le servicio de energia, se proyecta realizar reuniones con el área de Infraestructura eléctrica con miras a gestionar espacios de capacitación y sencibilización </t>
  </si>
  <si>
    <t>5. Estudios Previos</t>
  </si>
  <si>
    <t xml:space="preserve">Estudios previos para el contratar el proveedor: Laboratorio certificado por el IDEAM  para el Estudio de Emisiones. </t>
  </si>
  <si>
    <t>Estudios previos  realizados</t>
  </si>
  <si>
    <t xml:space="preserve">El proceso indago acerca de los laboratorios autorizados, asi mismo se envio correos para solicitar estudios previos, sin embargo, no se ha recibido la informaicón apropiada, se estructura información institucional para reeenviar a los 2 laboratorios interesados en el proceso. </t>
  </si>
  <si>
    <t xml:space="preserve">Se realizo el respectivo estudio de mercado, sin embargo, solamente se recibio una cotización, se proyecta una reunión para determinar las actividades a realizar. </t>
  </si>
  <si>
    <t xml:space="preserve">Estudio de mercado </t>
  </si>
  <si>
    <t xml:space="preserve">Medición y Análisis </t>
  </si>
  <si>
    <t>Estudio de Emisiones bajo las condiciones establecidas en la Res. 909 de 2008</t>
  </si>
  <si>
    <t>Estudio de emisiones del 100% de las fuentes fijas relizado</t>
  </si>
  <si>
    <t>Esta actividad depende del proceso de contratación de referente a los estudios de emisiones.</t>
  </si>
  <si>
    <t>Reporte a la autoridad ambiental</t>
  </si>
  <si>
    <t>Radicado de la Autoridad Ambiental</t>
  </si>
  <si>
    <t>Resultados de caracterización reportados</t>
  </si>
  <si>
    <t>Diseño</t>
  </si>
  <si>
    <t>Diseño de los sistemas de control de emisiones y altura de los ductos de ventilación</t>
  </si>
  <si>
    <t>Diseños del sistema de control de emisiones realizado</t>
  </si>
  <si>
    <t xml:space="preserve">PE-24- Optimización en el consumo de energía eléctrica y uso de energías alternativas. </t>
  </si>
  <si>
    <t>ME-60 realizar la adecuada disposición de todos los residuos producidos  en el area de infraestructura, talleres y laboratorios.</t>
  </si>
  <si>
    <t>6. Estudios Previos</t>
  </si>
  <si>
    <t>Estudios previos para contratar el proveedor de elementos para el manejo de aceite lubricante usado.</t>
  </si>
  <si>
    <t xml:space="preserve">Porcentaje de adecuación de residuos cumplido </t>
  </si>
  <si>
    <t>Se encuentra en proceso de indagar acerca de los proveedores que puedan suministrar los elementos de necesidad institucional (estibas, embudos, etc)</t>
  </si>
  <si>
    <t xml:space="preserve">TALLERES Y LABORATORIOS </t>
  </si>
  <si>
    <t>Adquisición</t>
  </si>
  <si>
    <t>Adquisición de elementos para el manejo adecuado del aceite lubricante usado.
6 Estibas antiderrame Capacidad: 60,5 galones (229 litros)
1 Tanque Doble Pared para Aceite Usado, 300 Litros
1 Carro para bidón de 180-220 Kg (para transporte interno)
1 bandeja de drenaje de aceite, portatil, de bajo perfil, con bomba manual</t>
  </si>
  <si>
    <t>Estudio de emisiones del 100% de las fuentes fijas realizado</t>
  </si>
  <si>
    <t>Esta actividad depende del proceso de contratación del proveedor de elementos para el manejo de aceite lubricante usado.</t>
  </si>
  <si>
    <t xml:space="preserve">Capacitación </t>
  </si>
  <si>
    <t>Capacitación al personal encargado del mantenimiento de las maquinas</t>
  </si>
  <si>
    <t xml:space="preserve">Capacitación realizada </t>
  </si>
  <si>
    <t xml:space="preserve">Esta actividad esta pendiente de programación </t>
  </si>
  <si>
    <t>7. Estudios Previos</t>
  </si>
  <si>
    <t>Estudios previos  para el contrato del gestor de RESPEL Biológicos y No Biológicos.</t>
  </si>
  <si>
    <t>Estudios previos realizados</t>
  </si>
  <si>
    <t xml:space="preserve">Los estudios previos se encuentran en elaboración. </t>
  </si>
  <si>
    <t xml:space="preserve">Estudios previos </t>
  </si>
  <si>
    <t xml:space="preserve">El Cto n° 180 de 2022 se encuentra ejecutado. </t>
  </si>
  <si>
    <t>Prestación del servicio</t>
  </si>
  <si>
    <t>Reportar y entregar de forma adecuada los RESPEL Biológicos y No Biológicos generados en las 4 sedes de la ETITC.</t>
  </si>
  <si>
    <t xml:space="preserve">Bitácora de generación de residuos </t>
  </si>
  <si>
    <t xml:space="preserve">Esta actividad depende del proceso de la contratación del gestor de RESPEL </t>
  </si>
  <si>
    <t xml:space="preserve">Se ha identificado la forma en que se estan disponiento los residuos en Tintal.
En la Sede Centro se llevará a cabo la entrega de residuos peligrosos  programados a través del aplicativo PROSARC. Se proyecta entregar 275,46 Kg de residuos peligrosos (Cto 180 de 2022)
</t>
  </si>
  <si>
    <t xml:space="preserve">Certificados de entrega </t>
  </si>
  <si>
    <t>8. Estudios Previos</t>
  </si>
  <si>
    <t>Estudios previos para el contrato del proveedor de señalización.</t>
  </si>
  <si>
    <t>Se hará uso del contrato que ejecuta Planta Física Cto- 359 de 2021 (En adición), con el fin de realizar la señalización respectivas. Actualmente se cuenta con los diseños de sañalización según normatividad ambiental vigente.</t>
  </si>
  <si>
    <t>Cto 359 en ejecución de 2021</t>
  </si>
  <si>
    <t>esta actividad no ha tenido avance</t>
  </si>
  <si>
    <t>Suministro e intalación</t>
  </si>
  <si>
    <t>Señalización para el Cuarto de almacenamiento de: Residuos, RESPEL, Aceite Industrial Usado y remarcación de canecas de puntos ecológicos.</t>
  </si>
  <si>
    <t>Espacios señalizados</t>
  </si>
  <si>
    <t xml:space="preserve">Se cuenta con los diseños necesarios, se proyecta el envió al proveedor correspondiente para su impreseión e instalación. </t>
  </si>
  <si>
    <t xml:space="preserve">La señalización fue incluida en el Cto 359 de 2021, se encuentra instalada adecuadamente. </t>
  </si>
  <si>
    <t>Capacitación a la comunidad de la ETITC para el manejo adecuado de los elementos y espacios para la separación y almacenamiento temporal de residuos.</t>
  </si>
  <si>
    <t>Personal de la ETITC capacitado</t>
  </si>
  <si>
    <t>Esta actividad tendra lugar una vez se instalen la señalización respectiva.</t>
  </si>
  <si>
    <t xml:space="preserve">Se han llevado a cabo una capacitación con Informática y Comunicaciones y areá de servicios generales.  </t>
  </si>
  <si>
    <t>ME-58  lograr el 10% de ahorro energético</t>
  </si>
  <si>
    <t>9. proyecto</t>
  </si>
  <si>
    <t>Analisis de Calidad de la Energia para la Sede Central de la ETITC.</t>
  </si>
  <si>
    <t>Porcentaje de ahorro alcanzado</t>
  </si>
  <si>
    <t>3.5%</t>
  </si>
  <si>
    <t>Se han realizado dos reuniones con Infraestructura eléctrica (14 y 30 de marzo), mediante las cuales se revisaron las recomendaciones hechas por el DNP "Evaluación del potencial de la disminucion del consumo de energia", se determino que se va a ejecutar 1° el proyecto de medición de la calidad energetica, posteriormete se instalaran medidore de consumo por sectores.</t>
  </si>
  <si>
    <t>Reuniones realizadas</t>
  </si>
  <si>
    <t xml:space="preserve">INFRAESTRUCTURA ELECTRICA </t>
  </si>
  <si>
    <t xml:space="preserve">Esta actividad aun no se ha ejecutado.
*Se ha adquirido una Herramienta para la eficiencia energetica (Grupo Proredes de la SDA), en este sentido, se nusca su aprovechamiento desde el 3° trimestre de la vigencia. 
</t>
  </si>
  <si>
    <t>Proyecto</t>
  </si>
  <si>
    <t>- 'Inventario Energético
- Análisis comparativo de cosumo por areas
- Recomendaciones de estrategias para el ahorro de consumo de energia electrica</t>
  </si>
  <si>
    <t xml:space="preserve">En enero de 2022 el DNP  através de informe dio a conocer a la ETITC, las diferente matrices de consumo de energía. Se proyecta realizar un proyecto entorno a estos resultados y análisis realizados. </t>
  </si>
  <si>
    <t xml:space="preserve">*Se ha adquirido una Herramienta para la eficiencia energetica (Grupo Proredes de la SDA), en este sentido, se nusca su aprovechamiento desde el 3° trimestre de la vigencia. 
</t>
  </si>
  <si>
    <t>Ejecución y seguimiento</t>
  </si>
  <si>
    <t>Hacer seguimiento al plan de gestión ambiental (actividades relacionadas con ahorro energetico)</t>
  </si>
  <si>
    <t xml:space="preserve">Matriz de seguimeinto </t>
  </si>
  <si>
    <t>Este seguimiento se programa realizar durante la 1° semana de abril</t>
  </si>
  <si>
    <t>Esta actividad no ha tenido avance durante el 2º trimestre de la vigencia.</t>
  </si>
  <si>
    <t>ME-59 Implementar el programa de racionalización de consumo de papel</t>
  </si>
  <si>
    <t>Implementar el programa de racionalización de consumo de papel</t>
  </si>
  <si>
    <t>Porcentaje de implementación del programa  racionalización de consumo de papel</t>
  </si>
  <si>
    <t>Informe de ejecución</t>
  </si>
  <si>
    <t xml:space="preserve">Se cuenta con la Circular 07 de 2021 de la Rectoria. Durante la 1° semana de abril se llevará a cabo una reunión mediante la cual se determinara el plan de trabajo a realizar en la vigencia. </t>
  </si>
  <si>
    <t>Se cuenta con los insumos necesarios para la reportar los avances de la ejecución de la política, sin embargo el informe respectivo se encuentra en redacción.</t>
  </si>
  <si>
    <t>OFICINA DE COMUNICACIONES</t>
  </si>
  <si>
    <t>ME-7- Aumentar la visibilidad institucional de la Escuela mediante estrategias de marketing digital.</t>
  </si>
  <si>
    <t>Diseño de Estrategias</t>
  </si>
  <si>
    <t>Diseñar y estructurar la política de comunicaciones de la ETITC</t>
  </si>
  <si>
    <t>Número de estrategias de posicionamiento implementadas.</t>
  </si>
  <si>
    <t xml:space="preserve">Documento elaborado </t>
  </si>
  <si>
    <t>Elaboración y selección de estrategias según la política de comunicaciones institucional</t>
  </si>
  <si>
    <t>Estrategias elaboradas</t>
  </si>
  <si>
    <t>Con relación al plan de comunicaciones vigencia 2021 – 2024, se identificó una parrilla de contenido para suplir las necesidades de la institución, entre las cuales se identificaron estrategias a partir de las solicitudes al área, mismas que comprenden diferentes actividades y productos.
Febrero: 5 estrategias.
Marzo: 10 estrategias.</t>
  </si>
  <si>
    <t xml:space="preserve">Matriz de seguimiento a las estrategias del Plan de Comunicaciones </t>
  </si>
  <si>
    <t>Sistemas de control y plan de contingencias</t>
  </si>
  <si>
    <t>Sistemas de control y plan de contingencias desarrollado</t>
  </si>
  <si>
    <t xml:space="preserve">Actualmente se realiza un formato para evaluar la realización y consolidación de las estrategias de comunicación. 
Durante el 2021 se realizó el plan de contingencias que ha permitido una mejor articulación en el área  </t>
  </si>
  <si>
    <t>Borrador de formato de evaluación</t>
  </si>
  <si>
    <t xml:space="preserve">Implementación de las Estrategias </t>
  </si>
  <si>
    <t>Desarrollo de las estretegias (seguimiento y evaluación)</t>
  </si>
  <si>
    <t>Estreategias implementadas</t>
  </si>
  <si>
    <t>Esta actividad tendrá lugar una vez que consolide el formato de evaluación.</t>
  </si>
  <si>
    <t>PE-11- Implementación de estrategias de comunicación externas e internas y fortalecimiento de la gestión documental: LA ETITC COMUNICA</t>
  </si>
  <si>
    <t>ME-21- Fortalecer los canales existentes para la comunicación interna - externa.</t>
  </si>
  <si>
    <t xml:space="preserve">Diseño </t>
  </si>
  <si>
    <t xml:space="preserve">Identificar las necesidades de cada área y consolidar parrilla de contenido </t>
  </si>
  <si>
    <t>Porcentaje de implementación de la Política Institucional de Comunicaciones.</t>
  </si>
  <si>
    <t>Parrilla consolidada</t>
  </si>
  <si>
    <t xml:space="preserve">Evidencias audiovisuales de la ejecución de las parrillas de contenido </t>
  </si>
  <si>
    <t xml:space="preserve">Ejecución de la parrilla de contenido con su respectivo seguimiento y evaluación de impacto </t>
  </si>
  <si>
    <t>Proceso de ejecución de la parrilla completado</t>
  </si>
  <si>
    <t xml:space="preserve">De conformidad con la parrilla de contenidos se ha ejecutado las actividades previamente indentificadas en paoyo a los procesos institucionales. </t>
  </si>
  <si>
    <t>Matriz de de guimiento a las actividades</t>
  </si>
  <si>
    <t xml:space="preserve">Realizar el programa Institución al Día como espacio de participación ciudadana </t>
  </si>
  <si>
    <t>Programas realizados</t>
  </si>
  <si>
    <t>Durante el 1° trimestre de la vigencia se han realizado 12 emisiones con los diferentes procesos de la entidad.</t>
  </si>
  <si>
    <t>https://www.facebook.com/watch/16872038093/2246567575376324/</t>
  </si>
  <si>
    <t>VICERRECTORÍA ADMINISTRATIVA Y FINANCIERA</t>
  </si>
  <si>
    <t>Estrategia 1.
Lo institucional: La transformación cultural de la ETITC</t>
  </si>
  <si>
    <t>OE-3 Fortalecer el ecosistema de funcionalidades digitales para la gestión y el desarrollo de la actividad misional mediante el uso de las TIC</t>
  </si>
  <si>
    <t>INFRAESTRUCTURA ELÉCTRICA</t>
  </si>
  <si>
    <t>PE-10- Transformación digital de la ETITC</t>
  </si>
  <si>
    <t>ME-17- Adecuar las capacidades tecnológicas para atender las necesidades de los procesos misionales.</t>
  </si>
  <si>
    <t xml:space="preserve">Ejecución </t>
  </si>
  <si>
    <t>Prestación de servicios profesionales como apoyo a la gestión del área de infraestructura eléctrica para realizar adecuación y soporte de sistemas eléctricos y de redes de datos normalizados y especiales, diseño, implementación y mantenimiento de sistemas de iluminación y protección y soporte en la preparación de documentos de redes de datos y comunicaciones. según normatividad vigente (11 meses)</t>
  </si>
  <si>
    <t>Proyectos de TICS ejecutados / Proyectos de TICS programados para la academia</t>
  </si>
  <si>
    <t xml:space="preserve">Ejecución contractual </t>
  </si>
  <si>
    <t xml:space="preserve">Actualmente se cuenta con el Cto: 005, 006, 007, 138, 139 de 2022. $117.730.000
Soporte a los sistemas de conexión para los televisores, wifi </t>
  </si>
  <si>
    <t xml:space="preserve">Registros fotográficos 
Informes de gestión </t>
  </si>
  <si>
    <t>Actualmente se cuenta en ejecución y con normalida los Cto: 005, 006, 007, 138, 139 de 2022. $117.730.000
Estos se ejecutan hasta el 30 de noviembre de 2022.</t>
  </si>
  <si>
    <t>Acta de inicios</t>
  </si>
  <si>
    <t>Prestación de servicios como apoyo a la gestión del área de infraestructura eléctrica, para realizar adecuación y soporte de sistemas eléctricos normalizados y especiales, mantenimiento de sistemas de iluminación y protección y soporte en la preparación de documentos de redes electricas, según normatividad vigente (tecnologo electricista o afines)</t>
  </si>
  <si>
    <t xml:space="preserve">Las actividades se hacen de manera transversal </t>
  </si>
  <si>
    <t xml:space="preserve">Actualmente se cuenta con el Cto: 005, 006, 007, 138 y 139 de 2022 
Se ha prestado soporte a los sistemas de iluminación, puesta a tierra, maquinas equipos. 
La información de estos soportes se verifica a través de la plataforma Mantum 
</t>
  </si>
  <si>
    <t>contratación de la prestación de servicios como apoyo a la gestión del área de infraestructura eléctrica, para desarrollar las actividades de adecuación de sistemas eléctricos normalizados y especiales, mantenimiento preventivo de equipos de misión crítica e implementación y mantenimiento de sistemas de automatización de los diferentes equipos de la etitc. (tecnologo electricista o afines)</t>
  </si>
  <si>
    <t xml:space="preserve">Con relación al mantenimiento de: UPS, Planta de energía eléctrica, Aires Acondicionados, reguladores de voltaje, sistema de iluminación greenmax, sistema de apantallamiento sistema de puesta a tierra, se realizan por el equipo de Infraestructura eléctrica, sin embargo, se adelantan los estudios necesarios para adelantar el proceso contractual, con el fin de adquirir prestaciones de servicio en temas de mantenimiento. </t>
  </si>
  <si>
    <t>Informes de MÁNTUN</t>
  </si>
  <si>
    <t>Contratación de la prestación de servicios como apoyo a la gestión del área de infraestructura eléctrica de las extensión Carvajal y Tintal de la Escuela Tecnológica Instituto Técnico Central para realizar adecuación y soporte de sistemas eléctricos normalizados, mantenimiento de sistemas de iluminación y protección eléctrica. según normatividad vigente. (técnico electricista o afines)</t>
  </si>
  <si>
    <t xml:space="preserve">De los 5 profesionales en el área, uno apoya a sede Carvajal y uno la sede Tintal, dependiendo de la necesidad del servicio.
</t>
  </si>
  <si>
    <t>Contratación del mantenimiento preventivo y correctivo especializado de las plantas eléctricas y sus respectivas transferencias automáticas.</t>
  </si>
  <si>
    <t xml:space="preserve">Se cuentan con los estudios previos; la vicerrectoría administrativa dio aval a los mismos, y se encuentra en trámite el CDP. </t>
  </si>
  <si>
    <t>La contración del mantenimiento se realizará el 6 de julio, a través del contrato 181 de 2022- SOCRES S.A.S; su terminación será el 30 de diciembre de la presente vigencia.
Se cuenta con el cronograma para la ejecución de las respectivas actividades de manera mensual y semestral para cada una de las plantas eléctricas.</t>
  </si>
  <si>
    <t>Contratación del mantenimiento preventivo y correctivo especializado de los Aires acondicionados</t>
  </si>
  <si>
    <t xml:space="preserve">Esta activida se ejecuta a través del CTO 179 de 2022, SOCRES S.A.S, tendrá una duración de 6 meses y se efectuará a partir del 1 de junio, hasta el 3 de enero de 2023.
se cuenta con el cronograma para ejecutar el mantenimiento a los 8 aires acondicionados (6 mantenimientos preventivos). 
</t>
  </si>
  <si>
    <t>Contratación del mantenimiento preventivo y correctivo especializado de las UPS y Reguladores</t>
  </si>
  <si>
    <t xml:space="preserve">Se adjudicó el respectivo contrato con la empresa MTA COLOMBIA SAS , se esta a la espera de la adjudicación de la supervisión.
Especificamente con la ejecución se busca realizar mantenimientos preventivos y correctivos distribuidas en 11 actividades, lo anterior dependiento de la situación actuales de los equipos.      </t>
  </si>
  <si>
    <t>Contratación de mantenimiento preventivo, correctivo y certificación de los Sistema automatizados de apertura/cierre puertas calle 15, carrera 17 y patio central</t>
  </si>
  <si>
    <t>Se cuenta con los borradores de los estudios previos. 
Se realizan mantenimiento de tipo sostenible.</t>
  </si>
  <si>
    <t>Estudios previos 
Informes de MÁNTUN</t>
  </si>
  <si>
    <t xml:space="preserve">Durante el 2° trimestre se han realizado mantenimiento correctivo desde infraestructura eleéctrico. 
Se plantea realizar mesas de trabajo para determinar la viabilidad de las puestar actuales.   </t>
  </si>
  <si>
    <t>Contratación de mantenimiento preventivo y correctivo especializado de la plataforma elevadora GENIE</t>
  </si>
  <si>
    <t>Desde Infraestructrura eléctrica se elaboraron los estudios previos, sin embargo, es necesario fortalecer los estudios de mercado con las empresas que tengan la representatividad necesaria para dar solución a la realidad institucional.(revisar el sistema hidraulico, mecánico, cambio de baterias y cargador de las baterias).</t>
  </si>
  <si>
    <t>Contratación de mantenimiento preventivo y correctivo de sistema de puesta a tierra de la sede Centro (apantallamiento)</t>
  </si>
  <si>
    <t xml:space="preserve">Durante el 2021 se realizó un proceso contractual para la puesta en marcha de la puesta a tierra. 
La institución realiza mantenimiento correctivo con los instrumentos con que se realiza lectura de manera permanente. </t>
  </si>
  <si>
    <t xml:space="preserve">Informe </t>
  </si>
  <si>
    <t>Contratación del mantenimiento preventivo y correctivo especializado del sistema de automatización de iluminación (GreenMax)</t>
  </si>
  <si>
    <t xml:space="preserve">Desde el área de infraestructura eléctrica se adelanta el respectivo proceso para la posible contratación, se cuenta con los estudios previos.  </t>
  </si>
  <si>
    <t>Contratación del Mantenimiento preventivo y correctivo de los sistemas audio, video e iluminación artistica (Auditorio, teatro, capilla y sonido general)</t>
  </si>
  <si>
    <t>Esta actividad no se ha realizado durante el 2° trimestre. 
Sin embargo, se realiza de manera preventiva el mantenimiento desde infraestructura eléctrica.</t>
  </si>
  <si>
    <t xml:space="preserve">Contratación del mantenimiento correctivo y preventivo especializado de los controles de acceso </t>
  </si>
  <si>
    <t xml:space="preserve">Teniendo en cuenta que esta actividad se desarrolla a través de contratos anteriores, se está a la espera que culmine el contrato respectivo para determinar la necesidad de un mantenimiento. </t>
  </si>
  <si>
    <t xml:space="preserve">Desde el área de infraestructura eléctrica se apoyará con un porcentaje del material requerido y el talento humano capacitado, sin embargo, se proyecta realizar un proceso contractual para el respectivo mantenimiento. </t>
  </si>
  <si>
    <t>Contratación del mantenimiento correctivo y preventivo especializado del CCTV.</t>
  </si>
  <si>
    <t xml:space="preserve">Se proyectan los estudios previos, para un contrato de mantenimiento a todo costo, así mismo, se realiza estudio de mercado. </t>
  </si>
  <si>
    <t>Contratación del mantenimiento correctivo y preventivo especializado del sistema de alerta sismica</t>
  </si>
  <si>
    <t xml:space="preserve">Con la empresa con la que se contrato la adquisición del equipo de alerta sismica se realizará el respectivo mantenimiento por concepto de garantia.  </t>
  </si>
  <si>
    <t>Contratación del mantenimiento correctivo y preventivo especializado del sistema de audioevacuación</t>
  </si>
  <si>
    <t xml:space="preserve">Desde Infraestructrura eléctrica se realiza mantenimientos de carácter preventivo.  </t>
  </si>
  <si>
    <t>Compra de materiales y herramientas para mantenimiento general de la Escuela</t>
  </si>
  <si>
    <t>Adquisición de materiales</t>
  </si>
  <si>
    <t xml:space="preserve">Por confirmar su factibilidad </t>
  </si>
  <si>
    <t xml:space="preserve">La compra de los materiaales necesarios para el desarrollo de las actividades del área, se encuentran en procesos de adquisición. </t>
  </si>
  <si>
    <t>OE-5
Consolidar la infraestructura física de la Escuela para el desarrollo de la academia y la consolidación de las nuevas apuestas institucionales</t>
  </si>
  <si>
    <t>PLANTA FÍSICA</t>
  </si>
  <si>
    <t>PE-13
Gestión integral de inmuebles</t>
  </si>
  <si>
    <t>ME-24
Englobar todos los predios que integran la sede Central</t>
  </si>
  <si>
    <t xml:space="preserve">Por definir </t>
  </si>
  <si>
    <t>Prestación de servicios profesionales  como apoyo a la gestión de inmuebles de la ETITC y sus sedes para la vigencia 2022</t>
  </si>
  <si>
    <t>Porcentaje de englobe de los predios que integran la sede central</t>
  </si>
  <si>
    <t>Acta de inicio del contrato</t>
  </si>
  <si>
    <t>Actualmente se ejecuta el contrato 009 de 2022, el cual tiene vigencia hasta el 30 de noviembre de 2022.</t>
  </si>
  <si>
    <t>https://itceduco-my.sharepoint.com/personal/arquitectura_itc_edu_co/_layouts/15/onedrive.aspx?id=%2Fpersonal%2Farquitectura%5Fitc%5Fedu%5Fco%2FDocuments%2FPLANTA%20F%C3%8DSICA%2F3%2E%202022%2F2%2E%20Planeaci%C3%B3n%202022%2FPLAN%20DE%20ACCI%C3%93N%202022&amp;ct=1650472022187&amp;or=OWA%2DNT&amp;cid=fce0ae26%2D7279%2D0ca8%2D6a8b%2D5b0eed5bc12b&amp;ga=1</t>
  </si>
  <si>
    <t>El CTO 009 continua su ejecución con normalidad.</t>
  </si>
  <si>
    <t>ME-25 
Determinar el aprovechamiento del inmueble de la calle 18 a partir del POT aprobado</t>
  </si>
  <si>
    <t xml:space="preserve">Estudios técnicos estructurales, arquitectónicos, de redes,  de uso, contexto y demás necesarias para definir la viabilidad de la casa y edificio de la sede calle 18 de la escuela tecnológica instituto técnico central. </t>
  </si>
  <si>
    <t xml:space="preserve">Porcentaje de ejecución de las intervenciones físicas.
</t>
  </si>
  <si>
    <t>1. Proceso de contratación
2. Ejecución del estudio</t>
  </si>
  <si>
    <t xml:space="preserve">Se han realizado las siguientes actividades de mantenimiento locativo:
1. Cambio de llave de la poceta del baño de mujeres en el primer piso de la sece Central
2. Cambio de Chapa del cuarto debajo de las estacaleras del segundo piso.
3. Ajuste de puerta de la casa hacia el exterior.
4. Mantenimiento de los lavamanos portatiles (2)
</t>
  </si>
  <si>
    <t>Se han realizado las siguientes actividades de mantenimiento locativo:
1. Organización de los contenedores de basura, según el tipo de residuo generado en la sede.
2. Mantenimiento de la puerta de ingreso de la casona 
3. Mantenimiento de los baños del 1° piso.</t>
  </si>
  <si>
    <t>Informe de gestión</t>
  </si>
  <si>
    <t>Porcentaje de espacios aprovechados y con uso en el inmueble</t>
  </si>
  <si>
    <t>por definir</t>
  </si>
  <si>
    <t xml:space="preserve">Los estudios previos se encuentran elaborados, cuentan con la respectiva revisión por parte del área de Contratación (Número de CDP 9922, $128.192.750). </t>
  </si>
  <si>
    <t xml:space="preserve">Se lanzó el proceso CMA 003 de 2022 (26 de mayo), sin embargo se declaro desierto. 
El CDP se adiciono. </t>
  </si>
  <si>
    <t xml:space="preserve">CDP </t>
  </si>
  <si>
    <t>ME-26
Formular el Plan de administración e intervención de las instalaciones en comodato (Localidad Kennedy)</t>
  </si>
  <si>
    <t>Avance del documento del plan de administración e intevención de las instalaciones en comodato de la etitc</t>
  </si>
  <si>
    <t xml:space="preserve">Porcentaje de formulación del Plan de administración e intervención de las instalaciones en comodato.
</t>
  </si>
  <si>
    <t>Documento</t>
  </si>
  <si>
    <t>El documento base se encuentra finalizado desde la vigencia 2021; según las necesidades se actualiza dicho planeación.</t>
  </si>
  <si>
    <t xml:space="preserve">Se definió la actualización  del documento para el 2022, en el cual se incluyo una nueva estrategia de mantenimiento a  través de terceros. 
Se encuentra en elaboración el listado de APUs para ejecutar estos mantenimientos con terceros. </t>
  </si>
  <si>
    <t xml:space="preserve">Porcentaje de ejecución del Plan de administración e intervención de las instalaciones en comodato.
</t>
  </si>
  <si>
    <t xml:space="preserve">Las Intalaciones en Comodato de Kennedy se encuentran bajo la supervisión del Asesor de Rectoría.
Desde Planta Física se han realizado diseños y proyectos para mejorar las intalaciones de Comodato: Reja para el acceso peatonal de la Sede Tintal. Diseño de la papeleria para la Sede Tintal.
Actividades de mantenimiento locativo: 
1. Adecuación de la Oficina de Control Interno de la Sede Carvajal.
2. Impermeabilización, resane y pintura de todos los salones de la Sede Carvajal.
</t>
  </si>
  <si>
    <t xml:space="preserve">Las Intalaciones en Comodato de Kennedy se encuentran bajo la supervisión del Asesor de Rectoría.
Dentro de la actualización del documento "Plan de administración e intervención de las instalaciones de Comidato", se integran lineamientos para la ejecución de mantenimientos generales a las instalaciones de la ETITC.
</t>
  </si>
  <si>
    <t>ME-27
Formular e implementar el modelo operativo de administración de inmuebles</t>
  </si>
  <si>
    <t>Avance del documento del modelo operativo de administración de inmuebles</t>
  </si>
  <si>
    <t>Porcentaje de formulación e implementación del modelo operativo para la administración de inmuebles.</t>
  </si>
  <si>
    <t>El documento base se encuentra finalizado desde la vigencia 2021; según las necesidades se actualiza dicha planeación.</t>
  </si>
  <si>
    <t>Documento Modelo operativo para la administración de inmuebles.</t>
  </si>
  <si>
    <t>Ejecución de planes de mantenimiento en los inmuebles</t>
  </si>
  <si>
    <t>Ordenes de trabajo</t>
  </si>
  <si>
    <t>En la sede central se han realizado los siguientes mantenimientos: 
119 mantenimientos y reparaciones locativas con un costo de $4.216.916</t>
  </si>
  <si>
    <t xml:space="preserve">En la sede central se han realizado los siguientes mantenimientos:
182 mantenimientos y reparaciones locativas con un costo de 5.856.175,00
</t>
  </si>
  <si>
    <t>ME-28
Gestionar la consecución de un nuevo Campus para la Escuela</t>
  </si>
  <si>
    <t>Porcentaje de implementación de la estrategia de consecución del Campus.</t>
  </si>
  <si>
    <t>Esta actividad no ha tenido avance</t>
  </si>
  <si>
    <t>Estrategia 3.
Lo ambiental: Un acuerdo por y para la vida en contexto ambiental</t>
  </si>
  <si>
    <t>OE-10
Establecer un nuevo acuerdo ambiental mediante una política institucional ambiental y la cátedra institucional en la ETITC</t>
  </si>
  <si>
    <t>PE-22
Política institucional ambiental en la ETITC</t>
  </si>
  <si>
    <t>ME-56
Implementar una poítica ambiental bajo consideraciones de sostenibilidad</t>
  </si>
  <si>
    <t>Estudios técnicos para el sistema piloto de aprovechamiento de agua lluvia para el bloque j de la sede central de la etitc.</t>
  </si>
  <si>
    <t xml:space="preserve">Los estudios previos se encuentran elaborados, cuentan con la respectiva revisión por parte del área de Contratación (Número de CDP 9722, $34.133.333). </t>
  </si>
  <si>
    <t xml:space="preserve">Se lanzó el proceso CMA 002 de 2022 (26 de mayo), sin embargo, se declaro desierto. 
El CDP se adiciono. </t>
  </si>
  <si>
    <t>Alquiler de sistema de desodorización de baños incluida la instalación, servicio de recarga mensual, mantenimiento del sistema y asesoría personalizada en la escuela  tecnológica instituto técnico central y sus sedes durante la vigencia 2022</t>
  </si>
  <si>
    <t>1. Proceso de contratación
2. Ejecución del mantenimiento</t>
  </si>
  <si>
    <t>Los estudios previos se encuentran elaborados, cuentan con la respectiva revisión por parte del área de Contratación (Número de CDP 9822, $50.582.259). 
Esta actividad tendrá lugar durante el 2° semestre.</t>
  </si>
  <si>
    <t xml:space="preserve">Esta actividad no se realizará toda vez que la necesidad espacial requiere una remodelación completa, por ende, no se contratara el sistema de desodorización. </t>
  </si>
  <si>
    <t>PE-24
Optimización de en el consumo de energía eléctrica y uso de energías alternativas</t>
  </si>
  <si>
    <t>ME-60
Realizar la adecuada disposición de todos los residuos producidos en el área de infraestructura, talleres y laboratorios</t>
  </si>
  <si>
    <t>Adecuar los espacios de residuos de las sedes y de los talleres y laboratorios</t>
  </si>
  <si>
    <t>Porcentaje de adecuación de residuos cumplido</t>
  </si>
  <si>
    <t>Espacios organizados</t>
  </si>
  <si>
    <t xml:space="preserve">Con la Orden de compra 83842 por $28.146.798, se adquirieron 24 contenedores la cual finalizo el 25 de febrero
</t>
  </si>
  <si>
    <t xml:space="preserve">Se instalados los 24 contenedores el 4 de abril en los talleres: Modeleria, Motores, metalistería, fundición y mantenimiento locativo, con la OT 001 097 del 4 de abril del 2022. </t>
  </si>
  <si>
    <t>Disposición de residuos adecuada (Gestión ambiental)</t>
  </si>
  <si>
    <t>Formatos de entrega de residuos</t>
  </si>
  <si>
    <t xml:space="preserve">Se ha realizado la recolección de los residuos con los gestores contratados por la ETITC: 
Residuos de construcción y demolición.
Chatarra.
Residuos de origen natural.
</t>
  </si>
  <si>
    <t xml:space="preserve">Informe de actividades ejecutadas </t>
  </si>
  <si>
    <t>Se ha realizado la recolección de los residuos con los gestores contratados por la ETITC: 
Residuos de construcción y demolición.
Chatarra.
Residuos de origen natural.</t>
  </si>
  <si>
    <t>PE-25
Diseño e implementación de espacios de "concepto verde" que mejoren la vida académica en las sedes de la ETITC</t>
  </si>
  <si>
    <t>ME-61
Adecuar espacios verdes verticales y horizontales</t>
  </si>
  <si>
    <t>Adecuar espacios verdes verticales y horizontales</t>
  </si>
  <si>
    <t xml:space="preserve">Porcentaje de elaboración del programa de mantenimiento e intervención de los espacios verdes verticales y horizontales
</t>
  </si>
  <si>
    <t xml:space="preserve">A través del Cto- 148 de 2021, se realizo la propuesta de diseño paisajístico de las jardineras en la Sede central.
A través del Contrato 154 de 2022 ($15,750,000), se plantea llevar a cabo las adecuación respectivas. 
Se han realziado actividades de jardineria como: Abono de tierra, clasificación de plantas existentes ($13.490.974).
001074 
001088
</t>
  </si>
  <si>
    <t xml:space="preserve">A través de las ordenes de trabajo:  001184, 001105, 001212, 001241, 001245, 001292 y 001302, se ha realizo el mantenimiento del jardin del la calle 13:
1. Limpieza de residuos organicos de los jardines de la calle 13.
2. Poda de los individuos arboreos
3. Retiro de raices secas
4. Reubicación de las plantas, según el diseño paisajistico.
5. Resane y pintura de las jardineras. 
6. Reacomodación de la tierra y suministro de abono. 
Se realizo la selección y cotización de las plantas a sembrar según el diseño paisajistico ($7.505.000). </t>
  </si>
  <si>
    <t>Fabricación del espacio de residuos bajo un sistema de bioconstrucción para la sede central de la Escuela Tecnológica Instituto Técnico Central</t>
  </si>
  <si>
    <t xml:space="preserve">Porcentaje de ejecución del programa de mantenimiento e intervención de los espacios verdes verticales y horizontales
</t>
  </si>
  <si>
    <t>El proyecto cuenta con el diseñor del espacio de residuos, adicionalmente se estructuran los estudios previos, estudio de mercado.</t>
  </si>
  <si>
    <t xml:space="preserve">Prediseño del espacio </t>
  </si>
  <si>
    <t xml:space="preserve">Se cuenta con el diseño y los estudios previos, adicionalmente se solicito el diseño eléctrico, mismo que esta en elaboración por parte del área de Infraestructruta eléctrica. </t>
  </si>
  <si>
    <t xml:space="preserve">Mantenimiento del invernadero y espacio de piscicultura de la sede central de la etitc. incluye adecuación de la estructura, recubrimiento, instalación de piso, adecuaciones interiores. incluye fabricación e instalación de nuevo módulo de 3mx 3m x 3m con las mismas especificaciones. </t>
  </si>
  <si>
    <t xml:space="preserve">Se han realizado las siguientes actividades de jardineria con el Cto 154 de 2022: 1- Organización y poda del  invernadero y espacio de piscicultura de la sede central de la ETITC. 
Se encuentra en fase de diseño el nuevo modulo para el invernadero a través del Cto- 090 de 2022.
</t>
  </si>
  <si>
    <t xml:space="preserve">Se cuenta con el diseño de la estructura que soportará el nuevo modulo de invernadero el cual debe ser socializado y aprobado por la alta gerencia para inciar el proceso de contratación. </t>
  </si>
  <si>
    <t>PE-26
Actualización de la infraestructura física, cumpliendo normativas aplicables y generando espacios adecuados para el desarrollo de actividades académicas y de bienestar en el marco de la sostenibilidad</t>
  </si>
  <si>
    <t>ME-62
Adelantar el 50% del reforzamiento estructural de la sede principal</t>
  </si>
  <si>
    <t>Prestación de servicios profesionales en arquitectura como apoyo a la gestión del área de planta física de las instalaciones de la escuela tecnológica instituto técnico central para la vigencia 2022</t>
  </si>
  <si>
    <t xml:space="preserve">Porcentaje del reforzamiento estructural obtenido </t>
  </si>
  <si>
    <t>Ejecución Contractual</t>
  </si>
  <si>
    <t>Cto- 004 de 2022 por un valor $52.000.000. Hasta el 30 de noviembre</t>
  </si>
  <si>
    <t xml:space="preserve">El CTO 004 de 2022 se ejecuta con normalidad a la fecha. </t>
  </si>
  <si>
    <t>Prestación de servicios profesionales como apoyo a la gestión del bien interés cultural de la Escuela tecnológica instituto técnico central para la vigencia 2022</t>
  </si>
  <si>
    <t>Através del Cto 008 de 2022 se han realizado las siguientes actividades: Apoyo a la supervisión de obra de mantenimiento para la preservación del inmueble BIC.
2. Elaboración de solicitudes ante el MinCultura.
Seguimiento a la ejecución de los proyectos aprobados por el MinCultura: Mantenimiento y limpieza de la claraboya, intervención del local de transformación, desinfección y fumigación general, reparación de filtraciones de agua por cubierta.</t>
  </si>
  <si>
    <t>El Cto 008 de 2022, se ejecuta con normalidad.</t>
  </si>
  <si>
    <t>Prestación de servicios como apoyo a la gestión del área de planta física como auxiliar de arquitectura de la escuela ETITC</t>
  </si>
  <si>
    <t xml:space="preserve">Se encuentra en ejecución el Cto - 090 de 2022.
1. Elaboración de diseño Arquitectonico de: Sala de informática MAC, oficina para la reubicación temporal de dependencias, nuevo modulo apra el invernadero, diseño para el rincón del docente y administrativo.
2. Apoyo en la elaboración de los formatos  técnicos de baja del mobiliario almaqcenado en la Sede Central y Sede calle 18.
Apoyo en la organización del mobiliario y elementos adquiridos en ordenes de compra. 
</t>
  </si>
  <si>
    <t xml:space="preserve">El Cto 090 de 2022 se ejecuta con normalidad a la fecha. </t>
  </si>
  <si>
    <t xml:space="preserve">Prestación de servicios como apoyo a la gestión para el área de planta física de la ETITC como:
* Jardinero
*Pintor (todas las instalaciones)
*Ebanista y carpintero (todas las sedes)
*Albañil (todas las sedes)
* Fontanero (Todas las instalaciones)
*Ayudante de mantenimiento (Todas las instalaciones)
*Auxiliar de mantenimiento locativo (Todas las instalaciones)
</t>
  </si>
  <si>
    <t xml:space="preserve">*Pintor: Cto- 010 de 2022   (todas las instalaciones)
*Techador: Cto- 011- 2022 (todas las sedes)
*Albañil: Cto 012 de 2022 (todas las sedes)
* Fontanero: 013 de 2022  (Todas las instalaciones)
*Ayudante de mantenimiento: 088 de 2022 (Todas las instalaciones)
*Auxiliar de mantenimiento locativo: 089 de 2022 (Todas las instalaciones)
</t>
  </si>
  <si>
    <t>Actualmente se ejecutan con normalidad los contratos: 
*Pintor: Cto- 010 de 2022   (todas las instalaciones)
*Techador: Cto- 011- 2022 (todas las sedes)
*Albañil: Cto 012 de 2022 (todas las sedes)
* Fontanero: 013 de 2022  (Todas las instalaciones)
*Ayudante de mantenimiento: 088 de 2022 (Todas las instalaciones)
*Auxiliar de mantenimiento locativo: 089 de 2022 (Todas las instalaciones)</t>
  </si>
  <si>
    <t>Prestación de servicios a todo costo para el correcto funcionamiento del sistema de bombeo, lavado de tanques, limpieza de trampa de grasas, desinfección y fumigación de espacios, tratamiento de vectores y tratamiento de hongos en muros de las cuatro sedes de la escuela tecnológica insituto técnico central. incluye mano de obra, materiales, transporte y soporte de emergencia.</t>
  </si>
  <si>
    <t xml:space="preserve">Se cuenta con el estudio previo y se surte el proceso de estudio de mercado. </t>
  </si>
  <si>
    <t xml:space="preserve">Estudio previo </t>
  </si>
  <si>
    <t xml:space="preserve">Teniendo en cuenta que las empresas interesadas no realizan de manera conjunta todas estas actividades, se proyecta realizar dos estudios previos por separado para contemplar las actividades de gestión ambiental y Planta Física. </t>
  </si>
  <si>
    <t>proyecto - plan de eficiencia energetica - realizar la instalación de paneles solares en los bloques f, g y h, sistema conectado a red electrica actual, para el ahorro de energia.</t>
  </si>
  <si>
    <t xml:space="preserve">Esta actividad se proyecta realizar durante el 2° semestre </t>
  </si>
  <si>
    <t>Preguntar a I-E</t>
  </si>
  <si>
    <t>diseño de extracción mecánica para la cocinas y baños de la sede central en cumplimiento de la normativa vigente. incluye trámites y autorizaciones ante las entidades competentes.</t>
  </si>
  <si>
    <t xml:space="preserve">Se encuentra en elaboración el estudio previo y estudio de mercado. </t>
  </si>
  <si>
    <t xml:space="preserve">Se cuenta con los estudios previos y CDP 15722 de 27 de mayo de 2022 por $42.566.300
Los estudios previos se enviaron a la Oficina de Jurídica Contratación para su estructuración; es necesario aclarar que solamente se intervendran las cocinas de la sece central. </t>
  </si>
  <si>
    <t>diseño del proyecto de remodelación de baterías de baños de la sede central. incluye levantamiento de redes, diseño arquitectónico, diseño de redes, especificaciones, presupuesto, cronograma de obra y trámites de aprobación ante entidades competentes.</t>
  </si>
  <si>
    <t>Se encuentra en elaboración de la planimetria arquitectónico de las baterias de los baños. 
Se cuenta con un análisis de cada una de las baterías de baño donde se describe el estado de cada uno de los aparatos, pisos, muros, divisiones metalicas y techos.</t>
  </si>
  <si>
    <t>Remodelación de las baterías de baño existentes de la Sede Central.</t>
  </si>
  <si>
    <t>Prestación de servicios especializados en conservación del patrimonio para realizar la actualización, complementación, actividades complementarias  y aprobación del plan especial de manejo y protección -pemp- de la sede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</si>
  <si>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Se cuenta con los estudios previos; ya se tiene la revsión completa de estos y se esta a la espera de la expedición del CDP.</t>
  </si>
  <si>
    <t>Estudio de análisis estratigráfico del inmueble bien de interés cultural - sede central de la Escuela Tecnológica Instituto Técnico Central</t>
  </si>
  <si>
    <t xml:space="preserve">A la fecha se cuenta con los respectivos estudios previos, CDP N° 16122 y se ejecuta el proceso: IP 033 DE 2022. Se esta en fase de evaluación de las ofertas. </t>
  </si>
  <si>
    <t>Interventoría para la prestación de servicios especializados en conservación del patrimonio para realizar la actualización, complementación, actividades complementarias  y aprobación del plan especial de manejo y protección -pemp- de la sede central de la escuela tecnológica instituto técnico central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</si>
  <si>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 xml:space="preserve">Se encuentra en elaboración el estudio previo y estudio de mercado, se esta a la espea de su revisión con la Oficina de Contratación. </t>
  </si>
  <si>
    <t>Prestación del servicio integral de mantenimiento preventivo, correctivo, y/o intervenciones menores en la sede Central, sede Calle 18, sede Carvajal y sede Tintal, donde la Escuela Tecnológica Instituto Técnico Central presta sus servicios; incluido el suministro del personal mínimo, materiales, equipos, repuestos y accesorios para los bienes muebles e inmuebles y la infraestructura física instalada en los mismos.</t>
  </si>
  <si>
    <t>Se encuentra en elaboración el estudio previo y estudio de mercado</t>
  </si>
  <si>
    <t xml:space="preserve">Se encuentra en elaboración el listado de APUs para ejecutar estos mantenimientos con terceros. </t>
  </si>
  <si>
    <t>Ejecución del Cto- 225 de 2020</t>
  </si>
  <si>
    <t>De acuerdo al plan de pagos se han realizado y entregado los diseños arquitectónicos, estructurales y de redes del Proyecto reforzamiento.
Radicación del proyecto de roforzamiento ante la Curaduría
Seguimiento a la radicación a la Curaduría
Inicio a la elaboración de los Pliegos de condiciones y estudios de mercado para la obra de reforzamiento.</t>
  </si>
  <si>
    <t>Se cuenta con la licencia de contrucción en modalidad de reforzamiento estructural.
El contratista elabora los pliegos de condiciones para la contratación de la obra de reforzamiento.</t>
  </si>
  <si>
    <t>Seguimiento al contrato 225-2020 con el objeto: 	el contratista se compromete con la ETITC a planear, desarrollar y llevar a buen término la gerencia integral del proyecto institucional denominado "proyecto de reforzamiento estructural de la escuela tecnológica instituto técnico central" en las fases señaladas en el anexo técnico</t>
  </si>
  <si>
    <t xml:space="preserve">Ejecución de los Cómite Operativo del reforzamiento Estructural: 25 de enero, 14 de febrero ,23 de marzo.
 </t>
  </si>
  <si>
    <t xml:space="preserve">Ejecución de los Cómite Operativo del reforzamiento Estructural: 11 y 18 de mayo, 17 de junio. </t>
  </si>
  <si>
    <t>ME-63
Construir espacios adecuados para la ubicación del gimnasio y áreas para desarrollo de actividades de bienestar estudiantil, administrativos y docentes</t>
  </si>
  <si>
    <t xml:space="preserve">FABRICACIÓN DEL SISTEMA MODULAR PARA EL GIMNASIO Y ÁREAS DE BIENESTAR.
</t>
  </si>
  <si>
    <t>Número de espacios intervenidos para el desarrollo de actividades de bienestar.</t>
  </si>
  <si>
    <t xml:space="preserve">Actualmente se cuenta con el diseño del sistema modular. </t>
  </si>
  <si>
    <t xml:space="preserve">Diseño del sistema modular </t>
  </si>
  <si>
    <t>Se estructrura el estudio previo y estudio de mercado, con el fin de solicitar el respectivo CDP.</t>
  </si>
  <si>
    <t>REALIZAR LA INTERVENTORÍA INTEGRAL DE LA FABRICACIÓN DEL SISTEMA MODULAR PARA EL GIMNASIO Y ÁREAS DE BIENESTAR.</t>
  </si>
  <si>
    <t xml:space="preserve">Una vez se cuente con la publicación del proceso de contratación para la fablicación del sistema modular esta actividad tendrá lugar a su cumplimiento. </t>
  </si>
  <si>
    <t>ME-64
Contar con un sistema de control de acceso para la sede principal</t>
  </si>
  <si>
    <t>Señalización de los totem</t>
  </si>
  <si>
    <t xml:space="preserve">Porcentaje efectivo de la implementación del sistema de control en las 3 porterias de la sede central </t>
  </si>
  <si>
    <t xml:space="preserve">Esta actividad se ejecuta a través del Cto-359 de 2021. El contratista entrego el diseño de la señaliación, se encuentra en fabricación y se espera a su implementación. </t>
  </si>
  <si>
    <t>Se recibieron las señalizaciones en físico, su instalación se proyecta en el mes de julio.</t>
  </si>
  <si>
    <t>ME-65
Adecuación completa de la sede Calle 18</t>
  </si>
  <si>
    <t>Actividades de mantenimiento en la sede calle 18</t>
  </si>
  <si>
    <t>Adecuar las instalaciones de la sede Calle 18</t>
  </si>
  <si>
    <t xml:space="preserve">Se han realizado las siguientes actividades de mantenimiento locativo:
1. Cambio de llave de la poceta del balo de mujeres en el primer piso
2. Cambio de Chapa del cuarto debajo de las estacaleras del segundo piso.
3. Ajuste de puerta de la casa hacia el exterior.
4. Mantenimiento de los lavamanos portatiles (2)
</t>
  </si>
  <si>
    <t>ME-66
Adaptación progresiva de la planta física para implementar la normativa de movilidad reducida</t>
  </si>
  <si>
    <t>Estudio técnico de seguridad humana y accesibilidad universal en el cumplimiento de la normativa vigente. incluye diseño arquitectónico, estructural, redes y trámites ante entidades competentes.</t>
  </si>
  <si>
    <t xml:space="preserve">Porcentaje de gestión para la implementación de la normatividad de movilidad reducida
</t>
  </si>
  <si>
    <t>Estudios realizados</t>
  </si>
  <si>
    <t xml:space="preserve">Esta actividad se proyecta realizar durante el 2° trimestre </t>
  </si>
  <si>
    <t>Los estudios previos se encuentran en estructuración con la Oficina de Jurídica Contratación y CDP 16922.</t>
  </si>
  <si>
    <t>Implementación del sistema de transporte por escaleras de Personas con movilidad reducida a través de una silla salva escaleras tipo oruga</t>
  </si>
  <si>
    <t xml:space="preserve">
Porcentaje de ejecución de la intervenciones necesarias </t>
  </si>
  <si>
    <t>Asistencia a una capacitación (4 de marzo)
realización del diseño para guardar la silla salva escaleras tipo oruga.
La cabina se fabricará a través del Cto 359 de 2021.</t>
  </si>
  <si>
    <t>Se encuentra en fabricación la cabina donde se guardará la silla salvaescalera tipo oruga, su valor es de $5.831.000</t>
  </si>
  <si>
    <t>ME-67
Optimización de la oferta de parqueaderos en la sede central</t>
  </si>
  <si>
    <t>Adecuación del parqueadero de la call 15</t>
  </si>
  <si>
    <t xml:space="preserve">Porcentaje de espacios intervenidos del área destinada a parqueaderos  </t>
  </si>
  <si>
    <t>Se lleva a cabo el proceso de planeación par la realización de la actividad (cronograma, recursos, responsables)</t>
  </si>
  <si>
    <t>Suministro e instalación de 90 unidades de biciparqueaderos. incluye todos los elementos necesarios para adquirir el sello de calidad del biciparqueadero de la Secretaría de movilidad.</t>
  </si>
  <si>
    <t>Adecuaciones realizadas</t>
  </si>
  <si>
    <t xml:space="preserve">Se lleva a cabo el proceso de estructuración del estudio previo para la realización de esta actividad. </t>
  </si>
  <si>
    <t>ME-68
Gestionar las Dotaciones de las instalaciones y sede principal para la permanencia y aumento de la oferta</t>
  </si>
  <si>
    <t>Proceso de bajas de mobiliario</t>
  </si>
  <si>
    <t>Porcentaje de las dotaciones nueva instaladas y mantenimiento de las dotaciones existentes</t>
  </si>
  <si>
    <t>Proceso ejecutado</t>
  </si>
  <si>
    <t>Se Envió a Almacen del formato de baja de 714 unidades de moviliario entre sillas, pupitres, mesas y archivadores que se encuentran almacenados en la sede Centra.</t>
  </si>
  <si>
    <t>Se realizo en conjunto con almacen el inventario del moviliario del taller de fundición y motores y se envio al área de almacen el inventario de activos fijos para baja el 25 de mayo de 2022 (4 muebles).
El 20 de abril se enviaron las respectivas correcciones del informe de bajas realizado en el 1° trimestre.</t>
  </si>
  <si>
    <t>Modernización de mobiliario</t>
  </si>
  <si>
    <t xml:space="preserve">Organización del mobiliario adquirido de las ordenes de compra 83651, 83653, 83654 y 83650 para los siguientes proyectos: 1. Salas de profesores de 2° y 3° piso, 2. Rincón del docente y administrativo, 3° Oficinas de Autoevaluación, 4° Oficinas de Gestión de Informática y telecomunicaciones, 5° Comedor interior y exterior. </t>
  </si>
  <si>
    <t>A la fecha no se ha identificado la necesidad de compra de mobiliario</t>
  </si>
  <si>
    <t>0E-5- Consolidar la infraestructura física de la Escuela para el desarrollo de la academia y la consolidación
de las nuevas apuestas institucionales.</t>
  </si>
  <si>
    <t>ALMACEN</t>
  </si>
  <si>
    <t>PE-13-Formula e implementar el modelo operativo de administración de inmuebles</t>
  </si>
  <si>
    <t>ME-27-Fortalecimiento a la administración e inmuebles ETITC</t>
  </si>
  <si>
    <t xml:space="preserve">Apoyo  a la gestión </t>
  </si>
  <si>
    <t>Apoyo a la gestión el área almacen (2 contratistas)</t>
  </si>
  <si>
    <t>Porcentaje de inplementaicón del modelo operativo de administración de inmuebles</t>
  </si>
  <si>
    <t>Para la vigencia 2022 se cuenta con 2 contratos por prestación de servicios: 016, 137. (finalizan 15 de diciembre). Valor por $47.733.861.</t>
  </si>
  <si>
    <t xml:space="preserve">Actas de inicio </t>
  </si>
  <si>
    <t>Actualización del Manual de Bienes Muebles</t>
  </si>
  <si>
    <t>Documento actualizado</t>
  </si>
  <si>
    <t xml:space="preserve">Actualmente se realiza la actualización del Manual de Bienes Muebles, se esta a la espera de la revisión por parte de la Vicerrectoría Administrativa y financiera. </t>
  </si>
  <si>
    <t xml:space="preserve">Borrador de Manual actualizado </t>
  </si>
  <si>
    <t>Impresora ZEBRA</t>
  </si>
  <si>
    <t>Equipo adquirido</t>
  </si>
  <si>
    <t xml:space="preserve">Se ha identificado la herramienta en la página colombia compra eficiente, y se adelanta el proceso de estudio técnico con el área de Informática y Comunicación. 
</t>
  </si>
  <si>
    <t>OE-1- Consolidar la calidad académica para la acreditación institucional de alta calidad respaldada fortalecimiento
de la gestión, la infraestructura tecnológica y física.</t>
  </si>
  <si>
    <t>ÁREA ADMINISTRATIVA Y FINANCIERA</t>
  </si>
  <si>
    <t>PE-2- Modelo integral de gestión academico-administrativa por Sistema de Créditos Académicos</t>
  </si>
  <si>
    <t>ME-2- Estructurar e implementar el modelo integral de gestión academico-administrativa por Sistema de Créditos Académicos al 2024.</t>
  </si>
  <si>
    <t>Estructurar e implementar el modelo integral de gestión academico-administrativa por Sistema de Créditos Académicos al 2024.</t>
  </si>
  <si>
    <t>Porcentaje de implementación del sistema académico-administrativo por sistema de créditos académicos</t>
  </si>
  <si>
    <t>GESTIÓN DOCUMENTAL</t>
  </si>
  <si>
    <t>PE-11- Implementación de estrategias de comunicación externas e internas y fortalecimiento de la gestión documental: LA ETITC COMUNICA.</t>
  </si>
  <si>
    <t>ME-22- Implementación del PINAR en cumplimiento a los parámetros establecidos por el Archivo General de la Nación.</t>
  </si>
  <si>
    <t>Actualización y fortalecimiento del SGEDA</t>
  </si>
  <si>
    <t>Prestación de servicios en las actividades de gestión documental de la Escuela Tecnológica Instituto Técnico Central</t>
  </si>
  <si>
    <t>Número de actividades ejecutadas del PINAR</t>
  </si>
  <si>
    <t>Actualmente el proceso de Gestión documental cuenta con 3 contratos de prestación de servicio (Cto-133, 134 y 135 del 2022), dichos contratos tuvieron inicio desde el 31 de enero, se culminaran el 30 de noviembre.</t>
  </si>
  <si>
    <t xml:space="preserve">Actualmente se ejecutan los 3 contratos con normalidad. 2 personas se apoyan el proceso de gestión Documental y 1 al Proceso de Atención al ciudadano. </t>
  </si>
  <si>
    <t>Fabricación e instalación del sistema rodante de archivo con accionamiento mecánico compuesto por 6 carros mecánicos y 2 carros fijos.</t>
  </si>
  <si>
    <t>Sistema de archivo fabricado e instalado</t>
  </si>
  <si>
    <t>Actualmente se encuentra en ejecución la revisión de los estudios previos y actualización de cotizaciones  a lugar</t>
  </si>
  <si>
    <t>Actualmente se cuenta con 26 cuerpos con archivos; es necesario realizar mantenimiento a estos.
Se cuenta con los estudios previos y se proyecta realizar el respectivo ajuste con la Oficina de Jurídica Contratación</t>
  </si>
  <si>
    <t xml:space="preserve">Diseño, implementación y seguimiento de estrategias orientadas a gestionar el ciclo de vida de los documentos electrónicos, con estándares tecnológicos y estándares archivísticos: SGDEA </t>
  </si>
  <si>
    <t>SGDEA diseñado e Implementado</t>
  </si>
  <si>
    <t xml:space="preserve">No se requiere </t>
  </si>
  <si>
    <t>Para la implementación de las estrategias con relación al SGDEA, se hace necesario la usabilidad del software ALFRESCO, mediante el cual se realizaran diferentes pruebas. El líder del proceso cuenta con el usuario y contraseña. 
Se esta a  la espera de aprobación de  las TRD institucionales por parte del AGN (Agosto de 2022).</t>
  </si>
  <si>
    <t xml:space="preserve">Esta actividad sera desarrollada en cabeza del proceso informática y Comunicaciones. </t>
  </si>
  <si>
    <t>Actualización del Sistema Información de Atención al Ciudadano SIAC</t>
  </si>
  <si>
    <t>% del software actualizado</t>
  </si>
  <si>
    <t>Se tienen identificadas las necesidades de actualización desde el Gestión Documental  (parametrización y diseños de informes) en reuniones posteriores se daran a conocer con Informática y comunicaciones, sin embargo este proceso re realizará después de finalizada la Ley de garantías</t>
  </si>
  <si>
    <t xml:space="preserve">Esta actividad sera desarrollada en cabeza del proceso informática y Comunicaciones. 
Sin embargo, las actualizaciones necesarias se han realizado acorde a las necesidades institucionales. 
Se ha realizado: Capacitación en el uso y manejo del SIAC.
Ajuste en los tiempos de respuesta para la atención al ciudadano. </t>
  </si>
  <si>
    <t>Actualización, implementación y seguimiento de los instrumentos archivísticos</t>
  </si>
  <si>
    <t>Número de Instrumentos actualizados e implementados</t>
  </si>
  <si>
    <t xml:space="preserve">Se realizo la revisión y  se actualizó los programas del PGD (4 de 8 programas), una vez finalizado dicho proceso será expuesto ante las instancias necesarias para su aprobación y posterior ejecución (CIGD o CIA). </t>
  </si>
  <si>
    <t>OFICINA DE CONTRATACIÓN</t>
  </si>
  <si>
    <t>Etapas precontractual, contractual y pscontractual.</t>
  </si>
  <si>
    <t xml:space="preserve">Permitir que la ETITC gestione adecuadamente sus compras y contrataciones a través de plataformas electrónicas, lineamientos normativos, documentos estándar, instrumentos de agregación de demanda y técnicas de aprovisionamiento </t>
  </si>
  <si>
    <t>1. Consolidar y publicar el Plan Anual de Adquisiciones, según las necesidades de adquisición de bienes y servicios de la Entidad.</t>
  </si>
  <si>
    <t xml:space="preserve">Se han adelantado los procesos contractuales acorde a las necesidades institucionales y teniendo en cuenta los lineamientos normativos lugar: 169 contratos durante el 1° trimestre de la vigencia. </t>
  </si>
  <si>
    <t>Procesos contractuales</t>
  </si>
  <si>
    <t xml:space="preserve">Fortalecimiento institucional </t>
  </si>
  <si>
    <t xml:space="preserve">Realizar capacitaciones a las áreas frente a las modalidades de contratación, el procedimiento pertinente para cada modalidad y la elaboración de los estudios y documentos previos necesarios para iniciar los procesos contractuales. </t>
  </si>
  <si>
    <t>2. Gestionar las modificaciones del Plan Anual de Adquisiciones con la correspondiente justificación y aprobación de acuerdo con los lineamientos del Manual de Contratación de la ETITC y publicar al menos una modificación a mitad de año.</t>
  </si>
  <si>
    <t>Durante el mes de febrero y marzo, se han realizado Uso de SECOP y Tienda virtual, modalidades de contratación (3).</t>
  </si>
  <si>
    <t xml:space="preserve">Capacitaciones realizadas </t>
  </si>
  <si>
    <t>EOE.-1-Consolidar la calidad académica para la acreditación institucional de alta calidad respaldada fortalecimiento
de la gestión, la infraestructura tecnológica y física</t>
  </si>
  <si>
    <t>TALENTO HUMANO</t>
  </si>
  <si>
    <t>PE-5- MIPG - y los sistemas de gestión para una gobernanza transparente</t>
  </si>
  <si>
    <t>ME-8- Revisión de la  Estructura Organizacional que soporte las nuevas apuestas institucionales</t>
  </si>
  <si>
    <t>Analizar los resultados del contrato suscrito con la UNA
Determinar la oportunidad de diseñar una propuesta para la reestructuración organizacional</t>
  </si>
  <si>
    <t>Propuesta de nueva estructura organizacional presentadas ante las entidades competentes</t>
  </si>
  <si>
    <t>Propuesta elaborada</t>
  </si>
  <si>
    <t xml:space="preserve">Desde la vigencia 2021 se pago un valor por 185.500.000 (Resolución 4114 de 2021), para 44 cargos externos y 9 cargos internos de ascenso.
El documento técnico se encuenta publicado en la página isntitucional y se entrego al nivel directivo, para su análisis y posteriores decisiones. 
Con la Resolución 373 de 2021 se realizo una modificación al manual de funciones, especificamente para los cargos que estarán en concursos durante la vigencia 2022. 
</t>
  </si>
  <si>
    <t>Documento técnico Contrato Universidad Nacioanal</t>
  </si>
  <si>
    <t xml:space="preserve">El análisis de los resultados del estudio técnico se debe realizar desde espacios directivos, sin enbargo, hasta el momento no se ha realizado esta actividad. </t>
  </si>
  <si>
    <t>ME-10- Fortalecer la cultura organizacional como soporte del Desarrollo y mejoramiento del clima organizacional.</t>
  </si>
  <si>
    <t xml:space="preserve">*Plan de  Bienestar laboral                                   *Fortalecimiento del   Clima laboral  teniendo en cuenta  la medición 2021  *Código de integridad,    </t>
  </si>
  <si>
    <t>Porcentaje de apropiación de presupuesto para el pago de plantas de personal</t>
  </si>
  <si>
    <t xml:space="preserve">Plan de Bienestar laboral ejecutado </t>
  </si>
  <si>
    <t xml:space="preserve">*Plan de  Bienestar laboral  y fortalecimiento del clima laboral        
Se han enviado las tarjetas de cumpleaños a los funcionarios durante el 1° trimestre (100).
Sesiones de eucaristia (2)
Taller la Ola 40 (Participaron 12 personas)
Socialización del programa de COMPENSAR.
Se han enviado las respectivas manifestaciones de condolencias (4)
Se socializo el apoyo de salud mental brindado por ARL POSITIVA.
se socializo "6 acciones clave para fortalecernos ante el covid 19" Fortalecimiento emocional.
Se promovio la vacunación de la comunidad educativa.
Conmemoración del día de la mujer (130 personas).
Se ofrecio a los servidores la compensación del tiempo de semana santa.
Celebración del día dehombre. 
Taller "comparte tus tormentas, aprende a controlar tu ansiedad y depresión"
Taller de elaboración de gel antibacterial (11 personas)
*Código de integridad:
Socialización de código de integridad 17 de enero.
</t>
  </si>
  <si>
    <r>
      <t xml:space="preserve">En el marco del Plan de Bienestar Laboral y el fortalecimiento del clima laboral:
26 de abril día de la secretaria, se promovio el Código de Integridad (30 asistentes).
Desde el área de Bienestar Laboraral se realizaron las actividades para la compensación de tiempo 29, 30 de junio y 1° de julio.
Se concedio el 28 de junio como día de la familia. 
Se realizo el reconocimiento el día 8 de mayo (targeta virtual).
11 de mayo feria de servicios, participación de 100 servidores publicos.
13 de mayo día del maestro con 230 participantes.
20 de mayo y 16 de junio actividad física.
23 de junio, se llevo una caminata al serro de Monserrate.
16 de junio se socializo el programa servimos.
postulación de 2 funcionarios para la celebración del día del servidor publico. 
Semana de receso del 21 al 24 de junio, actividades recreativas "Emocionarte con Bienestar", participación de 20 niños.
Actividad de integración y agradecimiento: 
21 docentes IBTI
23 Docentes PES
24 Administrativos.
</t>
    </r>
    <r>
      <rPr>
        <b/>
        <sz val="14"/>
        <rFont val="Calibri"/>
        <family val="2"/>
        <scheme val="minor"/>
      </rPr>
      <t xml:space="preserve">Código de integridad: 
1. </t>
    </r>
    <r>
      <rPr>
        <sz val="14"/>
        <rFont val="Calibri"/>
        <family val="2"/>
        <scheme val="minor"/>
      </rPr>
      <t xml:space="preserve">Se han socializado de manera mensual los valores: Junio, Horestidad
Mayo, respeto. 
Abril, 
2. Día de la secretaria, socialización del código de integridad. 
Se ha avanzado en la construcción de la Plantaforma CAPUS VIRTULA ETITC. Modulo Código de integridad. 
Encuesta "Qué tanto CONOCES DEL Código de Integridad", 87 respuestas. 
</t>
    </r>
  </si>
  <si>
    <t xml:space="preserve">Implementación del Plan de Capacitación   </t>
  </si>
  <si>
    <t xml:space="preserve">Plan de capacitación ejecutado </t>
  </si>
  <si>
    <t xml:space="preserve">Se han realizado:
Modalidades de contratación y SECOP II
Funciones y responsabilidades de supervisores de contrato
Orden y aseo en el espacio de trabajo
Sistema Interno de Aseguramiento de la Calidad de la ETITC. 
Protección de datos personales, escritorio y pantallas limpias.
Políticas de seguridad de recursos Humanos correos sospechosos y como identificarlos.
Inducción de Informática y comunicaciones.
Inducción de seguridad y salud en el trabajo
uso eficiente del agua.
Gestión de residuos programas pos consumo. 23 de marzo.
prevención, violencia y ruta unica de violencia a la mujer. 24 de marzo.
Nuevo código disciplinario y PQRSD.
</t>
  </si>
  <si>
    <t>GTH-F0-05
Formatos de registro de asistencia 
Diligenciados</t>
  </si>
  <si>
    <t xml:space="preserve">Mes de mayo
Actualización de datos SIGEP, 
Replica de conocimiento SIGEP
Replica de conocimiento Gestión Ambiental.
En total se cuentan con 7 replicas de conocimiento.
16 de junio, Socialización de los cursos del MEN 
10 Personas cumplieron con la totalidad de los cursos.
5 personas de manera parcial.
Actualización del curso generentes publicos de los 11 responsables, solo 2 han realizado su actualización. 
Curso de habilidades blandas, se reportaron 10 certificados. 
Se han enviado 15 diplomados, 5 cursos, 3 conversatorios, 3 conferentecias, y 7 personas han 
enviado certificado. 
</t>
  </si>
  <si>
    <t xml:space="preserve">Ejecución de: 
*Plan anula de vacantes    *Plan de Previsión      </t>
  </si>
  <si>
    <t>Planes ejecutados</t>
  </si>
  <si>
    <t xml:space="preserve">Se realizo el proceso de selección de 2 cargos de nivel asistencial (23 y 1° de abril).
Cargo profesional especializado en el área de Bienestar Universitario. 26 de enero. Resolución 47 de 2022
Se vinculo la auxiliar de la Decanatura de Sistemas. 28 de enero. Resolución 48 de 2022/
Auxiliar administrativo de la Decanatura de especializaciones. 28 de enero. Resolución 56 de 2022
Se encuentra en el proceso de proveer los cargos de: profesional especializado del Centrol de lenguas y Auxiliar administrativo de TH.
</t>
  </si>
  <si>
    <t>Resoluciones a lugar</t>
  </si>
  <si>
    <r>
      <rPr>
        <b/>
        <sz val="14"/>
        <rFont val="Calibri"/>
        <family val="2"/>
        <scheme val="minor"/>
      </rPr>
      <t>Plan anula de vacantes:</t>
    </r>
    <r>
      <rPr>
        <sz val="14"/>
        <rFont val="Calibri"/>
        <family val="2"/>
        <scheme val="minor"/>
      </rPr>
      <t xml:space="preserve">
Se estan adelantando procesos para integrar los siguientes cargos: 
Auxiliar administrativo 404415 de las decanaturas 
404408 Auxiliar de Contabilidad 
124123 Técnico administrativo de registro y control 
Profesional grado 13  de nomina. 
Profesional grafo 15 Control interno. 
Se vinculo el profesional especializado 13 del centro de lenguas 202813 a través de la Resolición: 230 de 2022.
El auxiliar de Talento Humano se vinculó a través de la Resolución 228 de 2022.  
Plan de previsión: 
Se desarrolla el PPTH con normalidad. 
Se vinculo el profesional de SST 204411 a través de la Resolución 302 de 2022.  </t>
    </r>
  </si>
  <si>
    <t>OE-2 Fortalecer y potenciar el Talento Humano en las plantas de personal docente y administrativa.</t>
  </si>
  <si>
    <t xml:space="preserve">PE-7 - Consolidacion y aseguamiento del Talento Humano para el mejoramiento de las capacidades en las plantas administrativas y docentes </t>
  </si>
  <si>
    <t>ME-12 - dar continuidad al talento Humano  integral en las plantas administrativas</t>
  </si>
  <si>
    <t>Fortalecimiento y consolidación del Talento Humano</t>
  </si>
  <si>
    <t xml:space="preserve">Verificación el cumplimiento de todas las activides propias del área en compromiso con el Talento humano Institucional </t>
  </si>
  <si>
    <t>recursos apropiados</t>
  </si>
  <si>
    <t>Durante el 1° trimestre se han realizado actividades de acompañamiento a cada área de pendiedo de los planeado dentro del Plan Estrategico de Talento Humano: Nómina, Bienestar laborar, Capacitaciones, Selección y Vinculación, Bonos pencionales y SST.</t>
  </si>
  <si>
    <t>Informes, actas de reunión y reportes en aplicativos estatales</t>
  </si>
  <si>
    <t>Durante el 1° trimestre se han realizado actividades de acompañamiento a cada área de pendiedo de los planeado dentro del Plan Estrategico de Talento Humano: Nómina, Bienestar laborar, Capacitaciones, Selección y Vinculación, Bonos pencionales y SST.
Se proyecta la consolidar informe de gestión del 1° semestre vigencia 2022.</t>
  </si>
  <si>
    <t>ME-13- Presentar ante las instancias competentes la solicitud y cumplimiento de requistos para el desarrollo de los procesos meritocraticos de las plantas Administrativas.</t>
  </si>
  <si>
    <t>Identificación de las vacantes  internas y externas para la planeación del concurso administrativo y docente
53 vacantes reportadas al SIMO para el inicio del Concurso Administrativo</t>
  </si>
  <si>
    <t>Porcentaje de requisitos cumplidos</t>
  </si>
  <si>
    <t xml:space="preserve">Desde la vigencia 2021 se pago un valor por 185.500.000 (Resolución 4114 de 2021), para 44 cargos externos y 9 cargos internos de ascenso.
El documento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</si>
  <si>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 xml:space="preserve">Las 53 vacantes se encuentran reportadas en SIMO, estas varia de acuerdo a las situaciones institucionales (vacantes por pensión).
Desde la vigencia 2021 se pago un valor por 185.500.000 (Resolución 4114 de 2021), para 44 cargos externos y 9 cargos internos de ascenso, la ETITC se encuentra a la espera de la respuesta para adelantar el concurso. 
 </t>
  </si>
  <si>
    <t>ME-14- Adelantar los proceso meritocraticos de la planta docente</t>
  </si>
  <si>
    <t xml:space="preserve">Selección y vinculación  por merito  de 4 docentes de educación superior de Tiempo Completo  y 20 de Medio tiempo </t>
  </si>
  <si>
    <t>Porcentaje de cumplimiento del proceso meritocrático de la planta docente</t>
  </si>
  <si>
    <t>Procesos de vinculación ejecutados</t>
  </si>
  <si>
    <t xml:space="preserve">La Escuela Suscribio un contrato Inter administrativo cuyo objeto es "Prestar los servios de acompañamiento para la implementación y desarrollo del concurso profesoral 2021, para proveeer  4 docentes de educación superior de Tiempo Completo  y 20 de Medio tiempo".
Dicho contrato dio inicio el 17 de enero del 2022, se realizó la parametrización en el aplicativo OTUS, se elaboró el cronograma del concurso, diseño de perfiles, se publicó la convocatoría, se publico la cartilla guia al aspirante para el proceso de inscripción, se llevaron a cabo las inscripciones y se verificaron los documentos de inscrpción. 
</t>
  </si>
  <si>
    <t>Cronograma del concuros docente</t>
  </si>
  <si>
    <t xml:space="preserve">El concurso para la planta docente finalizo el 10 de junio, se presentaron 92 aspirantes, de los cuales solo 7 cumplian requisitos legales y  ninguno logro continuar el proceso de selección.
El concurso de Merito constaba de 7 cargos de tiempo completo y 17 de medio tiempo.   </t>
  </si>
  <si>
    <t>Informe final Cto interadministrativo 341 de 2021</t>
  </si>
  <si>
    <t>PE-8- Estructuración de la carrera docente</t>
  </si>
  <si>
    <t xml:space="preserve">ME-15- Organizar e implementar el sistema  de plan de carrera docente </t>
  </si>
  <si>
    <t xml:space="preserve">Organizar e implementar el sistema  de plan de carrera docente </t>
  </si>
  <si>
    <t>Porcentaje del plan de carrera docente implementado</t>
  </si>
  <si>
    <t>Plan de Carrera Docente estructurado e implementado</t>
  </si>
  <si>
    <t>Actualmente se encuentra en ejecución el Plan de Formación, Capacitación y Actualización Docente, este se ecuentra vigente hasta la presente vigencia.  Durante el 2022 se proyecta estructurar el plan de carrera de los profesores PES.</t>
  </si>
  <si>
    <t xml:space="preserve">PREGUNTAR VICERRECTOR ACÁDEMICO </t>
  </si>
  <si>
    <t>OE-1-Consolidar la calidad académica para la acreditación institucional de alta calidad respaldada fortalecimiento 
de la gestión, la infraestructura tecnológica y física.</t>
  </si>
  <si>
    <t>ME-12- Dar continuidad al talento humano integral en las plantas de personal.</t>
  </si>
  <si>
    <t xml:space="preserve">Diagnóstico de  condiciones saludables ETITC </t>
  </si>
  <si>
    <t>Examenes médicos ocupacionales de ingreso, periódicos y de egreso</t>
  </si>
  <si>
    <t xml:space="preserve">Ejecución de examenes medicos a todo el personal </t>
  </si>
  <si>
    <t>El proceso para llevar a cabo esta actividad se encuentra publicado en SECOP, este proceso incluye el diagnóstico de condiciones de salud y profesiograma. IP 018- 2022. $ 18.000.000</t>
  </si>
  <si>
    <t>Proceso SECOP IP 018- 2022</t>
  </si>
  <si>
    <t>El proceso se encuentra adjudicado con la empresa Unimsalud (172 de 2022), por un valor de 
Se han realizado 3 de egreso.</t>
  </si>
  <si>
    <t xml:space="preserve">Diagnóstico condiciones de Salud </t>
  </si>
  <si>
    <t xml:space="preserve">Informe Diagnostico  condiciones de Salud  </t>
  </si>
  <si>
    <t>La actividad se ejecuta de manera conjunta</t>
  </si>
  <si>
    <t>El proceso para llevar a cabo esta actividad se encuentra publicado en SECOP, este proceso incluye el diagnóstico de condiciones de salud y profesiograma. IP 018- 2022</t>
  </si>
  <si>
    <t xml:space="preserve">El proceso se encuentra adjudicado con la empresa Umnisalud.
</t>
  </si>
  <si>
    <t xml:space="preserve">Definición de profesiogramas  </t>
  </si>
  <si>
    <t>Creacióndeprofesiogramas conforme cargos y necesidades ETITC</t>
  </si>
  <si>
    <t xml:space="preserve">Semana de la salud:
Programa estilos de vida y PVE ergonómico </t>
  </si>
  <si>
    <t xml:space="preserve">Capacitaciones y actividades de estilos de vida y trabajo saludable </t>
  </si>
  <si>
    <t xml:space="preserve">Esta actividad se llevará a cabo durante el 2°semestre de la vigencia. </t>
  </si>
  <si>
    <t xml:space="preserve">Esta actividad aún no ha tenido avance, durante el 2° trimestre. </t>
  </si>
  <si>
    <t xml:space="preserve">Aplicación bateria de riesgo psicosocial </t>
  </si>
  <si>
    <t>Medicion de riesgo psicosocial ETITC</t>
  </si>
  <si>
    <t xml:space="preserve">Esta actividad se llevará a cabo durante el 2° trimestre de la vigencia. Actualmente se cuenta con los estudiantes previos. </t>
  </si>
  <si>
    <t xml:space="preserve">Apoyo técnico seguridad y salud en el trabajo </t>
  </si>
  <si>
    <t>Gestion en implementación SGSST</t>
  </si>
  <si>
    <t>Auditoria interna certificada SGSST</t>
  </si>
  <si>
    <t xml:space="preserve">Informe de auditoria y plan de acción </t>
  </si>
  <si>
    <t>Esta actividad esta proyectada a realizar en el mes de octubre</t>
  </si>
  <si>
    <t xml:space="preserve">AMBIENTAL: UN ACUERDO POR Y PARA LA VIDA EN CONTEXTO </t>
  </si>
  <si>
    <t>OE-10-Establecer un nuevo acuerdo ambiental mediante una 
política institucional ambiental y la catedra institucional 
en la ETITC</t>
  </si>
  <si>
    <t xml:space="preserve">PE-26 Actualización de la infraestructura fisica cumpliendo normativas aplicables y generando espacios adecuados para el desarrollo de actividades académicas y de bienestar en el marco de la sostenibilidad </t>
  </si>
  <si>
    <t xml:space="preserve">ME- 68  Gestionar las dotaciones de las instalaciones y sede principal para la permanencia y aumento de la oferta </t>
  </si>
  <si>
    <t>Ejecución de actividades para el aseguramiento del SGSST</t>
  </si>
  <si>
    <t>Mantenimiento y recarga extintores (VIGENCIA HASTA DICIEMBRE - 2022)</t>
  </si>
  <si>
    <t>Porcentaje de las dotaciones nueva instalada y mantenimiento de las dotaciones existentes</t>
  </si>
  <si>
    <t xml:space="preserve">Extintores recargados y aptos para su uso </t>
  </si>
  <si>
    <t>Suministro de botiquines (VIGENCIA HASTA DICIEMBRE - 2022)</t>
  </si>
  <si>
    <t xml:space="preserve">Dotacion total de botiquines </t>
  </si>
  <si>
    <t xml:space="preserve">Kits de derrames y capacitación en uso </t>
  </si>
  <si>
    <t xml:space="preserve">Dotacion de  kits de derrames y capacitación en uso </t>
  </si>
  <si>
    <t xml:space="preserve">Adquisición de equipos capacita y mediciones higienicas ocupacionales </t>
  </si>
  <si>
    <t xml:space="preserve">Adquisicion de equipos capacitacion personal y medición en ambientes </t>
  </si>
  <si>
    <t>Se cuentan con los estudios previos y estudio  de mercado, el proceso se proyecto realizar durante el mes de mayo.</t>
  </si>
  <si>
    <t xml:space="preserve">Compra y suministro de elementos de protección personal </t>
  </si>
  <si>
    <t xml:space="preserve">Dotacion elementos de protección personal  </t>
  </si>
  <si>
    <t xml:space="preserve">Se cuenta con el borrador de los estudios previos. El proceso se proyecta llevar a cabo en junio de la presente vigencia. </t>
  </si>
  <si>
    <t xml:space="preserve">Implementación Sistema globalmente Armonizado y Rotulación y etiquetado sustancias químicas </t>
  </si>
  <si>
    <t>Sistema globalmente armonizado ETITC</t>
  </si>
  <si>
    <t>Implementación de medidas de protección para trabajo seguro en alturas</t>
  </si>
  <si>
    <t>dotacion medidas de proteccion TSA</t>
  </si>
  <si>
    <t xml:space="preserve">* Formación en trabajo seguro en alturas </t>
  </si>
  <si>
    <t>actualizacion cursos TSA</t>
  </si>
  <si>
    <t>Verificación y certificación equipos de alturas</t>
  </si>
  <si>
    <t>Verificacion y recertificacion TSA</t>
  </si>
  <si>
    <t>OE-3-Fortalecer el ecosistema de funcionalidades digitales para la gestión y el desarrollo de la actividad
misional mediante el uso de las TIC.</t>
  </si>
  <si>
    <t>INFORMÁTICA Y COMUNICACIONES</t>
  </si>
  <si>
    <t>PE-9- Tecnologías de información y comunicaciones al servicio de la academia y la ciencia</t>
  </si>
  <si>
    <t>ME-18- Incorporar elementos de tecnología a los talleres, laboratorios y aulas para enseñanza remota sincrónica en modalidad de alternancia</t>
  </si>
  <si>
    <t>Prestación de servicios para apoyar las actividades propas del área de informática y comunicaciones.</t>
  </si>
  <si>
    <t>Porcentaje de talleres y aulas habilitados con conexión remota.</t>
  </si>
  <si>
    <t>Para la vigencia 2022 se realizaron 9 contratos por prestación de servicios: 023, 024, 025, 026, 027, 110, 111, 161, 162. ($ 244.313.413)</t>
  </si>
  <si>
    <t xml:space="preserve">Avtas de inicio </t>
  </si>
  <si>
    <t xml:space="preserve">Los contratos 023, 024, 025, 026, 027, 110, 111, 161, 162 se ejecutan con normalidad. </t>
  </si>
  <si>
    <t xml:space="preserve">Actas de inicio y ejecución de matriz de trabajo </t>
  </si>
  <si>
    <t>Renovación y capacitación del software Flexsim (fecha de vencimiento:29/10/2022 )</t>
  </si>
  <si>
    <t>Licencia de Sofware renovada</t>
  </si>
  <si>
    <t>Esta actividad se realizara durante el segundo semestre de la vigecia.</t>
  </si>
  <si>
    <t>Renovación software ISLonline y 400 licencias de antivirus Eset  (fecha de vencimiento: 10/08/2022 )</t>
  </si>
  <si>
    <t xml:space="preserve">ACTIVIDAD DE SEGURIDAD DIGITAL </t>
  </si>
  <si>
    <t xml:space="preserve">Se dio inicio a la estructuración de los estudios previos y estudio de mercado. </t>
  </si>
  <si>
    <t>Renovación software Automation Studio (fecha de vencimiento:22/04/2022)</t>
  </si>
  <si>
    <t>Se cuenta con los estudios previos y se solicitó el CDP</t>
  </si>
  <si>
    <t xml:space="preserve">El software Automation Studio fue adquirido a través de la resolución 198 de 2022, se recibieron 15 licencias por parte de la empresa CASIBER LTDA y estas se encuentran instaladas en la sede Central. </t>
  </si>
  <si>
    <t>Renovación software Safetica DLP, ISL  y  Deslock (fecha de vencimiento: )</t>
  </si>
  <si>
    <t>Renovación software Simapro (fecha de vencimiento: (09-2022 )</t>
  </si>
  <si>
    <t>Se proyecta comenzar el proceso de estructuración de estudios previos en el mes de agosto.</t>
  </si>
  <si>
    <t>Renovación software rextore (fecha de vencimiento:  30/09/2021)</t>
  </si>
  <si>
    <t>Esta actividad se relizará durante el 2 trimestre de la vigencia</t>
  </si>
  <si>
    <t>Renovación Licenciamiento  Open Value Subscription for Education Solutions (Campus Agreement) (fecha de vencimiento: 23/10/2022)</t>
  </si>
  <si>
    <t>Se proyecta comenzar el proceso de estructuración de estudios previos en el mes de septiembre.</t>
  </si>
  <si>
    <t>Renovación software Solidworks (fecha de vencimiento: 15/07/2022)</t>
  </si>
  <si>
    <t>Se encuentra en proceso de contratación IP 0038 2022.</t>
  </si>
  <si>
    <t>SECOP</t>
  </si>
  <si>
    <t>Renovación soporte plataforma Gnosoft (fecha de vencimiento:28/10/2022 )</t>
  </si>
  <si>
    <t>Renovación soporte Plataforma Gnosoft investigación (fecha de vencimiento:16/12/2022 )</t>
  </si>
  <si>
    <t>Renovación Software Enterprise Architect (Fecha de vencimiento: 20/04/2022)</t>
  </si>
  <si>
    <t>Se cuenta con los estudios previos y se solicito el CDP</t>
  </si>
  <si>
    <t xml:space="preserve">El software Enterprise Architec fue adquirido a través de la Resolución 199 DEL 20 de abril de 2022, se recibieron 30 licencias por parte de la empresa SOLUS SA y estas se encuentran instaladas en la sede Central. </t>
  </si>
  <si>
    <t xml:space="preserve">Acto administrativo </t>
  </si>
  <si>
    <t>Renovación "4 licencias de Adobe Cloud + Adobe Sign Enterprise Transactional
Transacciones Anuales 1.500 + 2 Adobe DC pro" (Fecha de vencimiento: 22/10/2022)</t>
  </si>
  <si>
    <t>Renovación soporte y actualizacion SIAC (fecha de vencimiento: 01/12/2022)</t>
  </si>
  <si>
    <t xml:space="preserve">Soporte realizado </t>
  </si>
  <si>
    <t xml:space="preserve">Se estructuro el estudio previo y se encuentra en proceso de aprobación por parte de la Vicerrectoría Administrativa y Financiera. </t>
  </si>
  <si>
    <t>Adquisición de herramienta para firma electrónica Adobe Sign Enterprise Transacciones Anuales 1.500 + 1 Adobe DC pro</t>
  </si>
  <si>
    <t>Heramienta adquirida</t>
  </si>
  <si>
    <t xml:space="preserve">La estructuración de estudios previos se proyecta para le mes de julio. </t>
  </si>
  <si>
    <t>Adquisición de herramienta para backups en la nube de One Drive</t>
  </si>
  <si>
    <t xml:space="preserve">Actualmente el proceso se encuentra en estudio de mercado, para determinar la viabilidad del proceso contractual. </t>
  </si>
  <si>
    <t xml:space="preserve">estudio de mercado </t>
  </si>
  <si>
    <t>Insumos de mantenimiento portatiles dañados + elementos para soporte y mantenimiento</t>
  </si>
  <si>
    <t xml:space="preserve">Insumos y mantenimiento adquiridos </t>
  </si>
  <si>
    <t>Los estudios previos se encuentran en proceso de estructuración junto al estudio de mercado.</t>
  </si>
  <si>
    <t>Borrador estudios previos</t>
  </si>
  <si>
    <t>Instalación de un (1) canal de internet dedicado 1024 MB y  dos (2) MPLS 256 GB uno (1) de doce (12) MB para las sedes. Fecha de vencimiento (09-2022)</t>
  </si>
  <si>
    <t>Canal de internet instalado</t>
  </si>
  <si>
    <t>Esta actividad se relizará durante el 2 semestre de la vigencia</t>
  </si>
  <si>
    <t xml:space="preserve">El proceso se adelanta a través de un Acuerdo Marco en SECOP. Se ha adelantado la estructuración archivo simulador con el fin de determinar el valor extacto y la viabilidad del proceso. </t>
  </si>
  <si>
    <t>Estructuración del archivo simulador</t>
  </si>
  <si>
    <t xml:space="preserve">ME-17- Adecuar las capacidades tecnológicas para atender las necesidades de los procesos misionales </t>
  </si>
  <si>
    <t>Adquisición e implementación del sistema de Gestión Académica SGA</t>
  </si>
  <si>
    <t>implementación del sistema de Gestión Académica SGA</t>
  </si>
  <si>
    <t>Esta actividad se relizará durante el 2 semestre de la vigencia, toda vez que se esta a la espera del concepto del Comité de Infraestructura Tecnológica</t>
  </si>
  <si>
    <t>Implementación de IPV6</t>
  </si>
  <si>
    <t>Protocolo IPV6 implementado</t>
  </si>
  <si>
    <t xml:space="preserve">Se realizo el inventario infraestructura Tecnológica LACNIC, con esta entidad se adelanta el proceso de direccionamiento.  </t>
  </si>
  <si>
    <t>Soporte de los sistemas de información: siparc, rusia,sigaf y siac</t>
  </si>
  <si>
    <t>siparc, rusia, koha, sigaf y siac con soporte</t>
  </si>
  <si>
    <t xml:space="preserve">Esta actividad esta en evaluación por tema de priorización de recursos </t>
  </si>
  <si>
    <t xml:space="preserve">El soporte general a los sistemas de información se esta realizando a través del CTO- 024 - 2022. </t>
  </si>
  <si>
    <t>Acta de inicio, matriz de trabajo mensual</t>
  </si>
  <si>
    <t>Ejecutar las actividades propias de la adecuación de infraestructura tecnológica en la ETITC</t>
  </si>
  <si>
    <t xml:space="preserve">Instalaciones adecuadas </t>
  </si>
  <si>
    <t>$ 308.245.757.12</t>
  </si>
  <si>
    <t xml:space="preserve">A través del Cto 344 de 2021, se actualiza la infraestructura del WIFI institucional. Dicho contrato presenta una adición por $ 308.245.757.12. La ejecución se realizará hasta el 22 de mayo de la presente vigencia. (Valor total $1.157.720.960,12)
A través Cto 350 de 2021 se realiza la actualización de la infraestructura LAN. Finaliza el 22 de mayo de la vigencia. $ 414.102.014
</t>
  </si>
  <si>
    <t>Informes de avance del contrato</t>
  </si>
  <si>
    <t>308.245.757.12</t>
  </si>
  <si>
    <t>Acta de inicio</t>
  </si>
  <si>
    <t>RENOVACIÓN DEL PLAN DE ACTUALIZACIÓN Y SOPORTE PARA EL SOFTWARE MANTUM CMMS+ED DURANTE UN (1) AÑO PARA EL APOYO A LAS ÁREAS DE LA GESTIÓN DE LA ESCUELA TECNOLÓGICA INSTITUTO TÉCNICO CENTRAL (ETITC).</t>
  </si>
  <si>
    <t>Se cuenta con los estudios previos y se solicito el CDP.</t>
  </si>
  <si>
    <t>ME-19- Implementar un modelo estratégico para impulsar la evolución digital de la ETITC, plasmado en el PETI.</t>
  </si>
  <si>
    <t>Actualización del modelo estrategico en el PETI</t>
  </si>
  <si>
    <t>Porcentaje de implementación de modelo estratégico en el PETI.</t>
  </si>
  <si>
    <t>PETI actualizado</t>
  </si>
  <si>
    <t xml:space="preserve">Se cuentan con los estudios previos y estudios de mercado. Se proyecta obtener la aprobación del Comité de Infraestructura Tecnológica en su próxima sesión. </t>
  </si>
  <si>
    <t xml:space="preserve">El proceso se encuentra en evaluación por área de Jurídica Contratación, se aprobo el CDP  15722. Se proyecta su publicación durante la 3° semana de julio.
</t>
  </si>
  <si>
    <t xml:space="preserve">Estudios previos y CDP aprobado </t>
  </si>
  <si>
    <t>ME-20- Cumplimiento del 100% la Política de Gobierno Digital para 2021.</t>
  </si>
  <si>
    <t xml:space="preserve">Estructurar las actividades estrategicamente con la política de gobierno digital </t>
  </si>
  <si>
    <t>Porcentaje de implementación de la Política de Gobierno Digital</t>
  </si>
  <si>
    <t>Política implementada</t>
  </si>
  <si>
    <t xml:space="preserve">Esta actividad se proyecta realizar de manera mancomunada con diferentes áreas de la institución. 
Con relación a la política de Cero papel, ya se establecion el Comité respectivo; el pasado 1° de abril, se realizo la primera sesión (diagnóstico de consumo de papel, herramientas como impresoras, con el fin de moderar su uso). </t>
  </si>
  <si>
    <t>Acta de reunión.</t>
  </si>
  <si>
    <t>Parte de las actividades consignadas en la política de Gobierno digital se incluyen el la actualización del PETI.
Con la actualización de este plan estratégico se pretende llevar a cabo proyectos de cara a los componentes del la política (TIC para el estado, Tic para el Ciudadano).</t>
  </si>
  <si>
    <t>VICERRECTORÍA ACADÉMICA</t>
  </si>
  <si>
    <t>INSTITUTO DE BACHILLERATO TÉCNICO INDUSTRIAL</t>
  </si>
  <si>
    <t>ME-16- Centro de Atención al Docente del IBTI "La ETITC un lugar para todos."</t>
  </si>
  <si>
    <t>Fase de diseño del CAD - Implementación</t>
  </si>
  <si>
    <t xml:space="preserve"> Centro de atención que permita mejorar la condiciones laborales, la calidad de vida y la estadía de los docentes del IBTI en la Escuela.</t>
  </si>
  <si>
    <t>Número de docentes del IBTI  que se benefician del centro de atención / Total de docentes del IBTI *100</t>
  </si>
  <si>
    <t>CAD Diseñado e implementado</t>
  </si>
  <si>
    <t>Durante el 1° trimestre de la vigencia se consolidaron las actividades que se desarrollaran al interior del proyecto Centro de atención al docente del IBTI:
1. Diagnóstico de las principales necesidades laborales, familiares, emocionales y sociales presentan los docentes del IBTI.
2. Identificación de aquellas necesidades más comunes y repetitivas manifestada por los docentes.
3. Tab/ulación y organización de la información suministrada.
4. Análisis de la información.
5. Presentación teórica.
6. Estrategias y herramientas para la implementación del Centro de Atención al Docente (CAD).
Dicha informacións será relevante para desarrollar los siguientes puntos con relación al proyecto: 
1. Antecedentes.
2. Problemática.
3. Marco Referencial.
4. Metodología de Investigación.
5. Futurización.
6. Proyección y planeación. ´
7. Gestión de recursos.
Se proyecta para le 26 de abril se proyecta presentar el proyecto ante el Consejo Académico del IBTI.</t>
  </si>
  <si>
    <t xml:space="preserve">Documento Centro de atención al docente IBTI </t>
  </si>
  <si>
    <t xml:space="preserve">Con relación al Centro Docente se ha adelantado: 
Estructuración de espacio
Servicios de Centro de Atención al Docente: 8 servicios a ofrecer, 1.un coordinador de dicha Oficina.2Servicio de Psicologia.3. Servicio de asesoría jurídica 4.Espacio físico 5. Equipo de eventos y celebraciones 6. Servicio de Asesoria 7 . Asesoria Laboral .8. Salud ocupacional Capacitación y estimulos-
Se establecio un esquema de acción por fases de estudio: 1. Identificación de porblematica, 2. Prevalencia, causa y consecuencia, Diseño y ejecución del programa 4. Evaluación de la propuesta.
El rincón de maestro se adapto con la finalidad de crear un espacio en el que los docentes tengas esparcimiento (Celebraciones, Actividades psicopedagógicos, capacitaciones)
</t>
  </si>
  <si>
    <t>Lo Social: Un acuerdo para lo fundamental</t>
  </si>
  <si>
    <t>OE-6-Aumentar la cobertura mediante programas de educación superior diferenciados, con alta
pertinencia regional de la institución.</t>
  </si>
  <si>
    <t>PE-15- El IBTI y su papel significativo en la consolidación de la Escuela</t>
  </si>
  <si>
    <t>ME-33 Promover la estrategia de Articulación `de tu escuela a mi escuela y a mi Universidad`</t>
  </si>
  <si>
    <t>Implementación y seguimiento</t>
  </si>
  <si>
    <t>Seguimiento y trazabilidad de los estudiantes admitidos a 6 grado 2022</t>
  </si>
  <si>
    <t>Número de estudiantes vinculados en la vigencia / 1300 * 100</t>
  </si>
  <si>
    <t>Seguimiento a estudiantes admitidos realizado</t>
  </si>
  <si>
    <t>1130 Estudiantes matriculados en el IBTI</t>
  </si>
  <si>
    <t xml:space="preserve">Realizando un compartivo del ingreso de los estudiantes durante las vigencia 2022 (273) y 2021 (200), lo cual nos permite ver un aumento en el número de los estudiantes. </t>
  </si>
  <si>
    <t>Plataforma Gnosoft</t>
  </si>
  <si>
    <t>https://etitc.edu.co/archives/circular102022.pdf</t>
  </si>
  <si>
    <t xml:space="preserve">Proceso de Admisiones para conseguir el posicionamiento de la meta del proyecto </t>
  </si>
  <si>
    <t>Proceso de admisión ejecutado</t>
  </si>
  <si>
    <t>El proceso de admisiones durante el 2021 se realizo en un 100%, para el 2022 el proceso comienza en el mes de agosto. 
Esta actividad se plante realizar durante el 2° semestre.</t>
  </si>
  <si>
    <t xml:space="preserve">Esta actividad se realiza durante el 3° trimestre de la vigencia, toda vez que esta se encuentra sujeta al cronograma académico: Incripciones de Del 9 de agosto al 10 de septiembre,
25 de septiembre se realiza la prueba de conocimiento, 6 de octubre docuemntos de aspirantes, 9 de noviembre   </t>
  </si>
  <si>
    <t xml:space="preserve">Acompañamiento  a los estudiantes que desean seguir en los PES en su proceso de continuidad academica grado 11 </t>
  </si>
  <si>
    <t>Acompañamiento relizado</t>
  </si>
  <si>
    <t xml:space="preserve">Actualmente se encuentran cinco (5) estudiantes en los programas PES, graduados de 11: 3 vigencia 2020, y 2 vigencia 2021. El acompañamiento se realiza a partir de la valoración de asignaturas a homologar; esto a través de los acuerdo 006 y 007 de 2017. </t>
  </si>
  <si>
    <t>Acuerdos 006 y 007 de 2017</t>
  </si>
  <si>
    <t>ME-32 Fortalecer el modelo educativo del IBTI que permita aumentar la cobertura, la permanencia y continuidad de la institución.</t>
  </si>
  <si>
    <t>Fase de evaluación y reestructuración del PEI</t>
  </si>
  <si>
    <t>% avance del PEI</t>
  </si>
  <si>
    <t>PEI reestructurado</t>
  </si>
  <si>
    <t>Para fortalecer la formación docente en evaluación para los aprendizajes y el diseño de preguntas tipo Saber.
Se realizó una capacitación con la entidad TRES EDITORES, con el fin de mejorar en la presentación de las pruebas externas; el Taller Habilidade de pensamiento fue realizado el 19 de enero, contó con la participación de 94 docentes.
Se cuenta con un cronograma de capacitaciones.
Por otra parte, en un ejercicio comparativo se analiza un aumento de 1042 estudiantes en el 2021 a 1134 estudiantes en el 2022 (aumento del 8%).</t>
  </si>
  <si>
    <t>Grabación de la capacitación realizada. 
Cronogramade capacitaciones ralizadas.</t>
  </si>
  <si>
    <t xml:space="preserve"> ME-31- Fortalecer el proceso de articulación y/o integración entre las IEM (Instituciones de Educación Media) y la ETITC.</t>
  </si>
  <si>
    <t>Fortalecer el proceso de articulación y/o integración entre las IEM (Instituciones de Educación Media) y la ETITC.</t>
  </si>
  <si>
    <t>Porcentaje de egresados del IBTI que ingresan a PES de la ETITC.</t>
  </si>
  <si>
    <t>Información de las metricas entregadas</t>
  </si>
  <si>
    <t>OE-7 Implementar programas y acciones para asegurar la permanencia de los estudiantes.</t>
  </si>
  <si>
    <t>BIENESTAR UNIVERSITARIO</t>
  </si>
  <si>
    <t>PE-16- Desarrollo integral y transformación social de la comunidad: bienestar comprometido con la permanencia</t>
  </si>
  <si>
    <t>ME-37- Implementar el Centro de Refuerzo Especializado Académico (CREA).</t>
  </si>
  <si>
    <t>Implementación 
(SICOLOGÍA)</t>
  </si>
  <si>
    <t>1. Acompañamiento integral y en procesos de aprendizaje</t>
  </si>
  <si>
    <t>Número de estudiantes de los ciclos propedéuticos atendidos en el CREA / Total de estudiantes matriculados en los ciclos propedéuticos * 100</t>
  </si>
  <si>
    <t xml:space="preserve">Acompañamiento realizado </t>
  </si>
  <si>
    <t>35 estudiantes atendidos en los servicios de entrenamiento y/o  asesoría individual. con una dedicación semanal de hasta 2 horas.</t>
  </si>
  <si>
    <t>https://itceduco-my.sharepoint.com/:f:/g/personal/psicologia_itc_edu_co/EorFXOKDWrhOnWAgY-c7pUwBMheF_fT_rKD1LWEOHo7LAQ?e=UYcvib</t>
  </si>
  <si>
    <t>https://itceduco-my.sharepoint.com/:f:/g/personal/bienestaruniversitario_itc_edu_co/EqIvDl7bUxFJi_tQkXPEnBUBdqfUW5mv-nOTBaOg6F3CRw?e=hZrQIg</t>
  </si>
  <si>
    <t>2. Caracterización de la población estudiantil en procesos de aprendizaje</t>
  </si>
  <si>
    <t xml:space="preserve">Caraterización de la población realizada </t>
  </si>
  <si>
    <t>Se aplicó el instrumento diagnóstico a los estudiantes nuevos durante la inducción (24 y 27 de enero), aplicaron 361. Informe de caracterización en procesos de aprendizaje</t>
  </si>
  <si>
    <t xml:space="preserve">El test sobre procesos de aprendizaje se aplica 1 vez al semestre. </t>
  </si>
  <si>
    <t>3. Implementación de estrategias para el fortalecimiento de los procesos de aprendizaje</t>
  </si>
  <si>
    <t>Estrategias realizadas</t>
  </si>
  <si>
    <t>1. Diseño y publicación de neurotips, a através de las redes sociales, todos los lunes de cada mes.
2. Maqueteado del espacio para CREA con el portafolio de servicios, el cual hará parte de la pestaña de servicios en la página institucioanl. Se entregó a comunicacjiones a la espera de ser cargado a la misma.
3. Webinar "Tardes de Café", el cual se realiza una vez al mes, se inició Ccon el tema "LA LITERATURA UN ESPEJO DE TINTA" , se transmitió por el fb insititucional el día 10 de marzo, cuenta con 658 reproducciones.
4. Taller en procesos lógico- matemáticos el día
5. Diseño y publicación del lecto-tips, los cuales están listos para ser publicados por la oficina de comunicaciones ( se compartirán 4 por mes, los días viernes)</t>
  </si>
  <si>
    <t>1. Pubicación de Neurotips (12)
2, Publicación lectotips (12)
3, Estructuración, diseño y publicación del portafolio de servicios de CREA en el sitio web institucional.
4, Campaña de gimnasia cerebral aplicada  a 29 estudiantes.
5, Talleres sobre procesos de atención,  lógicomatemáticos  y lenguaje corporal y empleabilidad" con la participación de 50 estudiantes.
6. Campaña "Hablemos de Inclusión",  actividad masiva que se llevó a cabo con participación del grupo musical de la ETITC, aproximadamente participaron  91 personas.
7. Taller para los docentes de bachillerato "Clases cerebralmente amigables", con la participación de 57 profesores y 5 directivos docentes.
8. Webinar "tardes de café", en donde se abordaron los siguientes temas "El lenguaje y las matemáticas", "qué es el éxito", con un total de 1058 reproducciones.</t>
  </si>
  <si>
    <t>https://itceduco-my.sharepoint.com/personal/psicologia_itc_edu_co/_layouts/15/onedrive.aspx?id=%2Fpersonal%2Fpsicologia%5Fitc%5Fedu%5Fco%2FDocuments%2F2022%2FPLANEACI%C3%93N%2FSEGUNDO%20TRIMESTRE%2FCREA&amp;ga=1</t>
  </si>
  <si>
    <t>4. Investigación y proyecto sobre adaptación a la vida universitaria</t>
  </si>
  <si>
    <t xml:space="preserve">Proyecto escrito </t>
  </si>
  <si>
    <t>1. Diseño y aplicación de la encuesta de percepción de los estudiantes de la ETITC en cuanto a su proceso de adaptación universitaria, actualmente se está aplicando con cierre al 29 de abril, a la fecha la han respondido 274 estudiantes.</t>
  </si>
  <si>
    <t>https://itceduco-my.sharepoint.com/:f:/g/personal/psicologia_itc_edu_co/EgWiZIFTl-5FnfUig8YZoiYBY5AhsLUmPcL3fPyr5BJc-g?e=uEOqGu</t>
  </si>
  <si>
    <t>ME-36- Implementar el  Banco de electivas de Bienestar Universitario y la Cátedra ETITC</t>
  </si>
  <si>
    <t xml:space="preserve">Implementación 
</t>
  </si>
  <si>
    <t>Diplomados (8),  cursos (1) y conferencias</t>
  </si>
  <si>
    <t>Número de electivas aprobadas en la vigencia / 3 *100</t>
  </si>
  <si>
    <t>Diplomados,  cursos y conferencias realizados</t>
  </si>
  <si>
    <t>A la fecha se han estruturado y ofertado 5 diplamados: 
1. Educación financiera y Neworking, con 26 asistentes semanales
2. Empleabilidad y emprendimiento, con la participación de 12 estudiantes 
3.Periodismo y novela, con la participación de 9 estudiantes.
4. Lectura crítica y creación literaria, con la participación de 17 estudiantes
5. Curso de innovación social, con la participación de 130 personas, estudiantes y egresados.
Los diplomados tienen una duración semanal de 2 horas, con una duración promedio de 16 semanas. 
6. Taller junto con la oficina de egresados "Cómo ser competitivos en el mundo laboral", con la asistencia de 17 estudiantes, se llevó a cabo el viernes 
7. Se han estructurado las electivas de artes y deportes, así mismo en acompañamiento para la presentación de la prueba saber pro y T y T</t>
  </si>
  <si>
    <t>A la fecha se han estruturado y ofertado 5 diplamados: 
1. Educación financiera y Neworking, con 26 asistentes semanales
2. Empleabilidad y emprendimiento, con la participación de 12 estudiantes 
3.Periodismo y novela, con la participación de 9 estudiantes.
4. Lectura crítica y creación literaria, con la participación de 17 estudiantes
5. Curso de innovación social, con la participación de 130 personas, estudiantes y egresados.
Los diplomados tienen una duración semanal de 2 horas, con una duración promedio de 16 semanas. 
6. Se han estructurado las electivas de artes y deportes, así mismo en acompañamiento para la presentación de la prueba saber pro y T y T
Los diplomados ya finalizaron y están en proceso para certificación</t>
  </si>
  <si>
    <t>https://itceduco-my.sharepoint.com/:f:/g/personal/psicologia_itc_edu_co/Eqn9xc3uW85CmY79OXo0WxkBd350ucdydH30bzEVsNPXXg?e=6pS4Lf</t>
  </si>
  <si>
    <t>ME-35 Formular e implementar el registro único de seguimiento de información y acompañamiento (RUSIA) de la comunidad educativa de la institución</t>
  </si>
  <si>
    <t>Diseño
(SICOLOGÍA)</t>
  </si>
  <si>
    <t>Identificación tiempos de procedimiento y responsables de seguimiento</t>
  </si>
  <si>
    <t>Estudiantes registrados en Rusia durante la vigencia / 3600 * 100</t>
  </si>
  <si>
    <t>Seguimientos realizados
(PFC)</t>
  </si>
  <si>
    <t>1.200 estudiantes registrados en RUSIA</t>
  </si>
  <si>
    <t>Tanto el valor como la implementaciòn y ejecución de este contrato no se ha llevado a cabo puesto que corresponde a la fase 3 que se implementará una vez finalice ley de garantías y se pueda realizar la formalización del contrato.</t>
  </si>
  <si>
    <t>A la fecha se han enviado tanto los EP de la fase 3 del proyecto RUSIA como de la fase 4 en espera del inicio del proceso de contratación - ENVIADOS 8 DE JUNIO</t>
  </si>
  <si>
    <t>https://itceduco-my.sharepoint.com/:b:/g/personal/bienestaruniversitario_itc_edu_co/EYhUID-hSS9OnSIa7xzgGAwBxFlROH8Bv_xjjBFEhtMiiA?e=vquiWv</t>
  </si>
  <si>
    <t xml:space="preserve">4. Definición estrategias de mitigación sobre riesgos y poblaciones encontradas  </t>
  </si>
  <si>
    <t>Estrategias definidas</t>
  </si>
  <si>
    <t>Identificación de perfiles de impacto  y reporte de impacto</t>
  </si>
  <si>
    <t>Reportes realizados</t>
  </si>
  <si>
    <t>Identificación alertas tempranas - riesgos asociados a la deserción</t>
  </si>
  <si>
    <t>alertas tempranas generadas</t>
  </si>
  <si>
    <t>ppto vigencia anterior - cto 215-2020
48.483.218</t>
  </si>
  <si>
    <t>600 estudiantes con alertas identificadas</t>
  </si>
  <si>
    <t>A la fecha se han actualizado las 675 alertas asociadas tempranas asociadas a la caracterización estudiantil aplicada a los 675 estudiantes PES</t>
  </si>
  <si>
    <t>ID ALERTAS TEMPRANAS ESTUDIANTES PES.pdf</t>
  </si>
  <si>
    <t>Al finalizar el mes de junio se identificaron 1583 alertas tempranas asociadas a la caracterización estudiantil aplicada a los estudiantes PES</t>
  </si>
  <si>
    <t>https://itceduco-my.sharepoint.com/:b:/g/personal/bienestaruniversitario_itc_edu_co/EexQGHd2m-VDhIgJY_X_LRsBRS_R2OV7B5qqJEPwHxAGzg?e=VYtjQM</t>
  </si>
  <si>
    <t>Caracterización Estudiantil PES</t>
  </si>
  <si>
    <t>Caracterización realizada</t>
  </si>
  <si>
    <t>A la fecha se han realizado 675 caracterizaciones que incluyen estudiantes nuevos y antiguos de los PES y especializaciones activos para el periodo 2022-1</t>
  </si>
  <si>
    <t>CARACTERIZACIONES ESTUDIANTES PES 1ER TRIMESTRE - PROYECTO RUSIA.pdf</t>
  </si>
  <si>
    <t>Al finalizar el mes de junio se aplicó el intrumento de caracterización estudiantil a  1587 estudiantes PES activos en el periodo 2022-1</t>
  </si>
  <si>
    <t>https://itceduco-my.sharepoint.com/:b:/g/personal/bienestaruniversitario_itc_edu_co/ER9GE4X25MNMoJ6ltMl5SqYBuxOvzpNYcK-7XGEZya2MfQ?e=xP7oPb</t>
  </si>
  <si>
    <t>Integración con academusoft</t>
  </si>
  <si>
    <t>Sistema academusoft integrado</t>
  </si>
  <si>
    <t>ppto vigencia anterior - cto -297-2021
59.979.332</t>
  </si>
  <si>
    <t xml:space="preserve">A la fecha se realizó la integración completa del sistema academnusoft con Adviser </t>
  </si>
  <si>
    <t>integración ADVISER -ACADEMNUSOFT -PROYECTO RUSIA.pdf</t>
  </si>
  <si>
    <t>Actividad finalizada el primer tirmestre de 2022</t>
  </si>
  <si>
    <t>identificación alertas académicas (primer, segundo y tercer corte)</t>
  </si>
  <si>
    <t>alertas académicas identificadas</t>
  </si>
  <si>
    <t>2000 estudiantes con alertas académicas identificadas por corte Primer periodo</t>
  </si>
  <si>
    <t>2000 estudiantes con alertas académicas identificadas por corte segundo periodo</t>
  </si>
  <si>
    <t>A la fecha se reportan 2413 estudiantes con alertas académicas para primer corte (7-11 marzo)</t>
  </si>
  <si>
    <t>ID ALERTAS ACADÉMICAS PES 1ER CORTE.pdf</t>
  </si>
  <si>
    <t>A la fecha se han actualizado las alertas académicas de segundo y tercer corte de los estudiantes PES</t>
  </si>
  <si>
    <t>ME-34- Fortalecer el Programa de Atencion Básica Ampliada.</t>
  </si>
  <si>
    <t>Seguimiento y evaluación</t>
  </si>
  <si>
    <t>Dar continuidad a los servicios de Bienestar univiersitario</t>
  </si>
  <si>
    <t>Número de participantes en servicios de bienestar / Total de integrantes de la comunidad educativa * 100</t>
  </si>
  <si>
    <t>Servicios ofertados</t>
  </si>
  <si>
    <t>Proceso de inducciòn 2022-1: 256 estudiantes promedio dìa, esta actividad se hace una por semestre</t>
  </si>
  <si>
    <t>https://itceduco-my.sharepoint.com/:x:/g/personal/psicologia1_itc_edu_co/Eba6EukQQfJGk8lcRw0e3sABh7W7fCJTCkPvD8Yc6EcIGQ?e=05D3Mc</t>
  </si>
  <si>
    <t xml:space="preserve">Durante el 2° trimestre no se ha realizado esta actividad. </t>
  </si>
  <si>
    <t>Implementación 
(DEPORTES)</t>
  </si>
  <si>
    <t xml:space="preserve">CAMPETITC:
Torneos SUE
Torneos externos
carreras atleticas
caminatas
Deportes Extremos
inscripciones gimnasio
</t>
  </si>
  <si>
    <t xml:space="preserve">Actividades desarrolladas </t>
  </si>
  <si>
    <t>1. Se han realizado en total 202 inscripciones al gimnasio. 2.Torneo de ping pong 28 participantes. 3.Torneo de ping pong carvajal 20 participantes. 3. Se realizaron cotizaciones para la media maraton de bogota. 4. se programo torneo de pulso para el 25 de abril y campeonate 3x3 de veleibol amistoso el 23 de abril.</t>
  </si>
  <si>
    <t xml:space="preserve">Torneos SUE:                                                                                     1. Participación en la competencia Duatolon SUE, con la participacion de 10 estudiantes el dia 26 de mayo.                  2.Participacion en el torneo de tenis de mesa con la participacion de 16 estudinates de PES el dia 4 de junio.           
Carreras atleticas:                                                                            1. se inicio proceso de inscripcion el dia 23 de junio y para realizara el proceso administrativo para el pago de la competecia en la media maraton de bogota.
Caminatas:                                                                                        1. se realizo lo programacion de la caminata al cerro de mnserrate el dia 23 de junio para docentes y administrativos con la inscripcion de 16 participantes, no se puedo realizar por malas condiciones climaticas.
Inscripciones gimnasio:                                                                 Se realizo en total 233 inscripciones hasta el 15 de junio.       Torneos internos:                                                                            1. se realizo el torneo de futbol tenis en la sede centro con una participación en total de 38 estudiantes el dia 12 de mayo. este mismo torneo se realizo en UDP carvajal con la participacion de 20 estudiantes el dia 25 de mayo.                    2. se ralizo en torneo de rana el la sede centro el dia 26 de mayo con una participacion de 34 estudiantes de pes, este mismos torneo se realizo en la UDP el dia 18 de mayo con una participacion de 18 estudiantes.                                           3. se realizo el dia 9 de junio el torneo de potencia de pecho en el gimnasio con una particiapacion de 20 estudiantes de pes.                                                                                                    4. se realizo el torneo relampago de cierre de semestre de tenis de mesa el dia 13 de junio con una participacion de 24 estudiantes de pes.                                                          </t>
  </si>
  <si>
    <t>https://bit.ly/3v7TnSe</t>
  </si>
  <si>
    <t>LA ETITC VISACAVI:
Pausas activas
Conferencias
Material Deportivo
Mantenimiento Gimnasio</t>
  </si>
  <si>
    <t>Durante el trimeste se han beneficciado 257 estudinates del prestamo de material deportivo en la sede de centro y la sede de carvajal 63. 2. En rutinas peronalizas 85 personas.  3. En entrenaminetos personalizados 10 de la sede carvajal. 4. Se realizo estudios previo para la compra de material deportivo, se encuentran en la vice academica.</t>
  </si>
  <si>
    <t>Pausas activas:                                                                                 1. se realizo como pausa activas para el área de servicios generales aerobicos el dia 22 de junio con la participacion de 10 personas.
Conferencias:                                                                                    2. se realizo una tertulia de entranamineto funcional con estudiantes del programa de mecatrónica el día 2 de mayo. 
Material Deportivo:                                                                         1. el total de usuarios atendios fue de 460 hasta el 15 de junio.
Mantenimiento Gimnasio:                                                              1. Se solicito apoyo a el area de mantenimineto e infraestrucctura electrica para intalacion de 2 televisores, iluminacion para la carpa del gym y un modem de wifi para el gimnasio, a el area de mantenimineto, instalacion de 2 vidrio en la pueta y la ofocina del gimnasio, arreglo de la puerta principal por la plataforma mantun.                               2. Se realizo la compra de 3 mesas de ping pong.</t>
  </si>
  <si>
    <t>Implementación 
(ENFERMERIA)</t>
  </si>
  <si>
    <t>1. Disminuir los factores de riesgo en salud de la comunidad educativa mediante programas, campañas y talleres para mejorar su calidad de vida.</t>
  </si>
  <si>
    <t>Programas, talleres y capacitaciones realizadas</t>
  </si>
  <si>
    <t xml:space="preserve">Se realizaron una serie de campañas a toda la comunidad educativa: capacitación en primer respondiente a 17 administrativos, campaña de donación de sangre con un total de 120 personas, taller de hábitos de vida saludable 100 asistentes, Campaña Cuidado del Riesgo Cardiovascular 41 administrativos, Campaña Sexo con Sentido 64, Taller sobre alimentación saludable 68, Talleres en promoción de la salud y prevención de la enfermedad 35 asistentes. </t>
  </si>
  <si>
    <t>https://itceduco-my.sharepoint.com/:f:/g/personal/enfermeria_itc_edu_co/EtGPza4yuGpKr40RoAK_n5QBZiwrY2GL3dtoBA0-VWJ08Q?e=vzopH6</t>
  </si>
  <si>
    <t>Se realizaron una serie de campañas a toda la comunidad educativa:  
1. Taller de hábitos de vida saludable 19 asistentes.
2. Campaña Cuidado del Riesgo Cardiovascular 107 asistentes. 
3. Campaña para la prevención del consumo de sustancias psicoactivas con una participación de 207. 
4. Se atendieron 55 valoraciones físicas preactividad deportiva.</t>
  </si>
  <si>
    <t>https://itceduco-my.sharepoint.com/personal/enfermeria_itc_edu_co/_layouts/15/onedrive.aspx?id=%2Fpersonal%2Fenfermeria%5Fitc%5Fedu%5Fco%2FDocuments%2FATENCI%C3%93N%20EN%20SALUD%20PES%202022%2FPLAN%20DE%20ACCI%C3%93N%2FSEGUNDO%20TRIMESTRE&amp;ga=1</t>
  </si>
  <si>
    <t>2. Promover la salud y prevenir la enfermedad a través de estrategias de acompañamiento individual como colectivo</t>
  </si>
  <si>
    <t>Acompañamientos realizados</t>
  </si>
  <si>
    <t>Se realizaron 24 atenciones individuales en el servicio de enfermería de la sede central y 5 en la sede Carvajal, se atendieron 202 valoraciones físicas preactividad deportiva.</t>
  </si>
  <si>
    <t>Por confirmar</t>
  </si>
  <si>
    <t>Se realizaron 69 atenciones individuales en el servicio de enfermería de la sede central, 45 en la sede tintal y  5 en la sede Carvajal.</t>
  </si>
  <si>
    <t>Implementación 
(PASTORAL)</t>
  </si>
  <si>
    <t>Formación Espiritual y personal.</t>
  </si>
  <si>
    <t>Actividades realizadas</t>
  </si>
  <si>
    <t xml:space="preserve">Eucaristías: 
825 participantes. 
Reflexiones semanales: 
1876 correos enviados, 
Acompañamiento Espiritual 88 entre estudiantes y administrativos,
Taller OLA 40: 186 personas que realizaron el taller
</t>
  </si>
  <si>
    <t>Eucaristías: 
125 participantes. 
Reflexiones semanales: 
1876 correos enviados, 
Acompañamiento Espiritual 88 entre estudiantes y administrativos.
Caminata Eco-espiritual: Se reprograma por dificultades climáticas.</t>
  </si>
  <si>
    <t>https://itceduco-my.sharepoint.com/:w:/g/personal/pastoralpes_itc_edu_co/EYVuo3z81htAgo-9BvKNYuABTuN9kAaDEY_FzRmUXvYxKw?e=CfB5r6</t>
  </si>
  <si>
    <t>Subsidio de alimentación.</t>
  </si>
  <si>
    <t xml:space="preserve">se entregaron 200 servicios y se apoya a 189 estudiantes. </t>
  </si>
  <si>
    <t xml:space="preserve">Se entregaron 212 estudiantes diarios y se apoya a 6444 servicios.
Se han entregado 100 mercados.
Se han entregado 200 refrigerios en Carvajal  y Tintal 70 refrigerios  de manera semanal. 
La institución subsidia todo el servicio </t>
  </si>
  <si>
    <t>https://forms.office.com/Pages/DesignPageV2.aspx?subpage=design&amp;FormId=RtBfSWTYZ0ae6FBnl2TYNAD89WLqL4JAgWFtXVM6CClUM0NCUFBNT0NEUUVVUVBBQ00xT0dPMjBJQS4u&amp;Token=cd510f6a7cc84b87858bb150f7eba1ae</t>
  </si>
  <si>
    <t xml:space="preserve">Fiestas Lasallistas </t>
  </si>
  <si>
    <t>Se realiza actividad con toda la institución y se hace presentación cultural para la comunidad, estudiantes 350, 15 docentes y 20 administrativos
Celebración día del maestro (12 de junio), 155 docentes asistentes.</t>
  </si>
  <si>
    <t>https://itceduco-my.sharepoint.com/:f:/g/personal/pastoralpes_itc_edu_co/EvhGo8GMYLZImhav6eutNhwBFqpHFao5ip8fhQKGm29xZw?e=CyqrdI</t>
  </si>
  <si>
    <t>Filantropía.</t>
  </si>
  <si>
    <t xml:space="preserve">Se apoya a 12 estudiantes con mercados y apoyo económico </t>
  </si>
  <si>
    <t>https://itceduco-my.sharepoint.com/:w:/g/personal/pastoralpes_itc_edu_co/ESmT9kC79ixBoX0VuZHwRaIB_xCvyZFOQbwEWofwJ6Ayew?e=aIlzzx</t>
  </si>
  <si>
    <t>Ejecución 
(SICOLOGÍA)</t>
  </si>
  <si>
    <t>Proyecto de Salud Mental, líneas;
1. Docentes, Consecuentemente
2. Estudiantes, Sanamente</t>
  </si>
  <si>
    <t>1. Consecuentemente
Esta es la línea para maestros, se han diseñado 7 estrategias de salud mental que incluye, podcast (el cual se publicó por redes insitucionales el día lunes 24 de abril), catilla, infografía, 2 foros, conversatorio.  este material está para ser enviado a comunicaciones para realizar la respectiva carga en la página institucional.
En el mes de enero se aplicó un instrumento de salud mental a docentes con una participación de 58 y se elaboró el informe de caracterización de esta población
2. Sanamente
Línea para estudiantes, dentro del marco de la celebración de la semana de la salud Física y emocional se llevaron a cabo estategias para el fortalecimiento de la salud mental a través de una actividad masiva en conjunto con las áreas de enfermería y artes.
En la actualidad está diseñado el instrumento de caracterización, el cual se encuentra en revisión para aplicación en el mes de mayo.
3. Metelemente
Diseño de encuesta de necesidades a estudiantes, la respondieron 26 personas y de allí se definieron los temas a trabajar en el programa.
Se realizó reestructuración del espacio y se fijó cronograma de trabajo, la primera emisión se llevará a cabo el día 6  de mayo</t>
  </si>
  <si>
    <t>1. Consecuentemente
Esta es la línea para maestros, se han diseñado 5 estrategias de salud mental que incluye, podcast, folleto, póster, quiz y foro.  Este material está para ser enviado a comunicaciones para realizar la respectiva carga en la página institucional.                                                                                                                  2. Sanamente
Se realiza diseño de instrumento de caracterización en salud mental para estudiantes, el cual se aplicará en julio en proceso de inducción. 
Se aplica la estrategia "Viernes de sanamente" la cual es publicada en las redes sociales de la ETITC, de la cual se han publicado cuatro estrategias:
- Infografía: "¿Que es bienestar psicológico?
- Tik Tok:  hábitos de vida saludable
- Podcast: Mindfulness  
- Video: Capsulas para la inclusión los saludos.                                                                          3. Métele mente
Se  llevan a cabo cuatro programas "Métele Mente" que se transmiten en vivo a través del fb institucional , con 2367 reproducciones en total.
- Hablando de salud mental en la ETITC
- Hablemos de depresión
- Estrés y sus estrategias de abordaje
- Hablemos del duelo. 
4. Kennedy sin trabas
Se inicia un trabajo con la alcaldia de Kennedy que busca la prevención y manejo de consumo de SPA, asi como el fortalecimiento de la salud mental en las unidades de desarrollo de programas, en esta actividad participaron 150 estudiantes entre la escuela y la universidad pedagogica sede tintal.</t>
  </si>
  <si>
    <t>https://itceduco-my.sharepoint.com/personal/psicologia_itc_edu_co/_layouts/15/onedrive.aspx?id=%2Fpersonal%2Fpsicologia%5Fitc%5Fedu%5Fco%2FDocuments%2F2022%2FPLANEACI%C3%93N%2FSEGUNDO%20TRIMESTRE%2FSALUD%20MENTAL&amp;ga=1</t>
  </si>
  <si>
    <t>Proyecto "Yo me quiero, yo me cuido, yo decido bien"</t>
  </si>
  <si>
    <t>Proyecto ejecutado</t>
  </si>
  <si>
    <t>1. El lanzamiento del proyecto y socialización a la comunidad educativa, se realizará en el segundo semestre del año de esta actividad</t>
  </si>
  <si>
    <t>Seguimiento ACADEMICO estudiantes</t>
  </si>
  <si>
    <t xml:space="preserve">seguimiento académico a los estudiantes: 
1. Convenio SED
287 (se realiza a través de grupo de WhatsApp y correo electrónico)
2. EBRA
220 se realiza a través de la plataforma academusoft
- Estrategias diseñadas y compartidas por correo, se envían a todos los estudiantes matriculados de la ETITC, a través del correo electrónico, a la fecha se han diseñado y compartido 4, se realizan 2 por mes.
3. Monitorías
A la fecha 29 estudiantes han tomado el servicio a través de los 8 monitores que se encuentran activos.
</t>
  </si>
  <si>
    <t>seguimiento académico a los estudiantes: 
1. Convenio SED
287 (se realiza a través de grupo de WhatsApp y correo electrónico)
2. EBRA
220 se realiza a través de la plataforma academusoft
- Estrategias diseñadas y compartidas por correo, se envían a todos los estudiantes matriculados de la ETITC, a través del correo electrónico, a la fecha se han diseñado y compartido 4, se realizan 2 por mes.
3. Monitorías
A la fecha 29 estudiantes han tomado el servicio a través de los 8 monitores que se encuentran activos.</t>
  </si>
  <si>
    <t>https://itceduco-my.sharepoint.com/:f:/g/personal/psicologia_itc_edu_co/Eu-0aIegVYROt75_1FR2SYABjKwc84iikTtEad5H866Asw?e=KwyWna</t>
  </si>
  <si>
    <t>1. Acompañamiento individual;  atención en crisis, proceso de segumiento</t>
  </si>
  <si>
    <t>A la fecha se están atiendo 83 estudiantes de las sedes Centro, Tintal y Carvajal. Por ser información confidencial no se adjunto evidencia, el cargue se realiza en el sistema adviser.</t>
  </si>
  <si>
    <t>Durante el segundo trimestre se realizó acompañamiento a 56 personas entre estudiantes, docentes, administrativos de las sedes Centro, Tintal y Carvajal. Por ser información confidencial no se adjunto evidencia, el cargue se realiza en el sistema adviser.</t>
  </si>
  <si>
    <t>Ejecución
(ARTES)</t>
  </si>
  <si>
    <t>Proyecto La Cultura Somos Todos</t>
  </si>
  <si>
    <t>Se cuenta con 40 estudiantes 
15 en guitarra
10 Trabajo Vocal
3 Bajo eléctrico
1 Contrabajo
1 Violoncello
1 Contrabajo
2 Violín
10 Teclado
Docentes 3
2 guitarra
1 teclado
Administrativos 1
trabajo vocal</t>
  </si>
  <si>
    <t>https://itceduco-my.sharepoint.com/:f:/g/personal/musica_itc_edu_co/EipnNE1uGOpGish1xXBStYYBqcY_L-Nim3Whgku8SIM0Dw?e=NWMoFt</t>
  </si>
  <si>
    <t xml:space="preserve">e cuenta con 40 estudiantes 
15 en guitarra
10 Trabajo Vocal
3 Bajo eléctrico
1 Contrabajo
1 Violoncello
1 Contrabajo
2 Violín
10 Teclado
Docentes 3
2 guitarra
1 teclado
Administrativos 1
trabajo vocal
1. Video tik tok de difusión de actividades.
</t>
  </si>
  <si>
    <t>https://itceduco-my.sharepoint.com/:f:/g/personal/musica_itc_edu_co/Es_VkyHfeLhNoLZE7Vy58ScBJN-6kkeCtz5gqxKmDI1CuQ?e=6dhn9f   https://itceduco-my.sharepoint.com/:f:/g/personal/musica_itc_edu_co/EqnMrexJk2REmjx7JpHj2nIBjoxCZ7Z_VyD_YjykiBdiRQ?e=YAbDvD</t>
  </si>
  <si>
    <t>Apoyo actividades Institucionales</t>
  </si>
  <si>
    <t xml:space="preserve">2 eucaristias 
1 acompañamiento actividad imposición ceniza 
1 eucaristia bienvenida 
1 de febrero 
administrativos 20
sistemas 1
electromecànica 2
dibujo mecànico 1
ingenieria 1
total 25
2 de marzo 
estudiantes 710
docentes 40
administrativos 60
total 810 </t>
  </si>
  <si>
    <t>1. Apoyo acompañamiento musical ceremonia grados PES.
1000 participantes.
2. Apoyo actividad otras áreas reconciliación memoria, paz y justicia.
60 participantes. 
3. Acompañamiento musical SONÉTITC día del maestro.
302 Participantes.
4. Acompañamiento musical SONÉTIC iclusión mayo 
48 participantes.
5. Acompañamiento musical SONÉTITC inclusión junio.
110 participantes.
6. Eucaristia 
30 participantes. 
7. Actividades vacacionales
25 participantes.</t>
  </si>
  <si>
    <t>https://itceduco-my.sharepoint.com/:f:/g/personal/musica_itc_edu_co/Eub8R4lN5ZZOq-OquxdZlzwBNcNQueBCieEkprLW4k76og?e=Q4WBEw    https://itceduco-my.sharepoint.com/:f:/g/personal/musica_itc_edu_co/Es_VkyHfeLhNoLZE7Vy58ScBJN-6kkeCtz5gqxKmDI1CuQ?e=sNc7tc</t>
  </si>
  <si>
    <t>Gestión Cultural</t>
  </si>
  <si>
    <t>Gestiones realizadas</t>
  </si>
  <si>
    <t>4 agrupaciones musicales para la semana de la salud como eje transversal 
1 grupo danza urbana lunes  28 de marzo tintal
administrativos 5
docentes 4
estudiantes 150
total 159
1 grupo fusiòn llanera martes 29 de marzo carvajal
administrativos 6
docentes 6
estudiantes 60
total 72
1 grupo de teatro miercoles 30 marzo sede centro
administrativos 65
docentes 30
estudiantes 500
total 595
1 grupo danza y musica jueves 31 de marzo sede centro
administrativos 10
docentes 10
estudiantes 300
total 320</t>
  </si>
  <si>
    <t>https://itceduco-my.sharepoint.com/:f:/g/personal/musica_itc_edu_co/EseavQq2979Kq6wid0adFNcBphQdTGfxZCqKa0TlTZ6-1A?e=hZY9pV</t>
  </si>
  <si>
    <t xml:space="preserve">1. Gestión grupo danza urbana actividad alimenta tu bienestar.
450 Participantes. 
2. Gestión artistas formadores IDARTES actividades vacacionales.
2. Profesores en áreas artìsticas para talleres de 4 días de dos horas cada uno. 
2. Talleres artísticos para actividades vacacionales. 
     1. de artes plasticas
     1. de creación literaria 
</t>
  </si>
  <si>
    <t>https://itceduco-my.sharepoint.com/:f:/g/personal/musica_itc_edu_co/EoO0NEEyY9BIs_tq0LdgM-UBpb-C958nrqI3FEohINXShA?e=dLY7rg  https://itceduco-my.sharepoint.com/:f:/g/personal/musica_itc_edu_co/EnoXaxDZuRpIipXop_vqZ4IBD8Ft2PKT3B8xQsD_t4Vs2w?e=PWx2b9</t>
  </si>
  <si>
    <t>Ejecución
(TRABAJO SOCIAL)</t>
  </si>
  <si>
    <t>Proyecto Inclusión Educativa, Intercultural y de Género Para la Comunidad de Educación Superior de La ETITC “Inclúyeme" - Componente Diversidad Sexual y de género</t>
  </si>
  <si>
    <t xml:space="preserve">A la fecha se han llevado a cabo las siguientes acciones:
1. DIAGNÓSTICO PARTICIPATIVO DIVERSIDAD DE GÉNERO - 29-mar – 64 ESTUDIANTES PES
2. CONMEMORACIÓN DIA INTERNACIONAL DE LA MUJER - 8-mar – 141 ADMIN PES
3. CONMEMORACIÓN DIA DEL HOMBRE – 25-mar – 283 ADMIN PES
4. TALLER ID VIOLENCIAS Y RUTA DE ATENCIÓN DISTRITAL PARA CASOS VIOLENCIA CONTRA LA MUJER - 24-mar – 38 ADMINISTRATIVOS
5. ENCUENTRO VIRTUAL MUJERES ETITC - 4-mar -  4 DOCENTES ESTUDIANTES PES
</t>
  </si>
  <si>
    <t>https://itceduco-my.sharepoint.com/:f:/g/personal/bienestaruniversitario_itc_edu_co/Er9XSfgiSRdBuM8BurGbQWcB5hMTZ4CQF5nIhVSGOlzS7w?e=V7exz8</t>
  </si>
  <si>
    <t xml:space="preserve">A la fecha se han llevado a cabo las siguientes acciones:
• ZONA CENTRO - MUJERES EN LA INGENIERÍA -30-abr 58 participantes
• SOCIALIZACIÓN PROTOCOLO VBG - 19-abr al 4-may - 154 participantes
• INSTITUCIÓN AL DIA - FERIA DE SERVICIOS ETITC DIVERSA- 4-may -883 (REPRODUCCIONES)
• FERIA DE SERVICIOS ETITC DIVERSA - 12-may -  50 participantes
</t>
  </si>
  <si>
    <t>https://itceduco-my.sharepoint.com/:f:/g/personal/bienestaruniversitario_itc_edu_co/Eghz4lpwwPFAgyP1ZNuLjLgBVCjZ-punMQHXr_HjpQiNSw?e=kQSed1</t>
  </si>
  <si>
    <t>Proyecto Inclusión Educativa, Intercultural y de Género Para la Comunidad de Educación Superior de La ETITC “Inclúyeme" - Componente Discapacidad y Diversidad Intercultural</t>
  </si>
  <si>
    <t>A la fecha se han llevado a cabo las siguientes acciones:
1. CAPACITACIÒN ORUGA SALVAESCALERAS - 4-mar – 7 PARTICIPANTES ADMIN-ESTUDIANTES PES
2. CONSTRUCCIÓN POLÍTICA DE INCLUSIÓN</t>
  </si>
  <si>
    <t>A la fecha se han llevado a cabo las siguientes acciones:
• CAMPAÑA DE INCLUSIÓN PONTE EN MODO IN DISCAP MOTORA Y COGNITIVA - 24 may -  26 participantes
• GESTIÓN ALIANZA INCI - FENASCOL CAPACITACIÓN LENGUAJE INCLUYENTE.</t>
  </si>
  <si>
    <t>https://itceduco-my.sharepoint.com/:f:/g/personal/bienestaruniversitario_itc_edu_co/EpV5CWLqZ_NDhAOSE1h40bYBHAKIuXaBkbiAaffxBrb80w?e=C8pgHs</t>
  </si>
  <si>
    <t>Programa Apoyo y Promoción Socio económica</t>
  </si>
  <si>
    <t>levado a cabo las siguientes acciones:
1.	ENCUENTRO PRESENCIAL GENERACIÓN E - MEN - CHARLA DE EMPRENDIMIENTO - 25-feb – 165 ESTUDIANTES PES
2.	CARGUE INCENTIVO PERMANENCIA 2021-2 - 1-feb – 336 ESTUDIANTES PES
3.	RENOVACIÒN Y LEGALIZACIÒN DE CREDITOS ICETEX 2022-1 - 1-feb – 2 ESTUDIANTES PES
4.	RENOVACIONES BENEFICIARIOS GEN E 2022-1 - 1-feb – 292 ESTUDIANTES PES
5.	ENCUENTRO SOCIALIZACIÓN PROGRAMAS APOYO PROMOCIÓN SOCIO ECONÓMICA SEDE CARVAJAL - 23-mar – 61 ESTUDIANTES PES
6. ASESORÍAS INDIVIDUALES  JeA Y GEN E - FEB Y MARZO - 12 ESTUDIANTES PES</t>
  </si>
  <si>
    <t>A la fecha se han llevado a cabo las siguientes acciones:
• DEVOLUCIONES GEN E 10-mar 15-jun – 68 devoluciones
• ENCUENTRO BENEFICIARIOS GEN E 2022-1 - 18-may -  61 participantes
• CARGUE MATRICULA JeA 2022-1- 16-may a 18-may – 93 beneficiarios
• institución al día Jóvenes en Acción- 26-may -  906 REPRODUCCIONES
• Pre-registros JeA – 25 mayo – 30 junio – 17 estudiantes</t>
  </si>
  <si>
    <t>https://itceduco-my.sharepoint.com/:f:/g/personal/bienestaruniversitario_itc_edu_co/Eo6WliMigMBPlf_uBzkGiN8BG6HR8aB4xjVcCmBUNDq9GQ?e=nydzXG</t>
  </si>
  <si>
    <t>Proyecto Bienestar con Impacto social</t>
  </si>
  <si>
    <t xml:space="preserve">Llevado a cabo las siguientes acciones:
1. SOCIALIZACIÓN CARACTERIZACIÓN ESTUDIANTIL DOCENTES 2022-1 - 27-ene -  55 DOCENTES PES
2. RELACIÓN SECTOR EXTERNO - 22-mar – 8 PARTICIPANTES EMPRESA DECANOS PES
</t>
  </si>
  <si>
    <t>A la fecha se han llevado a cabo las siguientes acciones:
• UAT KENNEDY -8-abr- 28 participantes
• PROTOCOLO CONVIVENCIA UDPES TINTAL - 27-abr  5 participantes
• CONSULTA PROTOCOLO CONVIVENCIA UDPES TINTAL 10-may a  8-jun 19 participantes</t>
  </si>
  <si>
    <t>https://itceduco-my.sharepoint.com/:f:/g/personal/bienestaruniversitario_itc_edu_co/EiiCz1q757BDhqgu2llMxWoBRoY0XAglAEBcTG9tmHjrZw?e=Gd8Yqu</t>
  </si>
  <si>
    <t xml:space="preserve">PE-23- La catedra institucional de la Escuela </t>
  </si>
  <si>
    <t>ME-57- Diseñar e implementar  la catedra ETITC</t>
  </si>
  <si>
    <t xml:space="preserve">Diseñe e implementación </t>
  </si>
  <si>
    <t>Diseñar e implementar  la catedra ETITC</t>
  </si>
  <si>
    <t>% de diseño e implementación de la catedra ETITC alcanzado</t>
  </si>
  <si>
    <t>La catedra ETITC  diseñada e implementada</t>
  </si>
  <si>
    <t>1. El diseño se encuentra finalizado  y en la actualidad se está gestionando el lanzamiento de la catedra, prevista para el segundo semestre.</t>
  </si>
  <si>
    <t xml:space="preserve">Su ejecución continua a la espera de ser aprobada para su lanzamiento.
Se tiene estructuradas las electivas: Deportes y Artes. </t>
  </si>
  <si>
    <t>OE-1- Consolidar la calidad académica para la acreditación institucional de alta calidad respaldada fortalecimiento
de la gestión, la infraestructura tecnológica y física</t>
  </si>
  <si>
    <t>DESPACHO</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</si>
  <si>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</si>
  <si>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</si>
  <si>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Adquisición de plataforma</t>
  </si>
  <si>
    <t>Adquirir una plataforma académica segundo idioma</t>
  </si>
  <si>
    <t>Porcentaje de programas de educación superior articulados a la política institucional de lengua extranjera</t>
  </si>
  <si>
    <t>Plataforma academica segundo idioma adquirida y puesta en marcha</t>
  </si>
  <si>
    <t xml:space="preserve">Se cuenta con los estudios previos, de igual manera se cuenta con el estudio de mercado.
Se han realizado 3 reuniones con los posibles oferentes de la plataforma (estudiantes docentes). También se han realizado reuniones con los usuarios de la plataforma una vez se adquiera, el aque se ha expresado la necesidad y la usabilidad del aplicativo. </t>
  </si>
  <si>
    <t>Estudios previos.</t>
  </si>
  <si>
    <t>Para la adquisición de la plataforma se cuenta con los estudios previos (avalados por la Oficina de Jurídica Contratación), se proyecta publicar el proceso en SECOP el 12 de julio, y se surtira un proceso por selección abreviada, se cuenta con el CDP 14722.</t>
  </si>
  <si>
    <t>Estudios previos y CDP aprobado.</t>
  </si>
  <si>
    <t>PE1. Acreditación Institucional de Alta Calidad</t>
  </si>
  <si>
    <t xml:space="preserve">Prestación de servicios profesionales </t>
  </si>
  <si>
    <t xml:space="preserve">Prestación servicios profesionales apoyo a la gestión. actividades del Despacho </t>
  </si>
  <si>
    <t>Ejecución contractual. Prestación de servicios en las actividades del Despacho de la Escuela Tecnológica Instituto Técnico Central</t>
  </si>
  <si>
    <t>Actualmente se ejecuta el Contrato 159 - 2022, vigente desde el 1° de marzo hasta el 15 de noviembre de 2022.</t>
  </si>
  <si>
    <t xml:space="preserve">El Cto 159 se continua ejecutando con normalidad. </t>
  </si>
  <si>
    <t xml:space="preserve">Acta de inicio
Plan de trabajo </t>
  </si>
  <si>
    <t>PE-4- Modelo de gestión académica curricular soportada en resultados de aprendizaje y competencias</t>
  </si>
  <si>
    <t>ME-4- Implementar el modelo de evaluación por resultados de aprendizaje y competencias, soportado en los lineamientos del MEN y el  sistema interno de aseguramiento de la calidad académica.</t>
  </si>
  <si>
    <t>Formulación e implementación</t>
  </si>
  <si>
    <t>Capacitación para profesores en resultados de aprendizaje, sus estrategias didacticas y su evaluación.</t>
  </si>
  <si>
    <t>Número de Syllabus actualizados</t>
  </si>
  <si>
    <t xml:space="preserve">Esta actividad se proyecta realizar durante el 3° trimestre de la vigencia. </t>
  </si>
  <si>
    <t xml:space="preserve">La jornadas pedagógicas se realizaran del 18 de julio al 29 de julio. </t>
  </si>
  <si>
    <t>Diseño y evaluación microcurricular soportada en resultados de aprendizaje y competencias</t>
  </si>
  <si>
    <t>Diseño  y evaluación microcurricular soportada en resultados de aprendizaje y competencias</t>
  </si>
  <si>
    <t>Porcentaje de programas de educación superior articulados al modelo de evaluación por resultados de aprendizaje y competencias</t>
  </si>
  <si>
    <t>Diseño y evaluación microcurricular realizada</t>
  </si>
  <si>
    <t xml:space="preserve">Actualmente se ejecuta el contrato 091 de 2022. Se realizo el estudio inspección de completitud de 425 Syllabus.
</t>
  </si>
  <si>
    <t>Se realiza la matriz de competencias y resultados de aprendizaje de cada uno de los programas (15 programas), se proyecta la finalización de este instrumento para el 25 de julio. 
Se proyecta la actualización del formato de DES-FO-05 Syllabus.</t>
  </si>
  <si>
    <t xml:space="preserve">Matriz en construcción </t>
  </si>
  <si>
    <t>ME-29-  Lograr  al 2023 el Registro Calificado de 1 Especialización Profesional, 1 Especialización Tecnológica, al 2024, 3 carrera profesional por ciclos y 1 Maestría.</t>
  </si>
  <si>
    <t>Documentos estructurados</t>
  </si>
  <si>
    <t xml:space="preserve">Actualmente se desarrolla el Contrato para la creación de estudios maestros para 3 especializaciones (Instrumentación industrial, manteimiento industrial y Gestión y construcción de redes de media tensión).
Desde la vigencia 2021 se cuenta con las especializaciones: Diseño y Gestión de Sistemas y Dispositivos para Internet de las Cosas, Seguridad y Salud en el Trabajo. </t>
  </si>
  <si>
    <t xml:space="preserve">Esta actividad se ha cumplido a cabalidad a la fecha. </t>
  </si>
  <si>
    <t>ME-30-  Lograr al 2024, que el 50% de los programas con registro calificado en la modalidad presencial  esten convertidos a modalidad semipresencial (blended).</t>
  </si>
  <si>
    <t>Esta actividad se aclarará durante el 2° semestre de la vigencia, de acuerdo a la directiva Ministerial  09 de 2021.</t>
  </si>
  <si>
    <t>El 14 de junio se presentó la consideración al Consejo Académico, este órgano recomendo hacer uso de las TIC para flexibilizar algunas asignaturas de los programas.</t>
  </si>
  <si>
    <t xml:space="preserve">Acta de reunión del Consejo Académico </t>
  </si>
  <si>
    <t>OE-3- Fortalecer el ecosistema de funcionalidades digitales para la gestión y el desarrollo de la actividad
misional mediante el uso de las TIC.</t>
  </si>
  <si>
    <t>FACULTAD DE ELECTROMECÁNICA</t>
  </si>
  <si>
    <t xml:space="preserve">2° Fase del proyecto aulas para alternancia </t>
  </si>
  <si>
    <t>Elementos adquiridos y con soporte técnico</t>
  </si>
  <si>
    <t xml:space="preserve">Para la vigencia 2022, se proyecta implementar nuevos equipos de vanguardia, para lo que se han adquirido entre febrero y marzo de la vigencia (2° fase del proyecto APA) 313 elementos e instrumentos. </t>
  </si>
  <si>
    <t>Contratos ejecutados</t>
  </si>
  <si>
    <t xml:space="preserve">Se aprobo adición al Cto 301 de 2021, por $ 335.000.000, en efecto se pretende adquirir juegos de pantallas para la alternancia. </t>
  </si>
  <si>
    <t xml:space="preserve">Adición al contrato </t>
  </si>
  <si>
    <t xml:space="preserve">Laboratorio de Inmotica y control industrial </t>
  </si>
  <si>
    <t xml:space="preserve">Con la empresa Schneider Electric de Colombia SAS, se adquirieron 2 laboratorios de inmódica y de control industrial, a través de los contratos 336 de 2021 y 351 de 2021; por $591.453.000. Actualmente ya se firmaron las pólizas de cumplimiento. </t>
  </si>
  <si>
    <t>Polízas Firmadas</t>
  </si>
  <si>
    <t xml:space="preserve">Se cuenta con los documentos necesarios para el pago de anticipo de los dos contratos, necesario para el desarrollo del proyecto. </t>
  </si>
  <si>
    <r>
      <rPr>
        <b/>
        <sz val="14"/>
        <color theme="1"/>
        <rFont val="Calibri"/>
        <family val="2"/>
        <scheme val="minor"/>
      </rPr>
      <t>ME-17- Adecuar las capacidades tecnológicas para atender las necesidades de los procesos misionales.</t>
    </r>
  </si>
  <si>
    <t>Solicitud de ofertas</t>
  </si>
  <si>
    <t>Certificar a docentes y estudiantes en nuevas tecnologías de software</t>
  </si>
  <si>
    <t>Docentes y estudintes certificados en nuevas tecnologias de software</t>
  </si>
  <si>
    <t>A través del Semillero Fabricación digital se efectúan licencias en Solidworks, para la formación de estudiantes (70) y docentes (7, en manejo de software en 24 módulos distintos</t>
  </si>
  <si>
    <t xml:space="preserve">Se ha brindado acompañamiento al área de Informáticas y comunicaciones para la renovación de las licencias. 
Se adelantaron los estudios previos para brindar a estudiantes y doncentes dos cursos diferentes, se esta a la espera del ajuste estos. </t>
  </si>
  <si>
    <t>EOE-11-Aumentar la cobertura mediante programas de educación superior diferenciados,
con alta pertinencia regional.</t>
  </si>
  <si>
    <t xml:space="preserve">PE-27-   Diseñar y ofertar nuevos programas de pregrado con alta pertinencia regional rural
</t>
  </si>
  <si>
    <t>ME-71-  Estructurar  y gestionar el registro de   Pregrado en Ingeniería de energías por ciclos.</t>
  </si>
  <si>
    <t>Diseño y construcción de los nuevos plan de estudios de a nivel de pregrado. Ingenieria en Energias.</t>
  </si>
  <si>
    <t>Porcentaje Registro del pregrado en Ingeniería de energías por ciclos alcanzado</t>
  </si>
  <si>
    <t>Porcentaje del registro alcanzado
(PFC)</t>
  </si>
  <si>
    <t xml:space="preserve">Actualmente la Facultad se encuentra en fase de investigación para elaborar un PEP sobre Ingenieria en Energias por ciclos propedeuticos. Esta actividad se proyecta consolidar durante el 4° trimestre de la vigencia. </t>
  </si>
  <si>
    <t xml:space="preserve">Se perfeccionaron los estudios previos, mismos que han sido revisados al interior de la Facultad.
Desde la Facultad se envió una Carta de invitación, lineamientos y Procedimiento de Registro Calificado 
Guía para la elaboración de documento maestro con fines de acreditaciónt; estos deben ser reconocidas y cumplidas por los respectivos oferentes de acurdo a las necesidades institucionales. 
</t>
  </si>
  <si>
    <t>PE-1- Acreditación Institucional de Alta Calidad</t>
  </si>
  <si>
    <t>Documentos maestros y syllabus  actualizados</t>
  </si>
  <si>
    <t>Fases del Consejo Nacional de Acreditación alcanzadas</t>
  </si>
  <si>
    <t xml:space="preserve">El documento Maestro de Ingeniería (técnico, tecnología, profesional), no ha tenido cambios durante el 2022, debido a que no se han solicitado cambios desde la V. Académica.
Los Sylabus no han tenido modificaciones, ya que se evalúa una modificación en el formato de los mismos con el fin de integrar resultados de aprendizaje </t>
  </si>
  <si>
    <t xml:space="preserve">La actualización de los documentos maestros esta sujeto a los lineamientos del PEI, PLC, DOC. Orientador de programa y PEP 2016 y los lineamientos del Syllabus, en este sentido la actualización se encuentra en un 80%.
La actualización de los Syllabus se sujeta al cambio de los formatos respectivos integrando y modificando los aspectos necesarios. </t>
  </si>
  <si>
    <t xml:space="preserve">Borrador del Documento a actualizar </t>
  </si>
  <si>
    <t>Desarrollar las actividades del Plan de Mejoramiento 2021- 2022</t>
  </si>
  <si>
    <t>Actividades consolidadas</t>
  </si>
  <si>
    <t xml:space="preserve">Con relación al plan de mejoramiento, se ha estructurado un documento que integra los diferentes elementos que surgieron de temas como registro calificado y acreditación, se muestra las 16 actividades a desarrollar. </t>
  </si>
  <si>
    <t xml:space="preserve">Documento consolidado </t>
  </si>
  <si>
    <t xml:space="preserve">Las actividades del Plan de Mejoramiento 2021- 2022 se han adelantado según lo pactado, como evidencia se presenta la matriz de seguimiento a las acciones puntuales. </t>
  </si>
  <si>
    <t xml:space="preserve">Evidencia de las actividades ejecutadas </t>
  </si>
  <si>
    <t>PE-5- MIPG y Los sistemas de gestión para una gobernanza transparente</t>
  </si>
  <si>
    <t>Profesional de Apoyo Facultad para el apoyo de la gestión</t>
  </si>
  <si>
    <t xml:space="preserve"> Profesional de Apoyo Facultad para el apoyo de la gestión</t>
  </si>
  <si>
    <t>Actualmente se cuenta con el profesional, incorporado mediante el Cto- 076-2022</t>
  </si>
  <si>
    <t>Planificación</t>
  </si>
  <si>
    <t xml:space="preserve">Capacitación a docentes 
Formación en temas de resultado de aprendizaje.
</t>
  </si>
  <si>
    <t>Porcentaje de programas de educación superior articulados al modelo de evaluación por resultados de aprendizaje y competencias.</t>
  </si>
  <si>
    <t>Docentes capacitados</t>
  </si>
  <si>
    <t xml:space="preserve">1. Se llevaron a cabo 6 jornada de capacitación durante la semana de inducción 2022, a docentes.
El 24 de enero se realizó una capacitación sobre “Programa Educativo de Programa”, cuya temática fue: Aspecto Enfoque pedagógico, funciones sustantivas, participaron 40 docentes.
2. Con relación al Modelo de gestión académica soportado en resultados de aprendizaje y competencias y en miras de consolidad un nuevo PEP, se realizó un comparativo exhaustivo con diferentes universidades de carácter nacional e internacional, en diferentes temáticas académicas, competencias, con el fin de fortalecer la configuración del nuevo PEP.
La primera versión el PEP, fue remitido a la Vicerrectoría Académica para su revisión y ajuste. 
El Plan de estudios de ingeniería electromecánica por ciclos propedéuticos, se está actualizando según los análisis realizados por los diferentes docentes de la facultad a través de las diferentes mesas de trabajo
</t>
  </si>
  <si>
    <t>Listas de asistencia 
Borrador del documento PEP</t>
  </si>
  <si>
    <t>Para el 1° semestre de la vigencia se realizaron las capacitaciones propias del programa</t>
  </si>
  <si>
    <t xml:space="preserve">PE-6- Egresados como embajadores institucionales </t>
  </si>
  <si>
    <r>
      <rPr>
        <b/>
        <sz val="14"/>
        <color theme="1"/>
        <rFont val="Calibri"/>
        <family val="2"/>
        <scheme val="minor"/>
      </rPr>
      <t>ME-11-Implementar el Sistema de Acompañamiento al desarrollo del Egresado - SADE., con responsabilidad social y académica.</t>
    </r>
  </si>
  <si>
    <t>Apoyo en la implementación del SADE</t>
  </si>
  <si>
    <t>Porcentaje de implementación del SADE.</t>
  </si>
  <si>
    <t>Listados de asistencia, grabaciones de egresados y participación a reuniones y capacitaciones</t>
  </si>
  <si>
    <t xml:space="preserve">El 24 de febreros se realizó un Foro presencial con la temática “cables para el futuro”. Se contó con la participación de 5 instituciones.
19 de marzo. Con el apoyo del CONTE se realizó un encuentro presencial, con la temática “Normatividad y cultura de la legalidad”. Se contó con la participación de 5 instituciones.
</t>
  </si>
  <si>
    <t xml:space="preserve">Listas de Asistencia </t>
  </si>
  <si>
    <t>OE.4- Fortalecer la visibilidad de la escuela bajo en entorno de asertividad para el posicionamiento
nacional e internacional.</t>
  </si>
  <si>
    <t>PE12. Internacionalización para ampliar fronteras del conocimiento</t>
  </si>
  <si>
    <t xml:space="preserve">Planificación y ejecución </t>
  </si>
  <si>
    <t>Participación en eventos como: Encuentro RIEM 2022</t>
  </si>
  <si>
    <t>LIstados de asistencia y grabaciones al encuentro RIEM 2022</t>
  </si>
  <si>
    <t>Esta atividad aun no tiene avances, se proyecta para el 4° trimestre de la vigencia</t>
  </si>
  <si>
    <t>Movilidad de docentes y estudiantes (Académica)</t>
  </si>
  <si>
    <t>Movilidades Nacionales. Inscripiciones, pasajes,  y auxilio de viaje (estudiantes)</t>
  </si>
  <si>
    <t xml:space="preserve">Proecesos de movilidad ejecutados </t>
  </si>
  <si>
    <t xml:space="preserve">A través de convenios con la ECCI Universidad y la Uniminuto, los estudiantes que cumplen unas ciertas características (80% de sus materias académicas), tienen la oportunidad de  continuar sus estudios de posgrado en diferentes materias (iniciar estudios de posgrado).
</t>
  </si>
  <si>
    <t>Se cuenta con la solicitud de movilidad para una estudiante al evento ACOFI en Cartagena, con la ponencia energias alternativas, energia fotovolcaica (Tesis de Grado)</t>
  </si>
  <si>
    <t>OE-7- Implementar programas y acciones para asegurar la permanencia de los estudiantes.</t>
  </si>
  <si>
    <t>Visita a empresas del sector y actividades de acercamiento</t>
  </si>
  <si>
    <t>Grabaciones y listados de visita a empresas del sector y actividades realizadas</t>
  </si>
  <si>
    <t xml:space="preserve">El pasado enero de la vigencia, el Decano de la Facultad realizo una vista al SENA sede Cazucá, con fines de generar alianzas.
Desde la Decanatura se cuenta con 188 estudiantes inscritos a las ofertas de 10 empresas. A dichos estudiantes se les socializa las diferentes ofertas laborales. </t>
  </si>
  <si>
    <t>En compañía de 7 docentes se realizo una movilidad a la universidad los Libertadores (1 de abril), como temática: Vehiculos eléctricos, para evaluar un tunel de viento.</t>
  </si>
  <si>
    <t>Evidencias fotografica de la movilidad</t>
  </si>
  <si>
    <t xml:space="preserve">Estudiantes CREA </t>
  </si>
  <si>
    <t xml:space="preserve">Dentro del Proyecto CREA, se tiene 4 estudiantes incritos. </t>
  </si>
  <si>
    <t xml:space="preserve">Dentro del Proyecto CREA, se tiene 4 estudiantes incritos. 
En la materia Matematicas: Abril (9 estudiantes) 16 horas, mayo(12 estudiantes) - junio (14 estudiantes )17 horas de acompañamiento. </t>
  </si>
  <si>
    <t xml:space="preserve">Informe de gestión </t>
  </si>
  <si>
    <t>Vehiculo Eléctrico y documentación asociada, cotizaciones, facturas de compra, remisiones.</t>
  </si>
  <si>
    <t>Programa de fortalecimiento de grupos y de investigación implementado</t>
  </si>
  <si>
    <t>Proceso pre y contractual realizado</t>
  </si>
  <si>
    <t xml:space="preserve">El proyecto se encuentra en fase de diseño, al cual se integran 5 ingenieros, se han llevado a cabo 4 reuniones durante el 1° trimestre de la vigencia .  </t>
  </si>
  <si>
    <t xml:space="preserve">Se cuenta con los estudios previos terminados y verificados, de igual manera se estructuro el estudio de mercado. 
El proyecto tuvo una consultoría.  </t>
  </si>
  <si>
    <t>Cargador eléctrico y documentación asociada, cotizaciones, facturas de compra, remisiones.</t>
  </si>
  <si>
    <t xml:space="preserve">El proyecto se encuentra en fase de diseño, al cual se integran 3 ingenieros, se han llevado a cabo 1 reuniones durante el 1° trimestre de la vigencia.  </t>
  </si>
  <si>
    <t>OE-9-La Extensión y la Proyección social como aporte al desarrollo de capacidades.</t>
  </si>
  <si>
    <t>PE-20- Centro de capacitación industrial como espacio de cualificación para la empleabilidad a mediando plazo</t>
  </si>
  <si>
    <t xml:space="preserve">ME-50- Consolidar y fortalecer el vínculo entre empresa, estado - academia ETITC
</t>
  </si>
  <si>
    <t>Personal certificado según AWS</t>
  </si>
  <si>
    <t>Número de empresas vinculadas por diferentes factores con la ETITC/ 40 *100</t>
  </si>
  <si>
    <t>Certificaciones suministradas</t>
  </si>
  <si>
    <t>Actualmente la Facultad se encuentra en poceso de solicitud de cotizaciones, esta actividad se proyecta realizar durante el 2° semestre de la vigencia</t>
  </si>
  <si>
    <t xml:space="preserve">Desde la Facultad de mecánica se cuenta con el estudio de mercado y estudios previos para la ejecución de esta actividad. </t>
  </si>
  <si>
    <t xml:space="preserve">estudios previos </t>
  </si>
  <si>
    <t>FACULTAD DE MECATRÓNICA</t>
  </si>
  <si>
    <t>Actividades de movilidad e internacionalización</t>
  </si>
  <si>
    <t>Grabaciones, fotos soporte de las actividades de movilidad e internacionalización</t>
  </si>
  <si>
    <t>El Docente, Rafael Cepeda participo en el Congreso CICE en  Ecuador.</t>
  </si>
  <si>
    <t xml:space="preserve">Carta de asistencia </t>
  </si>
  <si>
    <t>Movilidades Nacionales. Inscripciones, pasajes, viáticos (Docentes)</t>
  </si>
  <si>
    <t>Esta actividad se proyecta para el 2° semestre del año</t>
  </si>
  <si>
    <t>Movilidades Internacionales (estudiantes)</t>
  </si>
  <si>
    <t>Movilidades Internacionales (docentes)</t>
  </si>
  <si>
    <t>El Docente, Rafael Cepeda participo en el Congreso CICE en   Ecuador.</t>
  </si>
  <si>
    <t>Movilidades (Asistencia Encuentro con redes Acofi, Congreso Acofi, asistencia a eventos nacionales e internacionals en representación de la ETITC) Decanos y Vicerrector Academico</t>
  </si>
  <si>
    <t>Esta actividad se realizara en el 2° trimestre de la vigencia</t>
  </si>
  <si>
    <t>Encuentro Nacional RIIMA - Red de Ingenieria Mecatronica (Decanos y Directores de programa)</t>
  </si>
  <si>
    <t>Esta actividad se realizara en el 2° Y 3° trimestre de la vigencia</t>
  </si>
  <si>
    <t>Infomatrix 2022</t>
  </si>
  <si>
    <t xml:space="preserve">OE-8-Fortalecer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 </t>
  </si>
  <si>
    <t xml:space="preserve"> PE-19- Innovación para el  Fortalecimiento Institucional y el Desarrollo Social.</t>
  </si>
  <si>
    <t>ME-47- Fortalecer las redes de innovación y alianzas estratégicas de cooperación con otros actores del Sistema Nacional de Ciencia Tecnología e Innovación – SNCTI, sector público, privado y academia para actividades de Investigación, Desarrollo e Innovación - I+D+i.</t>
  </si>
  <si>
    <t>Evento STEM, tecnologias convergentes y robotica, (Estudiantes educacion media)</t>
  </si>
  <si>
    <t>Relaciones estratégicas con otros actores del SNCTI</t>
  </si>
  <si>
    <t>Participación en eventos</t>
  </si>
  <si>
    <t xml:space="preserve">Se tienen identificadas las temáticas y los actores que acompañaran en este evento. Se evaluara durante el 2° trimestre de la vigencia </t>
  </si>
  <si>
    <t>ME-11-Implementar el Sistema de Acompañamiento al desarrollo del Egresado - SADE., con responsabilidad social y académica.</t>
  </si>
  <si>
    <t xml:space="preserve">Seguimiento y consolidación </t>
  </si>
  <si>
    <t>Fortalecimiento comunidad egresados</t>
  </si>
  <si>
    <t>Evento fortalecimiento habilidades y competencias egresados facultad Mecatronica</t>
  </si>
  <si>
    <t xml:space="preserve">Se está realizando el diseño de la asociación de egresa de mecatrónica, apoyados por los egresados Nicolás Castiblanco y Jessi Castiblanco. Esta asociación busca que los estudiantes usen Software de tipo campus, para que los egresados los puedan utilizar, empresa IMPULSA COLOMBIA. </t>
  </si>
  <si>
    <t>Se proyecta realizar esta actividad con Bienestar Universitario en el Evento RIIMA</t>
  </si>
  <si>
    <t>PE5. MIPG y Los sistemas de gestión para una gobernanza transparente</t>
  </si>
  <si>
    <t xml:space="preserve">Perfeccionamiento el contrato </t>
  </si>
  <si>
    <t>La actividades son ejecutadas por la profesional Marcela Escobar, Hasta el 30 de noviembre 078-2022</t>
  </si>
  <si>
    <t xml:space="preserve">Auxiliar Administrativo Facultad </t>
  </si>
  <si>
    <t>La actividades son ejecutadas por Martha Rodriguez, hasta el 30 de noviembre 093-2022</t>
  </si>
  <si>
    <t>Fortalecimiento de competencias disciplinares de los profesores de la facultad.</t>
  </si>
  <si>
    <t>Procesos de capacitación ejecutados</t>
  </si>
  <si>
    <t xml:space="preserve">Se está realizando capacitaciones en: Matlab (96 entre estudiantes y docentes) y Labview (22 docentes). Se adelanta el proceso para 60 certificaciones.
Desde la facultad se capacitan docentes del IBTI ( 3 en LabView) </t>
  </si>
  <si>
    <t xml:space="preserve">Plan de capacitaciones </t>
  </si>
  <si>
    <t>FACULTAD DE PROCESOS INDUSTRIALES</t>
  </si>
  <si>
    <t xml:space="preserve">La ETITC realizo el respectivo aporte para participar en el V Encuentro de la Red de Programas de Ingeniería Industrial
Nodo Centro, 29 de abril de 2022 ($2.000.000).
Durante el mes de marzo se enviaron 7 resúmenes para participar en el evento EIEI en el mes de septiembre.
La ETITC partipará en el 10° congreso internacional "Nuevas tendencias  en la gestión del conocimiento en ingeniería", del 9 al 14 de mayo. En dicho encuentro participaran 10 universidades. 
</t>
  </si>
  <si>
    <t>https://itceduco-my.sharepoint.com/:f:/g/personal/procesos_itc_edu_co/EsrxrLcyDCVCk9SL-mWNID8BIP55yoHgN1Jckgvh8fTk8w?e=WM6qGu</t>
  </si>
  <si>
    <t xml:space="preserve">El 29 de abril se llevo a cabo el V Encuentro de la Red de programas de Ingeniería Industrial nodo Centro. Retos de la integración digital en las organizaciones, participaron 37 asistentes y 3 administrativos. 
Con relación al levento EIEI ACOFI 2022 participaran 4 estudiantes y 3 docentes, este se realizará del 13 al 16 de septiembre.
La ETITC partipará en el 10° congreso internacional "Nuevas tendencias  en la gestión del conocimiento en ingeniería", del 9 al 14 de mayo. En dicho encuentro participaran 10 universidades, cuyos temas fueron desglobalización y cadena de suministro, Transformación digital, Transformación energética. 
</t>
  </si>
  <si>
    <t>Listados de asistencia</t>
  </si>
  <si>
    <t>La Decana Luisa Goméz, participó en la reunión de la Asociación Colombiana de de Facultad de Ingenieria (Barranquilla- marzo 22)</t>
  </si>
  <si>
    <t xml:space="preserve">El Ingeniero carlos F. tuvo 2 ponencias en el  V Encuentro de la Red de programas de Ingeniería Industrial nodo Centro.
</t>
  </si>
  <si>
    <t>Tenemos el agrado de ofrecerles la participación de una beca al 100% que nos ha facilitado Ferris State University para participar del Programa "Global Engagement e-Certificate", para alumnos de Latino América a participar del programa no académico, co-curricular, con una duración de 10 semanas comenzando el día 7 de Febrero, 2022.</t>
  </si>
  <si>
    <t xml:space="preserve">Esta actividad se proyecta realizar durante el 2° semestre de la vigencia </t>
  </si>
  <si>
    <t>La Decana Luisa Goméz, participó en la reunión de la Asociación Colombiana de de Facultad de Ingenieria (Barranquilla- marzo 22)
Durante el mes de marzo se enviaron 7 resúmenes para participar en el evento EIEI en el mes de septiembre.</t>
  </si>
  <si>
    <t>Con relación al evento EIEI ACOFI 2022 participaran 4 estudiantes y 3 docentes, este se realizará del 13 al 16 de septiembre.
En el marco del evento anteriormente mencionado se realizará un evento con la red ACOFI.
Invitación  a la reunión de la Red de Programas de Ingeniería Industrial (REDIN) nodo centro, que se realizo el jueves 23 de junio de 10:00 horas a 16:00 horas, de forma presencial, en las instalaciones de la Corporación Universitaria del Meta (Carrera 32 # 35 – 19, Villavicencio, Meta).
Invitación Reunión de directores de Programa de Ingeniería Industrial, que se realizará el próximo 13 de septiembre en la ciudad de Cartagena de indias, entre las 14:00 horas y las 19:00 horas. Esta jornada es una actividad sin costo y tiene por objetivo fomentar el diálogo y la colaboración entre los directivos y académicos de los programas de Ingeniería Industriala nivel nacional, buscando articular estrategias interinstitucionales que aporten a la formación y al ejercicio profesional. Puede hacer su registro a través del siguiente enlace: https://www.acofi.edu.co/eventos/reunion-directores-de-programa-de-ingenieria-industrial/De la misma manera, nos permitimos invitarle al Encuentro Internacional en Educación en Ingeniería (EIEI ACOFI 2022). “Nuevas Realidades para la Educación en Ingeniería: Currículo, Tecnología, medio Ambiente y Desarrollo”. Todos los detalles los encuentra en https://www.acofi.edu.co/eiei2022/.</t>
  </si>
  <si>
    <t>Membresías</t>
  </si>
  <si>
    <t>Se cuenta con los estudios previos de para obtener la membresía con ACOSEND, sin embargo este proceso se surtira una vez finalice la Ley de garantías</t>
  </si>
  <si>
    <t>Se obtuvo la afiliación con con ACOSEND (06 de abril 2022), con la que se busca que al interior de la Facultad de Procesos Industriales se adelanten las actividades de capacitación (3 conferencias de 2 horas por año) en temas actuales de soldadura, participar en los Comités Técnicos de Soldadura y/o Ensayos No Destructivos, recibir asesorías en procedimientos de soldadura, enlace de la página web de la ETITC y la Facultad de Procesos Industriales, dentro de la página web de ACOSEND, cumpliendo con los objetivos del plan de desarrollo.</t>
  </si>
  <si>
    <t xml:space="preserve">Alojamiento experto internacional en X Congreso Internacional en gestión del conocimiento en Ing. </t>
  </si>
  <si>
    <t>La ETITC partipará en el 10 ° congreso internacional "Nuevas tendencias  en la gestión del conocimiento en ingeniería", del 9 al 14 de mayo. En dicho encuentro participaran 10 universidades. Como invitado participará el docente Leonardo Casteras.</t>
  </si>
  <si>
    <t>El profesional Leonardo Casteras tuvo participación en el X Congreso Internacional en gestión del conocimiento en Ingenieria, con la temática "Diversificación de la matriz y nuevas tecnologías para la transición energética" del 9 al 13 de mayo.</t>
  </si>
  <si>
    <t>V Encuentro de la red de programa de ingeniería Industrial</t>
  </si>
  <si>
    <t>La ETITC realizo el respectivo aporte para participar en el V Encuentro de la Red de Programas de Ingeniería Industrial
Nodo Centro, 29 de abril de 2022 ($2.000.000).</t>
  </si>
  <si>
    <t xml:space="preserve">El 29 de abril se llevo a cabo el V Encuentro de la Red de programas de Ingeniería Industrial nodo Centro. Retos de la integración digital en las organizaciones, participaron 37 asistentes y 3 administrativos. 
</t>
  </si>
  <si>
    <t>Eventos con egresados</t>
  </si>
  <si>
    <t>Evento fortaleciemiento habilidades y competencias egresados facultad Procesos</t>
  </si>
  <si>
    <t xml:space="preserve">Se han extendido invitaciones a egresados para contar con su participación en los diferentes eventos que se realizan desde la Facultad y desde la Escuela.
También se ha realizado la actualización de base de datos, creación de grupos por correo electrónico y whatsapp Se construyo la encuesta "Percepción del egresado en porcesos de actualización e innovación". </t>
  </si>
  <si>
    <t xml:space="preserve">De manera permanente se envia información institucional a los egresados, entre estas se envió la encuesta en procesos de actualización e innovación. 
Se cuenta con un grupo a través de correo y de whatsapp, para dar continuidad a las relaciones con egresados. </t>
  </si>
  <si>
    <t>PE-4- Modelo de gestión académica curricular soportada en resultados de
aprendizaje y competencias</t>
  </si>
  <si>
    <t xml:space="preserve">Formulación e implementación </t>
  </si>
  <si>
    <t>Reunión docentes facultad para mejora curricular del programa</t>
  </si>
  <si>
    <t xml:space="preserve">Se realizo una reunión con docentes para definir los resultados de aprendizaje en el área de Procesos de manofactura y producción, contó con la participación de 20 profesores. 
Reunión de proyectos integradores con docentes (una reunión quincenal), participan en promedio 20 docentes. </t>
  </si>
  <si>
    <t xml:space="preserve">Para conseguir una mejora curricular, se llevo a cabo una encuesta "mejora currular en la Facultad de Procesos", se contó con 54 respuestas (34 docentes 20 estudiantes).
Se realiza seguimiento continuo a las actividades del proyecto integrador de esta manera se muestran las actividades, los compromisos y temáticas puntuales tratadas en las diferentes reuniones. </t>
  </si>
  <si>
    <t xml:space="preserve">Evidencia audiovisual del evento </t>
  </si>
  <si>
    <t xml:space="preserve">Actualización </t>
  </si>
  <si>
    <t>Revisar y actualizar los documentos maestros del programa ingenieria en procesos farmaceuticos por ciclos, con fines de solicitud del registro calificado</t>
  </si>
  <si>
    <t>Documentos actualizados</t>
  </si>
  <si>
    <t>Esta actividad se desarrollará duran el 2° trimestre de la vigencia.</t>
  </si>
  <si>
    <t xml:space="preserve">Perfeccionamiento del contrato y ejecución </t>
  </si>
  <si>
    <t>Apoyo a la gestión en la Decanatura de Procesos Industriales</t>
  </si>
  <si>
    <t>Ejecucióin contractual</t>
  </si>
  <si>
    <t xml:space="preserve">Actualmente se ejecuta el Cto - 079 de 2022. </t>
  </si>
  <si>
    <t>PE-9-  Tecnologías de información y comunicaciones al servicio de la academia y la ciencia</t>
  </si>
  <si>
    <t xml:space="preserve">Fortalecimiento tecnológico </t>
  </si>
  <si>
    <t>Renovación licencia FlexSim</t>
  </si>
  <si>
    <t xml:space="preserve">Se cuenta con los estudios previos , estos se encuentran en revisión por la Oficina de Jurídica Contratación. </t>
  </si>
  <si>
    <t xml:space="preserve">Borrador de estudios previso </t>
  </si>
  <si>
    <t>Capacitación en manejo de software especializado Flexsim (por 3 asistentes)</t>
  </si>
  <si>
    <t>Capacitación en manejo de software especializado Flexsim 2 (por 3 asistentes)</t>
  </si>
  <si>
    <t xml:space="preserve">esta aactividad no ha tenido avance. </t>
  </si>
  <si>
    <t xml:space="preserve"> PE-18- Fortalecimiento permanente en Competencias en investigación, ciencia, tecnología e innovación en la ETITC   </t>
  </si>
  <si>
    <t xml:space="preserve">ME-43- Diseñar  e implementar  un Programa de capacitación permanente para la Investigación, Ciencia, Tecnología e Innovación y de fortalecimiento de la investigación en la ETITC. </t>
  </si>
  <si>
    <t>Programa de capacitación permanente implementado</t>
  </si>
  <si>
    <t>Certificación Lean Mangement como opción de grado</t>
  </si>
  <si>
    <t xml:space="preserve">La certificación se encuentra vigente hasta el 30 de junio, por ende, esta actividad se proyecta realizar durante el 2° semestre de la vigencia. </t>
  </si>
  <si>
    <t xml:space="preserve">Con relación a la licencia de lean Management se cuenta con los estudios previos, estudio de mercado y CDP.  </t>
  </si>
  <si>
    <t xml:space="preserve">Estudios previos, estudio de mercado y CDP.  </t>
  </si>
  <si>
    <t xml:space="preserve">PE-21- Proyección Social más allá de las fronteras
</t>
  </si>
  <si>
    <r>
      <rPr>
        <b/>
        <sz val="14"/>
        <color theme="1"/>
        <rFont val="Calibri"/>
        <family val="2"/>
        <scheme val="minor"/>
      </rPr>
      <t>ME-54- Estructurar programa de oferta de servicios</t>
    </r>
    <r>
      <rPr>
        <b/>
        <sz val="14"/>
        <color rgb="FFFF0000"/>
        <rFont val="Calibri"/>
        <family val="2"/>
        <scheme val="minor"/>
      </rPr>
      <t xml:space="preserve"> </t>
    </r>
    <r>
      <rPr>
        <b/>
        <sz val="14"/>
        <color theme="1"/>
        <rFont val="Calibri"/>
        <family val="2"/>
        <scheme val="minor"/>
      </rPr>
      <t>proyección social</t>
    </r>
  </si>
  <si>
    <t>Fortalecimiento curricular</t>
  </si>
  <si>
    <t>Oferta de cursos, propuestos por la facultad a la Oficina de extension. e-learning FlexSim</t>
  </si>
  <si>
    <t>Programas de proyección social estructurados</t>
  </si>
  <si>
    <t>Se reallizo una capacitación en Sofware FlexSim, epsecificamente en el modilo estadístico, participaron 10 docentes (19, 20 y 24 de enero).</t>
  </si>
  <si>
    <t>ME-70-  Estructurar  y gestionar el registro de   Pregrado en Ingeniería Ambiental por ciclos.</t>
  </si>
  <si>
    <t>Diseño y formulación</t>
  </si>
  <si>
    <t>Diseño y construcción de los nuevos plan de estudios a nivel de pregrado. Ingenieria Ambiental.
(Estructuración de documento maestro para la o Pregrado)</t>
  </si>
  <si>
    <t>Porcentaje Registro del pregrado en Ingeniería Ambiental por ciclos alcanzado</t>
  </si>
  <si>
    <t>Diseño y construcción del nuevo programa 
(PFC)</t>
  </si>
  <si>
    <t xml:space="preserve">Esta actividad se proyecta realizar durante el 2° semestre de la vigencia. </t>
  </si>
  <si>
    <t xml:space="preserve">Se cuenta con los Estudios previos, mismos que se encuetran en evaluación por la Oficina de Juridica Contratación. 
Se recibio una propuesta por parte de la señora  Maria Cristina Corrales, esta cuenta con 7 etapas 
1. Estudio de factibilidad
2. Identificación   de   sello   distintivo   y   rasgos   diferenciales.
3. Estudio  de  tendencias  asociadas  a  los  objetos  de  estudio  del programa  académicod
4. Construcción de condiciones de calidad.
5. Construcción de Proyecto Educativo del Programa –PEP
6. Apoyo en la construcción de syllabus.
7. Elaboración de documentos síntesis </t>
  </si>
  <si>
    <t xml:space="preserve">Propuesta </t>
  </si>
  <si>
    <t>FACULTAD DE MECÁNICA</t>
  </si>
  <si>
    <t>PE- 12- Internacionalización para ampliar fronteras del conocimiento</t>
  </si>
  <si>
    <t>Movilidades Nacionales. Inscripiciones, pasajes,  y auxilio de viaje,(estudiantes y/o profesores)</t>
  </si>
  <si>
    <t>Participación en el concurso de vehiculo de tracción humana VTH</t>
  </si>
  <si>
    <t>Porcentaje de implementación de la politica Institucional de internacionalización y coperación nacional e internacional</t>
  </si>
  <si>
    <t>Participación en eventos de movilidad académica</t>
  </si>
  <si>
    <t xml:space="preserve">Desde los Proyectos Integradores con estudiantes y docentes se esta realizando el rediseño de los vehiculos de tracción eléctrica y humano a nivel académico. </t>
  </si>
  <si>
    <t>Participación en el concurso de  vehiculo tracción eléctrica VTE.</t>
  </si>
  <si>
    <t xml:space="preserve">Desde los Proyectos Integradores con estudiantes y docentes, se está realizando el rediseño de los vehiculos de tracción eléctrica y humano a nivel académico. </t>
  </si>
  <si>
    <t>Movilidades para docentes y estudiantes</t>
  </si>
  <si>
    <t>Esta actividad aún no tiene avance.</t>
  </si>
  <si>
    <t xml:space="preserve">Participación y  asistencia  en encuentro con redes Acofi, Congreso Acofi, asistencia a eventos nacionales e internacionals en representación de la ETITC) </t>
  </si>
  <si>
    <t>Desde la Facultad no se ha participado en eventos durante el 1° trimestre.</t>
  </si>
  <si>
    <t>Seminarios en gestión  del   mantenimiento, Ensayos No destructivos, estimación de la vida residual de calderas y recipientes a presión</t>
  </si>
  <si>
    <t>ME-69- Estructurar y gestionar el registro de Pregrado en Ingeniería Agrícola por ciclos</t>
  </si>
  <si>
    <t xml:space="preserve">Proceso de calidad </t>
  </si>
  <si>
    <t xml:space="preserve">Surtir el proceso para solicitar el registro calificado del pregrado en ingenieria Agricola por ciclos </t>
  </si>
  <si>
    <t>Porcentaje Registro del pregrado en Ingeniería Agrícola por ciclos alcanzado</t>
  </si>
  <si>
    <t xml:space="preserve">Documentos que soporten el proceso de solicitud del registro calificado </t>
  </si>
  <si>
    <t xml:space="preserve">Los documentos maestros para el pregrado en ingenieria Agricola por ciclos se encuentran elaborados, paso siguiente se surtirá un proceso de tipo institucional para verificar la viabilidad de este programa en la ETITC. 
Desde Autoevaluación </t>
  </si>
  <si>
    <t xml:space="preserve">Documentación en evaluación institucional </t>
  </si>
  <si>
    <t>FACULTAD DE SISTEMAS</t>
  </si>
  <si>
    <t>Perfeccionamiento y desarrollo del contrato</t>
  </si>
  <si>
    <t>Actualmente se ejecuta el Cto- 080 2022, por un valor $33.960.500</t>
  </si>
  <si>
    <t xml:space="preserve">El Cto 080 se continua ejecutando con normalidad. 
</t>
  </si>
  <si>
    <t>Convocatoria y desarrollo de las sesiones</t>
  </si>
  <si>
    <t>Reunión Gestión Curricular</t>
  </si>
  <si>
    <t>Sesiones realizadas</t>
  </si>
  <si>
    <t>En Enero se instauró el Comité Curricular de Facultad. El 14 de febrero se realizo la 1° sesión del Comité (declaración del Comité), y el 31 de marzo la segunda sesión (resultados de aprendizaje del programa)</t>
  </si>
  <si>
    <t xml:space="preserve">Actas del Comité Curricular de Facultad. </t>
  </si>
  <si>
    <t xml:space="preserve">Se han realizado 3 reuniones en el periodo evaluado, se ha socializado el tema de resultados de aprendizaje y competencias de competencias de programa  por componentes de formación. </t>
  </si>
  <si>
    <t xml:space="preserve">Reuniones </t>
  </si>
  <si>
    <t>Actualizar el PEP de la facultad</t>
  </si>
  <si>
    <t>PEP de la Facultad de Sistemas actualizados</t>
  </si>
  <si>
    <t>Para el 1° trimestre de la vigencia la actualización del PEP se encuentra en un 40%. Matriz de resultados de aprendizaje actualizada</t>
  </si>
  <si>
    <t>Matriz de resultados de aprendizaje actualizada</t>
  </si>
  <si>
    <t>La actualización del PEP esta sujeto a las directrices consignadas en borrador el PEI, el documento se encuentra en un avance del 65%.</t>
  </si>
  <si>
    <t xml:space="preserve">Documento en elaboración </t>
  </si>
  <si>
    <t xml:space="preserve">Formación y capacitación </t>
  </si>
  <si>
    <t xml:space="preserve">Proceso de formación realizado </t>
  </si>
  <si>
    <t xml:space="preserve">Se hizó el lanzamiento de las iniciativas:
Competencias en Google Cloud (16 participantes )
SEC-COUNCIL (27 participantes). Sin embargo se extendió la invitación a los 52 docentes de la Facultad. </t>
  </si>
  <si>
    <t>Correos electrónicos</t>
  </si>
  <si>
    <t xml:space="preserve">Actualmente se adelanta un proceso con el SEC-COUNCIL, este tieen como fin validar la certificación CTT.
El respectivo entrenamiento se realizo desde abril hasta junio.
Se llevo a cabo un acercamiento con la Universidad de Bostón. 
Se participó en el evento la Marcha de Sombreros Blancos, en el que participaron: 1 docente, 1 egresado y un estudiante.
</t>
  </si>
  <si>
    <t xml:space="preserve">Certificación del docente </t>
  </si>
  <si>
    <t>Formación complementaria - profesores de la facultad.</t>
  </si>
  <si>
    <t>Proceso de capacitación realizado</t>
  </si>
  <si>
    <t>Bienestar universitario</t>
  </si>
  <si>
    <t>Se realizaron actividades: 
Día del docentes. Actividades lúdicas.</t>
  </si>
  <si>
    <t>Listado de asistencia</t>
  </si>
  <si>
    <t>Proyecto Articulador</t>
  </si>
  <si>
    <t>Proyecto Articulador diseñado e implementado</t>
  </si>
  <si>
    <t xml:space="preserve">Para el 1° trimestre de la vigencia se realizo difusión masiva  a estudiantes y docentes para su incripción, así mismo se dio claridad acerca del espacio en el que se realizará el seguimiento al proyecto articulador </t>
  </si>
  <si>
    <t xml:space="preserve">Con respecto a proyecto PACS, el 27 de mayo y 1° de junio se llearon a cabo los evento  de sustentación de 12 proyectos, a través de estas sesiones se  reconocieron lecciones aprendidas en el desarrollo de la estrategia. </t>
  </si>
  <si>
    <t>Listas de asistencia a los eventos realizados</t>
  </si>
  <si>
    <t>Seminario de ingeniería de Sistemas</t>
  </si>
  <si>
    <t>Actividad realizada</t>
  </si>
  <si>
    <t xml:space="preserve">Esta actividad se proyecta realizar durante el 2° trimestre de la vigencia. </t>
  </si>
  <si>
    <t>Para esta actividad durante el mes de mayo se realizaron 3 sesiones con la tematica de ética en la investigación, " Formando la personalidad empre de los fururos profesionales de la ingenieÍia a partir de las habilidades blandas"</t>
  </si>
  <si>
    <t>Evento, fortaleciemiento habilidades y competencias egresados facultad</t>
  </si>
  <si>
    <t>Evento realizado</t>
  </si>
  <si>
    <t xml:space="preserve">Con relación a la iniciativa SEC-COUNCIL un egresado inscribio la certificación en Ethical hacking.
Con la compañia CEED, se realizo la formación en DRUPAL 
 desde 22 de enero hasta 2 de marzo, participaron 3 egresados. </t>
  </si>
  <si>
    <t xml:space="preserve">Evidencias de las clases realizadas
Listados de incripción </t>
  </si>
  <si>
    <t xml:space="preserve">Se llevo a cabo un acercamiento con la Universidad de Bostón.
Se socializo con todos los egresados indformación acerca de la iniciativa de MinTic Haling Sugurudad.  </t>
  </si>
  <si>
    <t xml:space="preserve">Poster informativo </t>
  </si>
  <si>
    <t>PE-12- Internacionalización para ampliar fronteras del conocimiento</t>
  </si>
  <si>
    <t>Movilidades Nacionales. Inscripiciones, pasajes,  y viaticos</t>
  </si>
  <si>
    <t>Encuetro Nacional REDIS - Redde decanos y directores de Ingeniería de Sistemas</t>
  </si>
  <si>
    <t>Grabación de eventos, y documentos que verifiquen la participación en eventos de movilidad académica</t>
  </si>
  <si>
    <t xml:space="preserve">Se participo en el evento RED-FI en los meses de abril y mayo, con la temática: Tendencias en la comisión para la ingieneria.
Se participo en los encuentros plenarias de REDIS durante los meses abril, mayo, junio. </t>
  </si>
  <si>
    <t xml:space="preserve">Se realizo la socialización en el sitio web intitucional para recibir los respectivos proyectos, la cual se proyecta realizar a finales del mes de mayo. </t>
  </si>
  <si>
    <t xml:space="preserve">Información en sitio web </t>
  </si>
  <si>
    <t xml:space="preserve">La actividad fue realizada en el mes de mayo (21), se contó con la presencia de 100 participación.   </t>
  </si>
  <si>
    <t>EHSP 2022 Internacional</t>
  </si>
  <si>
    <t>Sede - Circuitos de maratones</t>
  </si>
  <si>
    <t>Inscripción de equipos Maratón nacional de programación</t>
  </si>
  <si>
    <t xml:space="preserve">Se proyecta participar con 3 equipos, y se encuentra a la espera de fechas para el respesctivo evento  </t>
  </si>
  <si>
    <t xml:space="preserve">La ETITC interactuó en 3 diferentes sesiones (24 de febrero, 3 y 10 de marzo) con estudiantes y docentes de la Universidad San Marcos de Costa Rica. "Potenciando humanidad a través de la comunicación"  </t>
  </si>
  <si>
    <t>Evidencias de las sesiones realizadas</t>
  </si>
  <si>
    <t xml:space="preserve">La ETITC interactuo en 3 diferentes sesiones (24 de febrero, 3 y 10 de marzo) con estudiantes y docentes (Jackeline Prieto) de la Universidad San Marcos de Costa Rica. "Potenciando humanidad a través de la comunicación " 
 </t>
  </si>
  <si>
    <t xml:space="preserve">Se participo en un evento de la Universidad de Boston los días 1° y 2° de junio. 
</t>
  </si>
  <si>
    <t xml:space="preserve">En el marco de la Asamble nacional de ACOFI, el Decano de la Facultad participó en la sesión realizada en Barranquilla (17 y 18 de marzo)
Desde el 28 de marzo se contó con la movilidad del Decano de la Facultad de la Universidad Técnica de Bulgaria. </t>
  </si>
  <si>
    <t>Certificados de asistencia</t>
  </si>
  <si>
    <t xml:space="preserve">Se participo en el evento de la universidad de Sofia del 27 de mayo al 4 de junio </t>
  </si>
  <si>
    <t>Renovación</t>
  </si>
  <si>
    <t>Renovación licencia Enterprise Archictect</t>
  </si>
  <si>
    <t>Renovación adquirida</t>
  </si>
  <si>
    <t>Se envio la solicitud al personal de Mesa de ayuda para la renovación del Software.</t>
  </si>
  <si>
    <t>Correo eléctronico</t>
  </si>
  <si>
    <t>Kits de informática forense (3) y formación</t>
  </si>
  <si>
    <t>Instrumento adquirido</t>
  </si>
  <si>
    <t xml:space="preserve">Se realizo una solicitud de cotización con la empresa MSAB, para determinar el valor de la herramienta en mención. </t>
  </si>
  <si>
    <t>Fase II - Laboratorio de IA y Ciencia de Datos</t>
  </si>
  <si>
    <t>Fase II completada</t>
  </si>
  <si>
    <t>PE-14- Nuevos programas  de pregrado y posgrado</t>
  </si>
  <si>
    <t>ME-29-  Lograr  al 2023 el Registro Calificado de 1 Especialización Profesional, 1 Especialización Tecnológica, al 2024, 1 carrera profesional por ciclos y 1 Maestría.</t>
  </si>
  <si>
    <t>Desarrollo contractual</t>
  </si>
  <si>
    <t>Diseño y construcción del programa de Maestría relacionada con Seguridad Informática (Estudio de Factibilidad)</t>
  </si>
  <si>
    <t>Documento elaborados
(PFC)</t>
  </si>
  <si>
    <t>Con corte a 30 de marzo se cuenta con el informe de avance (estudio de viabilidad y factibilidad)</t>
  </si>
  <si>
    <t xml:space="preserve">Desde la vigencia 2021 se ejecutó el contrato 327, a la fecha se cuenta con los estudios de factibilidad, desde la Facultad de Sistemas se realizará un analisis para determinar la necesidad de correcciones a los estudios previos, posteriormente se realizará una socialización ante el Vicerrector Acádemico, paso siguiente si se determina la oportunidad se realizará la respectiva presentación ante el Concejo Acádemico.
Se encuentran en elaboración los estudios previos para la contratacióin de los 
anexos técnicos   </t>
  </si>
  <si>
    <t>Convocatoria, perfeccionamiento y desarrollo contractual</t>
  </si>
  <si>
    <t>Diseño y construcción del programa de Maestría relacionada con Seguirdad Informática (Documento mestro y anexos)</t>
  </si>
  <si>
    <t>Documento elaborados</t>
  </si>
  <si>
    <t>FACULTAD DE ESPECIALIZACIONES</t>
  </si>
  <si>
    <t>Diseño y construcción de todos los documentos y anexos necesarios para las tres (3) nuevas especializaciones (cambio de caracter académico)</t>
  </si>
  <si>
    <t>Documentos diseñados y estructurados</t>
  </si>
  <si>
    <t>Con la ayuda de un grupo de asesores externos se está elaborando los respectivos documentos para la estructuración de las 3 especializaciones, estos se entregaran el 31 de agosto. ($120.000.000)</t>
  </si>
  <si>
    <t xml:space="preserve">Documentos maestros </t>
  </si>
  <si>
    <t>El pasado 21 de junio se realizo un Consejo académico extraordinario, en el cual y a través  del procedimiento GDA- PC- 02 procedimiento de registro calificado (y para las 3 especializaciones), se mostró la consolidación de los 3 primeros pasos del procedimiento en mención: 1. Necesidad académica. 2. Análisis de oportunidad y pertinencia. 3. Aprobación de factibilidad y /o Viabilidad del programa. El 4° paso "Elaboración del documentos maestros" se surtira a más tardar en agosto de la presente vigencia.  
Los  contratos 315, 317 y 325 de 2022 finalizan en el mes de agosto.</t>
  </si>
  <si>
    <t xml:space="preserve">Acta de reunión </t>
  </si>
  <si>
    <t>OE-10-Establecer un nuevo acuerdo ambiental mediante una
política institucional ambiental y la catedra institucional
en la ETITC.</t>
  </si>
  <si>
    <t>PE-26- Actualización de la infraestructura física, cumpliendo normativas aplicables y generando espacios adecuados para el desarrollo de actividades académicas y de bienestar en un el marco de la sostenibilidad</t>
  </si>
  <si>
    <t>ME-68- Gestionar las dotaciones de las instalaciones y sede principal para la permanencia y aumento de la oferta</t>
  </si>
  <si>
    <t>Ambiente especializado de aprendizaje y ensayos de Lubricación: Compra de elementos laboratorio, Formación docentes, Adecuación espacios</t>
  </si>
  <si>
    <t xml:space="preserve">Dos Luxometros y 2 Sonómetros con sus respectivas bases </t>
  </si>
  <si>
    <t>Porcentaje de las dotaciones nuevas instaladas y mantenimiento de las dotaciones existentes</t>
  </si>
  <si>
    <t>Equipos instalados y entregados</t>
  </si>
  <si>
    <t>Desde la vigencia 2021 se cuenta con los estudios previos, se proyecta realziar durante el 2 trimestre de la vigencia. Se espera el concepto desde la Oficina de Contratación para reactivar el proyecto.</t>
  </si>
  <si>
    <t xml:space="preserve">El viernes 24 de junio se hizo una reunión con la Oficina de Juridica Contratación, en este espacio se realizó una evaluación acerca de la factibilidad en las diferentes 3 propuestas, se esta a la espera de que se tome la desición acerca del oferente más óptimo. </t>
  </si>
  <si>
    <t xml:space="preserve">2. Diseño de estructuración, implementación y seguimiento del laboratorio </t>
  </si>
  <si>
    <t>Organizar el espacio adecuado para el "Laboratorio de Metrología"</t>
  </si>
  <si>
    <t>Espacios adecuados 
(PFC)</t>
  </si>
  <si>
    <t xml:space="preserve">Se envio corros a 8 proveedores de los cuales 3 han dado respuesta. Este proyecto cuenta con 7 fases. 
Se proyecta para el 21 de abril una reunión con e Instituto Nacional de Metrología </t>
  </si>
  <si>
    <t xml:space="preserve">Solicitudes y cotizaciones enviadas </t>
  </si>
  <si>
    <t xml:space="preserve">Se realizó una reunión (7 de junio) con la Oficina de Planeación en la que se determino que este proyecto se estructurará en 7 fases, la primera de ellas será el diagnóstico, este tendrá un valor de $6.000.000 MTE ; se tiene pendiente la elaboración del estudio previo por parte del Profesional Enrique C. de la Oficina de Jurídica Contratación. </t>
  </si>
  <si>
    <t>Documentos de presentación oferentes</t>
  </si>
  <si>
    <t>BIBLIOTECA Y MEDIOS EDUCATIVOS</t>
  </si>
  <si>
    <t>Actualización y mejoramiento</t>
  </si>
  <si>
    <t>Prestación de servicios para el correcto funcionamiento del área</t>
  </si>
  <si>
    <t>Actualmente se cuenta con 2 contratistas en el área Cto 106- 20222 y Cto-105 de 2022. $ 40.162.500.</t>
  </si>
  <si>
    <t xml:space="preserve">Los Ctos 105 y 106 de 2022, se ejecutan con normalidad. </t>
  </si>
  <si>
    <t xml:space="preserve">Actas de inicio y plan de trabajo mensual </t>
  </si>
  <si>
    <t>Renovación de contenidos y servicios   para la Biblioteca Digital E-Books 7-24, como apoyo a las actividades académicas e investigación de la comunidad en general durante doce (12).  Editorial Pearsons</t>
  </si>
  <si>
    <t>Renovación ejecutada</t>
  </si>
  <si>
    <t>El contrato de la vigencia 2021 continua hasta septiembre de la vigencia 2022, en dado caso de necesitar actualizar los recursos bibliograficos se surtira el debido proceso.</t>
  </si>
  <si>
    <t>A través del contrato 253 de 2021 se realiza la actualización de contenidos para la biblioteca digital, se proyecta su renovación durantel el mes de septiembre</t>
  </si>
  <si>
    <t xml:space="preserve">Renovación de contenidos y servicios   para la Biblioteca Digital E-Books 7-24, como apoyo a las actividades académicas e investigación de la comunidad en general durante doce (12).  Editorial mc. Graw Hill </t>
  </si>
  <si>
    <t xml:space="preserve">Con las diferentes decanaturas y el IBTI, se esta recopilando la información acerca de los recursos bibliográficos que son necesarios de actualizar para la vigencia.  </t>
  </si>
  <si>
    <t xml:space="preserve">Se proyecta realizar la reactivación del proceso durante el mes de septiembre. </t>
  </si>
  <si>
    <t>Renovación Servicio Especializado de Metabiblioteca (servidor en internet modalidad cloud services) de los Sistemas Koha, OJS, Dspace y la implementacion del sistema Metaproxy, Soportes Digitales de Información.</t>
  </si>
  <si>
    <t>El contrato de la vigencia 2021 continua hasta septiembre de la vigencia 2022, en dado caso de ncesitar actualizar los recursos bibliograficos se surtira el debido proceso.</t>
  </si>
  <si>
    <t>El Cto 264 2021 se encuentra en ejecución con normalidad y se proyecta su continuidad (renovación del contrato), durante el mesd e agosto.</t>
  </si>
  <si>
    <t>Renovación anual de diarios nacionales El TIEMPO, ESPECTADOR PORTAFOLIO y revista
SEMANA</t>
  </si>
  <si>
    <t>El área se encuentra en espera del concepto del área de Contratación.</t>
  </si>
  <si>
    <t>Digitalización Proyectos de Grado para Repositorio Institucional</t>
  </si>
  <si>
    <t>Digitalización realizada</t>
  </si>
  <si>
    <t xml:space="preserve">El área se encuentra en comunicación constante con los autores de lo Proyectos de grado, con el fin de solicitar la autorización de digitalizar dichos documentos. </t>
  </si>
  <si>
    <t xml:space="preserve">Avance de Trabajos de grado adelantados </t>
  </si>
  <si>
    <t>Actualización de material bibliográfico impreso</t>
  </si>
  <si>
    <t>Elementos bibliograficos adquiridos</t>
  </si>
  <si>
    <t>Los Institucional: La transformación cultural de la ETITC</t>
  </si>
  <si>
    <t>TALLERES Y LABORATORIOS</t>
  </si>
  <si>
    <t>PE-9 Tecnologías de información y comunicaciones al servicio de la academia y la ciencia</t>
  </si>
  <si>
    <t>ME-17 Adecuar las capacidades tecnológicas para atender las necesidades de los procesos misionales.</t>
  </si>
  <si>
    <t>3. Mantenimiento de laboratorios  ETITC</t>
  </si>
  <si>
    <t>Mantenimiento de horno de inducción y mexcladora de rulos (Fundición)</t>
  </si>
  <si>
    <t xml:space="preserve">Mantenimiento realizado </t>
  </si>
  <si>
    <t>El CTO 158  de 2022, se encuentra publicado y se esta a la espera de la contratación.</t>
  </si>
  <si>
    <t>SECOP ll</t>
  </si>
  <si>
    <t>SUMINISTRO DE GASES INDUSTRIALES PARA LOS TALLERES DE METALISTERIA, FUNDICIÓN, TRATAMIENTOS TÉRMICOS, MODELERÍA Y MOTORES, MEDIANTE LA FORMA DE MONTO AGOTABLE, DE LA ESCUELA TECNOLÓGICA INSTITUTO TÉCNICO CENTRAL</t>
  </si>
  <si>
    <t xml:space="preserve">Esta actividad se esta desarrollando a través del proceso IP017- 2022. Se ejecutará a lo largo de la vigencia ($20.515.600). </t>
  </si>
  <si>
    <t>Proceso contractual 
 IP017- 2022</t>
  </si>
  <si>
    <t xml:space="preserve">El Cto 169 de 2022 se ejecuta con normalidad, a través de este se realiza el sumistro de los gases necesarios para el funcionamiento de los talleres y laboratorios. </t>
  </si>
  <si>
    <t xml:space="preserve">Ejecución Contractual </t>
  </si>
  <si>
    <t>Adquisición de materiales para los laboratorios de quimica y fisica</t>
  </si>
  <si>
    <t>Estan en elaboración los estudios previos y estudio de mercado.</t>
  </si>
  <si>
    <t>A través del Cto 182 de 2022, con la empresa Norquimicos LTDA,  se adquirió la totalidad de los insumos.</t>
  </si>
  <si>
    <t>Mantenimiento de las impresoras del taller de diseño</t>
  </si>
  <si>
    <t>Los estudios previos se encuentran en corrección por parte de la  Oficina de Contratación; de la mano de la profesional Claudia se ajusta el documento, posteriormente se realizará la publicación del mismo.
Se cuenta con el CDP N° 13422.</t>
  </si>
  <si>
    <t>Mantenimiento preventivo, correctivo y calibración de los equipos del taller de electrónica.</t>
  </si>
  <si>
    <t>Los estudios previos se encuentran en corrección por parte de la  Oficina de Contratación; de la mano de la profesional Enrique Cardoso, se ajusta el documento, posteriormente se realizará la publicación del mismo.</t>
  </si>
  <si>
    <t>Mantenimiento preventivo, correctivo de equipos y maquinaria del taller de Metalisteria</t>
  </si>
  <si>
    <t xml:space="preserve">Se cuenta con el borrador de los estudios previos, se esta a la espera de la designación de padrino por parte de la Oficina de Contratación. </t>
  </si>
  <si>
    <t>CDP Y borrador de los EP</t>
  </si>
  <si>
    <t>Mantenimiento y calibración para los equipos del taller de Motores, para el desarrollo de las clases teorico-practicas en apoyo a IBTI, PES y extensión y desarrollo</t>
  </si>
  <si>
    <t xml:space="preserve">Mantenimiento y calibración de: Motores monofasicos, trifasicos, transformadores monofasicos y trifasicos, torrecilla para medidas y máquinas electrícas DL 1013M3, multimetros, osciloscopios, módulos inductivos, capacitivos y resistivos DL Lorenzo, cámara termográfica, analizador de redes, variacs. </t>
  </si>
  <si>
    <t>Se cuenta con el CDP N° 10622, se cuenta con la estructuración adecuada de los estudios previos</t>
  </si>
  <si>
    <t xml:space="preserve">CDP aprobado </t>
  </si>
  <si>
    <t>Mantenimiento preventivo y correctivo y calibración de los equipos:
1. Taller de Mecánica
2. Taller de Automatización industrial
3.Taller de FAB LAB
4. Taller de insustria 4.0
5.Taller instalaciones eléctricas B.T.
6.Taller de domótica
7. taller de tratamientos térmicos.</t>
  </si>
  <si>
    <t>Se realiza el mantenimiento preventivo al taller de Mecánica (1 semestre 2022), Cto 368- 2021 (valor de prorroga 57.500.000).</t>
  </si>
  <si>
    <t xml:space="preserve">Ejecución del contrato Cto 368- 2021 </t>
  </si>
  <si>
    <r>
      <rPr>
        <b/>
        <sz val="14"/>
        <rFont val="Calibri"/>
        <family val="2"/>
        <scheme val="minor"/>
      </rPr>
      <t>Taller de Mecánica:</t>
    </r>
    <r>
      <rPr>
        <sz val="14"/>
        <rFont val="Calibri"/>
        <family val="2"/>
        <scheme val="minor"/>
      </rPr>
      <t xml:space="preserve"> Se cuenta con el CDP N° 
</t>
    </r>
  </si>
  <si>
    <t>4. Adquisición de elementos e insumos para los laboratorios ETITC</t>
  </si>
  <si>
    <t>Adquisición de insumos para: 
1. Taller de fundición
2. Taller de diseño</t>
  </si>
  <si>
    <t>La adquisición de insumos para el taller de Diseño se realizará a través del proceso: IP 020 de 2022. CDP 10222. $29.190.861</t>
  </si>
  <si>
    <t>Proceso contractual 
 IP020- 2022</t>
  </si>
  <si>
    <r>
      <rPr>
        <b/>
        <sz val="14"/>
        <rFont val="Calibri"/>
        <family val="2"/>
        <scheme val="minor"/>
      </rPr>
      <t>Taller de diseño</t>
    </r>
    <r>
      <rPr>
        <sz val="14"/>
        <rFont val="Calibri"/>
        <family val="2"/>
        <scheme val="minor"/>
      </rPr>
      <t xml:space="preserve">: se ejecuto con normalidad el Cto 175 de 2022.
</t>
    </r>
    <r>
      <rPr>
        <b/>
        <sz val="14"/>
        <rFont val="Calibri"/>
        <family val="2"/>
        <scheme val="minor"/>
      </rPr>
      <t xml:space="preserve">Taller proseso: </t>
    </r>
    <r>
      <rPr>
        <sz val="14"/>
        <rFont val="Calibri"/>
        <family val="2"/>
        <scheme val="minor"/>
      </rPr>
      <t>Se encuentra en proceso la</t>
    </r>
    <r>
      <rPr>
        <b/>
        <sz val="14"/>
        <rFont val="Calibri"/>
        <family val="2"/>
        <scheme val="minor"/>
      </rPr>
      <t xml:space="preserve"> </t>
    </r>
    <r>
      <rPr>
        <sz val="14"/>
        <rFont val="Calibri"/>
        <family val="2"/>
        <scheme val="minor"/>
      </rPr>
      <t>SIE 022,  se encuentra en proceso de adjudicación (75.811.543).</t>
    </r>
  </si>
  <si>
    <t>Suministro de insumos y materiales.
Taller de Motores.
taller de electricidad
taller de Mecánica
taller de FAB LAB
taller de Insustria 4.0
taller de Automatización industrial
taller de Instalaciones eléctricas de B.T.
taller de Domótica
taller de Tratamientos térmicos
Taller de Modeleria</t>
  </si>
  <si>
    <t>Se esta la etapa pre contractual (solicitud de cotizaciones, estudios previos, estudios de mercado).</t>
  </si>
  <si>
    <r>
      <rPr>
        <b/>
        <sz val="14"/>
        <rFont val="Calibri"/>
        <family val="2"/>
        <scheme val="minor"/>
      </rPr>
      <t>Con relación al Taller de Mecánica:</t>
    </r>
    <r>
      <rPr>
        <sz val="14"/>
        <rFont val="Calibri"/>
        <family val="2"/>
        <scheme val="minor"/>
      </rPr>
      <t xml:space="preserve"> Se cuenta con el CDP aprobado  14522, por un valor  150.065.409.
</t>
    </r>
    <r>
      <rPr>
        <b/>
        <sz val="14"/>
        <rFont val="Calibri"/>
        <family val="2"/>
        <scheme val="minor"/>
      </rPr>
      <t xml:space="preserve">Con relación al Taller de modelería: </t>
    </r>
    <r>
      <rPr>
        <sz val="14"/>
        <rFont val="Calibri"/>
        <family val="2"/>
        <scheme val="minor"/>
      </rPr>
      <t xml:space="preserve">Se cuenta con el  CDP 14122 por  $82.000.000
</t>
    </r>
    <r>
      <rPr>
        <b/>
        <sz val="14"/>
        <rFont val="Calibri"/>
        <family val="2"/>
        <scheme val="minor"/>
      </rPr>
      <t xml:space="preserve">Con relación al taller de Automatización industrial: </t>
    </r>
    <r>
      <rPr>
        <sz val="14"/>
        <rFont val="Calibri"/>
        <family val="2"/>
        <scheme val="minor"/>
      </rPr>
      <t>Los estudios previos se encuentran en revisión por la Oficina de Contratación.
Se solicitaron las cotizaciones de los talleres de Tratamientos térmicos y Domótica.</t>
    </r>
  </si>
  <si>
    <t xml:space="preserve">Mantenimiento de equipos de laboratorio quimica y fisica </t>
  </si>
  <si>
    <t>Se revisara la factibilidad para la ejecución de esta actividad.</t>
  </si>
  <si>
    <t>Compra de equipos de instrumentación como apoyo a las actividades académicas para los estudiantes de IBTI y PES de talleres y Laboratorios del taller de electrónica.</t>
  </si>
  <si>
    <t>Se encuentra en la etapa pre contractual (solicitud de cotizaciones, estudios previos, estudios de mercado).
Se esta realizando el diagnóstico de elementos requeridos en el taller respectivo.</t>
  </si>
  <si>
    <t xml:space="preserve">Se radicaron los estudios previos, y se esta a la espera de la aprobación de los estudios previos. </t>
  </si>
  <si>
    <t>Suministro de insumos para el desarrollo de las actividades academico tecnicas  de los PES, IBTI y Programas de extension del taller de Metalisteria</t>
  </si>
  <si>
    <t xml:space="preserve">Se esta la etapa pre contractual (solicitud de cotizaciones, estudios previos, estudios de mercado).
</t>
  </si>
  <si>
    <t>Se cuenta con el CDP 13922 por $27.761.200</t>
  </si>
  <si>
    <t>Presentación digital de los talleres y laboratorios</t>
  </si>
  <si>
    <t>ESTA ACTIVIDAD NO ESTA APROBADA NI PRIORIZADA.</t>
  </si>
  <si>
    <t xml:space="preserve">Se cuenta con los borradores de 13 talleres, estos se enviaron a Conmunicaciones. Quedan faltando 3 talleres. </t>
  </si>
  <si>
    <t xml:space="preserve">5. Diseño, estructuración, implementación  y seguimiento del laboratorio </t>
  </si>
  <si>
    <t>Laboratorio de vehículos eléctricos</t>
  </si>
  <si>
    <t>Laboratorio estructurado y en funcionamiento  (PFC)</t>
  </si>
  <si>
    <t>Haciendo uso de los estudios previos realizados con anterioridad por parte de los profesionales del área, se plantea una reunión para el mes de agosto, con el fin de estructurar EP con factibilidad y viabilidad</t>
  </si>
  <si>
    <t xml:space="preserve">implementaciòn </t>
  </si>
  <si>
    <t>Contratación Laboratoristas</t>
  </si>
  <si>
    <t xml:space="preserve">Los Contratos: 061, 062,063, 064, 065, 066, 067, 068,069, 070, 071, 072, 073, 074, 075, 104 y 143 de 2022 se ejecutan con normalidad y tienen vigencia hasta el 30 de noviembre. </t>
  </si>
  <si>
    <t xml:space="preserve">PREGUNTAR PLANTA FÍSICA </t>
  </si>
  <si>
    <t xml:space="preserve">Suministro e instalación de la planta solar fotovoltaica en los bloques F,G Y H de la sede centro </t>
  </si>
  <si>
    <t>Planta solar instalada (PFC)</t>
  </si>
  <si>
    <t xml:space="preserve">OE-5- Consolidar la infraestructura física de la Escuela para el desarrollo de la academia y la consolidación
de las nuevas apuestas institucionales. </t>
  </si>
  <si>
    <t>INSTALACIONES KENNEDY</t>
  </si>
  <si>
    <t>PE-13- Gestión integral de inmuebles</t>
  </si>
  <si>
    <t>ME-26 Formular el plan de administración e intervención  de las instalaciones en comodato Localidad Kennedy</t>
  </si>
  <si>
    <t xml:space="preserve">Diagnóstico, implemnetación y ejecución </t>
  </si>
  <si>
    <t>Diagnóstico de necesidades de mantenimiento de la infraestructura eléctrica de las instalaciones del Tintal y Carvajal -  Contratación de un profesional que brinde el apoyo en el mantenimiento del sistema eléctrico del Tintal y Carvajal.</t>
  </si>
  <si>
    <t>Porcentaje de formulación del Plan de administración e intervención de las instalaciones en comodato.</t>
  </si>
  <si>
    <t>Diagnóstico realizado</t>
  </si>
  <si>
    <t>El diagnóstico de necesidades de mantenimiento de la infraestructura eléctrica de las instalaciones del Tintal y Carvajal fue realizado durante el mes de febrero, con base en lo anterior se realizo un plan de trabajo el cual será desarrollado a través de la vigencia. 
Actualmente se desarrolla el Cto-  con normalidad.</t>
  </si>
  <si>
    <t>Plan de trabajo Planta Física . Infraestructura Eléctrica</t>
  </si>
  <si>
    <t>Mantener las instalaciones de Kennedy en óptimas condiciones.</t>
  </si>
  <si>
    <t xml:space="preserve">Diagnóstico de necesidadedes para el  desarrollo de las actividades misionales de las instalaciones Tintal y Carvajal -  Contratación de cuatro profesionales que brinden el  servicio en el área de enfermeria Carvajal , psicología, tallerista medios audiovisuales, apoyo talleres y laboratorios  y biblioteca. </t>
  </si>
  <si>
    <t xml:space="preserve">Se surtieron los procesos contractuales en la sede Tintal para la Enfermeria, psicología. 
Se cuenta con personal de planta en el enfermeria de la Sede Carvajal, apoyo de medios audiovisuales y sistemas en la Sede Tintal. 
Se proyecta surtir los respectivos procesos para los talleristas y bibliotecologos una vez se reciban los espacios en adecuado funcionamiento. </t>
  </si>
  <si>
    <t xml:space="preserve">Actas de incio. </t>
  </si>
  <si>
    <t>Diagnóstico de necesidades de mantenimiento de la infraestructura locativa de las instalaciones del Tintal y Carvajal -  Contratación de un profesional que brinde el apoyo en el mantenimiento locativo.</t>
  </si>
  <si>
    <t>Porcentaje de ejecución del Plan de administración e intervención de las instalaciones en comodato.</t>
  </si>
  <si>
    <t>Las sedes cuentan con 2 personas que apoyan el mantenimiento locativo (una persona de planta y una persona por prestación de servicios).</t>
  </si>
  <si>
    <t>Dotar los talleres y laboratorios de las instalaciones Kennedy</t>
  </si>
  <si>
    <t xml:space="preserve">Esta actividad se proyecta para el 2° semestre de la vigencia. </t>
  </si>
  <si>
    <t>Diagnóstico de la necesidad estratégica,implementación - estudio de mercado. Ejecución- compra de los elementos y reclutamiento de un profesional para soporte tecnológico.</t>
  </si>
  <si>
    <t xml:space="preserve">Para el tema de conectividad se realizaron compras e instalaciones necesarias. </t>
  </si>
  <si>
    <t>VICERRECTORIA ACADÉMICA</t>
  </si>
  <si>
    <t>VICERRECTORIA DE INVESTIGACIÓN EXTENSIÓN Y TRANSFERENCIA</t>
  </si>
  <si>
    <t>Los social: Un acuerdo para lo fundamenta</t>
  </si>
  <si>
    <t>OBJETIVO ESTRATÉGICO
OE-8
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t>
  </si>
  <si>
    <t>INVESTIGACIÓN</t>
  </si>
  <si>
    <t>PE. 17 Centro de Pensamiento y Desarrollo Tecnológico</t>
  </si>
  <si>
    <t xml:space="preserve">ME-38- Elaborar los estudios de prefactibilidad, justificación técnica, el diagnóstico de Recursos Humanos, Financieros y Disponibilidad de Infraestructura y Tecnologías de la Información, vinculadas a las actividades de investigación, desarrollo e Innovación del Centro de Pensamiento y Desarrollo Tecnológico. </t>
  </si>
  <si>
    <t>Actividades de  prefactibilidad</t>
  </si>
  <si>
    <t>Estudios de prefactibilidad</t>
  </si>
  <si>
    <t xml:space="preserve">Informes realizados (PFC) </t>
  </si>
  <si>
    <t xml:space="preserve">Durante el 1° trimestre de la vigencia,  en torno al diagnóstico del Centro de Pensamiento y Desarrollo Tecnológico, se han desarrollorrado 8 reuniones con las diferentes Facultades, a  través de estos escuentros se han recogido conclusiones, con el fin de que el proyecto sea de conocimiento para la comunidad educativa. 
Se muestra como evidencias la matriz que integra los componentes: Direccionamiento estratégico, Interrelaciones, Recursos, Actividades. 
Estos componentes responden a las requerimientos del MinCiencias, con el fin de que el CPDT tenga la capacidad autoevaluarse. </t>
  </si>
  <si>
    <t>Guia del CPDT</t>
  </si>
  <si>
    <t xml:space="preserve">Convocatoria Jovenes Talentosos </t>
  </si>
  <si>
    <t>Convocatoria realizada (PFC)</t>
  </si>
  <si>
    <t>Esta actividad no ha tenido avamce en el 1° trimestre de la vigencia</t>
  </si>
  <si>
    <t xml:space="preserve">Congreso de Ingeniería, Desarrollo Humano y Sostenibilidad Global. </t>
  </si>
  <si>
    <t>Congreso eralizado  (PFC)</t>
  </si>
  <si>
    <t>Diseño y desarrollo de proyectos de investigación</t>
  </si>
  <si>
    <t>Proyectos de Investigación desarrollados (PFC)</t>
  </si>
  <si>
    <t xml:space="preserve">Capacitación en Investigación </t>
  </si>
  <si>
    <t>Capacitación realizada (PFC)</t>
  </si>
  <si>
    <t>ME-40 Establecer la red institucional y de alianzas estratégicas del Centro con los respectivos sosportes que los respalde</t>
  </si>
  <si>
    <t>Actividades de red institucional</t>
  </si>
  <si>
    <t xml:space="preserve">Lineas de investigación y focos estratégicos definidos </t>
  </si>
  <si>
    <t xml:space="preserve">Informes realizados </t>
  </si>
  <si>
    <t xml:space="preserve">En esta actividad no se muestra avances, sin embargo, se tiene previsto para el 2° trimestre de la vigencia. </t>
  </si>
  <si>
    <t>PE. 18. Fortalecimiento Permanente en Competencias en Investigación, Ciencia, Tecnología e Innovación en la ETITC</t>
  </si>
  <si>
    <t>ME-43- Diseñar  e implementar  un Programa de capacitación permanente para la Investigación, Ciencia, Tecnología e Innovación y de fortalecimiento de la investigación en la ETITC.</t>
  </si>
  <si>
    <t>Formación en Actividades Ciencia, Tecnología e Innovación  (vigilancia, proyectos, redacción, emprendimiento)</t>
  </si>
  <si>
    <t>Programa de capacitaciones permanente implementado</t>
  </si>
  <si>
    <t>Informe de capacitación</t>
  </si>
  <si>
    <t>Esta actividas se proyecta realizar durante el 2° semestre de la vigencia</t>
  </si>
  <si>
    <t>Renovación  y capacitación en  base de datos  Web Of Science ( vigente 30 de abril)</t>
  </si>
  <si>
    <t>Resolucion renovación
Informe</t>
  </si>
  <si>
    <t xml:space="preserve">Actualmente se cuenta con los estudios previos, fueron radicados y aprobados ante la Oficina de Contratación el 15 de marzo. </t>
  </si>
  <si>
    <t xml:space="preserve">Renovación y capacitación de la herramienta Turnitin </t>
  </si>
  <si>
    <t>Informe</t>
  </si>
  <si>
    <t>Esta actividad se proyecta realizar el 1° de septiembre de la vigencia.</t>
  </si>
  <si>
    <t xml:space="preserve">ME. 44. Diseñar  e implementar  un Programa de fortalecimiento de grupos de investigación y ampliación de las modalidades de investigación. </t>
  </si>
  <si>
    <t>Actividades de gestión de investigación estudiantil  (Contrato Prestación de servicios)</t>
  </si>
  <si>
    <t xml:space="preserve">Programa de fortalecimiento de grupos y de investigación implementado </t>
  </si>
  <si>
    <t xml:space="preserve">Actualmente se ejecutan los contratos: 051, 052, 053, 054 y 055. Todos vigentes hasta en 17 de diciembre de 2022. </t>
  </si>
  <si>
    <t xml:space="preserve">Contratos e ejecución </t>
  </si>
  <si>
    <t xml:space="preserve">Convocatorias 09 -2021 y 10-2022  Financiación  proyectos de investigación para grupos  </t>
  </si>
  <si>
    <t>Proyectos de investigación</t>
  </si>
  <si>
    <t xml:space="preserve">Con la convocatoria 07 de 2019, se aprobó el proyecto: Proyectos de Investigación VIRTUS, Se cuenta con el estudio previo, con el fin de realizar la contratación para desarrollo del Software para apoyar las zonas turisticas de Bogotá. 
Apoyo de investigación para el grupo GEA, en el marco del día de la tierra. 
Se realizó una solicitud a la Oficina de Comunicaciones para la visibilidad de las actividades del la Jornada de la Tierra. 
Evaluación de 4 propuestas realizadas en el marco de la convocatoria 09 de 2021 con evaluadores de pares externos. Estudios previos 12 de enero. El informe final fue presentado el 17 de marzo.  
Gestión de Convenio con la Universidad Nacional de Colombia para dar inicio al proyecto aprobado en la convocatoria 890  de MinCinecias. El documento borrador fue aprobado por la Oficina Jurídica y envIado a revisión por la UN.
Con relación a la convocatoria 10 de 2022 se cuenta con el documento borrador para la revisión y aprobación del Vicerrector de Investigación. </t>
  </si>
  <si>
    <t xml:space="preserve">Solicitud de servicio Oficina de Comunicaciones 
Borrador de Convenio </t>
  </si>
  <si>
    <t xml:space="preserve">Convocatoria 02   Proyectos Disciplinares </t>
  </si>
  <si>
    <t>Proyectos disciplinares</t>
  </si>
  <si>
    <t>II Encuentro Institucional Docentes investigadores</t>
  </si>
  <si>
    <t xml:space="preserve">Participantes </t>
  </si>
  <si>
    <t>Se cuenta con los estudios previos y el CDP 9622 por $28.000.000 (actualización de autoevaluación 5.000.000 y  Campamento de investigación 18.000.000)</t>
  </si>
  <si>
    <t>Estudios previos y CDP</t>
  </si>
  <si>
    <t xml:space="preserve">Jornada actualización y fomento acreditación </t>
  </si>
  <si>
    <t>Jornada realziada</t>
  </si>
  <si>
    <t xml:space="preserve">Conmemoración dia del investigador </t>
  </si>
  <si>
    <t>informe</t>
  </si>
  <si>
    <t xml:space="preserve">Participación convocatorias externas de proyectos de investigación  ( Convenio SUE-) </t>
  </si>
  <si>
    <t>Proyectos aprobados</t>
  </si>
  <si>
    <t>Se cuentan con el CDP N 11722. 
Esta actividas se proyecta realizar durante el 2° semestre de la vigencia</t>
  </si>
  <si>
    <t>CDO N° 11722</t>
  </si>
  <si>
    <t>Afiliación a Redcolsi</t>
  </si>
  <si>
    <t>Resolución Membresía</t>
  </si>
  <si>
    <t>Actualmente se cuenta con la Resolución de pago N 128 del 3 de marzo del 2022.</t>
  </si>
  <si>
    <t xml:space="preserve">Resolución de pago </t>
  </si>
  <si>
    <t>IX Campamento de Semilleros de Investigación</t>
  </si>
  <si>
    <t>CDP 9622</t>
  </si>
  <si>
    <t>Encuentro Nodo Bogotá RedColsi</t>
  </si>
  <si>
    <t>Encuentro Nacional RedColsi</t>
  </si>
  <si>
    <t>Encuentro Internacional Redcolsi</t>
  </si>
  <si>
    <t>XI Encuentro Institucional de Semilleros de Investigación</t>
  </si>
  <si>
    <t>INNOVACIÓN</t>
  </si>
  <si>
    <t>ME-45 Implementar programa de transferencia de conocimiento ( fortalecer la visibilidad e impacto del conocimiento según los resultados de investigación generado por la activida científica, tecnológica, académica, social e industrial de la ETITC</t>
  </si>
  <si>
    <t>II Convocatoria Acompañamiento emprendimientos de Base Tecnológica</t>
  </si>
  <si>
    <t>Programa de transfarencias de conocimiento implementado</t>
  </si>
  <si>
    <t xml:space="preserve">Se programó y realizó un Comité de Propiedad Intelectual el 16 de marzo de 2022 para socializar las políticas y actividades que gestiona la Vicerrectoría en materia de propiedad intelectual, dentro del cual se socializó la I Convocatoria de Propiedad Intelectual (2021) con el fin de recibir retroalimentación e insumos para la construcción de la II Convocatoria de Propiedad Intelectual (2022), proyectada para el 2 trimestre. </t>
  </si>
  <si>
    <t>https://itceduco-my.sharepoint.com/:f:/g/personal/asesorinnovacion_itc_edu_co/ErGKbo_D46VOitI5W-6v8oUB1Gk-WUbXEGrPOUXsurC7AQ?e=Kjr2rD</t>
  </si>
  <si>
    <t xml:space="preserve">ME-46- Implementar el programa Incubadora tecnológica: Identificación y proyección de productos de investigación con potencial tecnológico y empresarial (spin-off, star-up, patentes...).  </t>
  </si>
  <si>
    <t xml:space="preserve"> II Convocatoria de Propiedad Intelectual</t>
  </si>
  <si>
    <t xml:space="preserve">Esta actividad se proyecta realziar para el 2° semestre. </t>
  </si>
  <si>
    <t>ME. 47. Fortalecer las redes de innovación y alianzas estratégicas de cooperación con otros actores del Sistema Nacional de Ciencia Tecnología e Innovación – SNCTI, sector público, privado y academia para actividades de Investigación, Desarrollo e Innovación - I+D+i.</t>
  </si>
  <si>
    <t xml:space="preserve">
I Encuentro Red de investigación e innovación de la ETITC</t>
  </si>
  <si>
    <t xml:space="preserve">1. Se llevó a cabo el Comité de Instalación de la Red de Investigación e Innovación en Ciencia y Tecnología para el Desarrollo Sostenible (31 de marzo de 2022) en donde se presentó la propuesta del I Encuentro de la Red. Se propuso realizar como I Encuentro un Congreso, organizado por la Red y el Centro de Pensamiento y Desarrollo Tecnológico de la ETITC. Así mismo, la propuesta fue socializada con el Rector (25 de marzo de 2022), Decanos e investigadores de la ETITC. 2. Se actualizó el sitio web de la Red de Investigación. Se incluyó: el video de presentación de la Red, el registro fotográfico del evento de lanzamiento de la Red, las Instituciones participantes y los miembros del Comité de Dirección.  </t>
  </si>
  <si>
    <t>1. https://itceduco-my.sharepoint.com/:f:/g/personal/asesorinnovacion_itc_edu_co/EtBfbkAvelROizK7Nu_gDCgBRWKVnuLNc5yba50imqtOOQ?e=fFuzyY 
2. https://etitc.edu.co/es/page/investigacion&amp;red</t>
  </si>
  <si>
    <t>Mantenimiento y comercialización de Patente Prensa de Alacrán con Tensor de Trinquete en la SIC</t>
  </si>
  <si>
    <t>1. Se realizó el pago de la anualidad de la patente correspondiente al año 2022 ante la Superintendencia de Industria y Comercio, CDP 10922 (548.000) . 
2. Se creó el site de la patente en la página web de la ETITC con el fin de visibilizar la invención y los avances en su transferencia 3. Se gestiona la fabricación del prototipo de la patente Prensa de Alacrán con Tensor de Trinquete de la mano del Centro de Pensamiento y Desarrollo Tecnológico de la ETITC, para lo cual se ha llevado a cabo: reunión con el ing. John Rincón, inventor de la patente (22 de marzo de 2022); elaboración de Estudios previos y solicitud de CDP para la "Elaboración de planos y fabricación del prototipo de la patente".</t>
  </si>
  <si>
    <t xml:space="preserve">1. https://itceduco-my.sharepoint.com/:f:/g/personal/asesorinnovacion_itc_edu_co/EqNQw7iI4L9EqMsyv1aJxAgBsO4P-s2DZFC4COUcWzCQYQ?e=Qj6M8D
2. https://etitc.edu.co/es/page/investigacion
3. https://itceduco-my.sharepoint.com/:f:/g/personal/asesorinnovacion_itc_edu_co/Eq4q8fUz5tJOpwKLzPbath4BV6cQV4I2Ys1I5WwAkgcXig?e=CP7fKI
</t>
  </si>
  <si>
    <t>ME. 48. Diseñar y estructurar el Observatorio Tecnológico y de Innovación de la ETITC</t>
  </si>
  <si>
    <t xml:space="preserve">Estudio de analisis Cienciometrico </t>
  </si>
  <si>
    <t>Inventario productos</t>
  </si>
  <si>
    <t>Se realizo el respectivo informe Bililiometrico en las 4 lineas de investigación con el Grupo GEA. Se evidencia el informe respectivo, Así mismo se proyecta realizar este análisis con los demás grupos de investigación.</t>
  </si>
  <si>
    <t>ME-49 Gestionar y crear el proyecto editorial de la Escuela Tecnológica Instituto  Técnico Central</t>
  </si>
  <si>
    <t>III Convocatoria Cuadernos ETITC</t>
  </si>
  <si>
    <t>Adquision ISBN</t>
  </si>
  <si>
    <t xml:space="preserve">Esta actividad se proyecta realziar durante el 2° semestre </t>
  </si>
  <si>
    <t>Boletines  ETITC</t>
  </si>
  <si>
    <t>Adquision DOI</t>
  </si>
  <si>
    <t xml:space="preserve">Esta actividad se proyecta realizar durante el 2° trimestre de la vigencia </t>
  </si>
  <si>
    <t>EXTENSIÓN</t>
  </si>
  <si>
    <t>PE-21- Proyección Social más allá de las fronteras</t>
  </si>
  <si>
    <t>ME-55- Realizar convenios que permitan la participación en convocatorias que den respuesta a comunidades vulnerables.</t>
  </si>
  <si>
    <t>Realizar convenios que permitan la participación en convocatorias que den respuesta a comunidades vulnerables.</t>
  </si>
  <si>
    <t>Convenios reaiizados con comunidades vulnerables</t>
  </si>
  <si>
    <t>Convenios suscritos</t>
  </si>
  <si>
    <t xml:space="preserve">Por confirmar </t>
  </si>
  <si>
    <t>Se han realizado acercamiento con empresa: FESTO (suministro de 11 cursos, acuerdo marco), SENA, SIEMENS, CONECTEC</t>
  </si>
  <si>
    <t>Actualmente se cuenta con el convenio FESTO (Vigente hasta el 2023).
Certificación como opción de grado y automatización industrial. 
Convenio adicional al convenio marco con el cual se ejecutaron 6 modulos de capacitación a 95 instructores del SENA (31 de mayo- 18 de junio)
Se recibió un total de 60.000.000. de los cuales 
$31.200.000. por servicios de capacitación (ingresaron por caja de la Escuela) y
28.800.000 de contratación docente.</t>
  </si>
  <si>
    <t>PE-20- Centro de Capacitación Industrial  como espacio de cualificación  para la empleabilidad a inmediato plazo.</t>
  </si>
  <si>
    <t xml:space="preserve">Crear vinculos estrategicos con empresas del sector </t>
  </si>
  <si>
    <t xml:space="preserve">Vinculos creados </t>
  </si>
  <si>
    <t xml:space="preserve">Con Bienestar Universitario se analizan las conclusiones del trabajo de reconocimientos del entorno, para identificar la oportunidad de ofertar cursos con las sedes de Mártires y Kennedy. </t>
  </si>
  <si>
    <t xml:space="preserve">Se han creado vinculos con las siguientes empresas:  Industrias licuadoras Super SAS, Syntofarma, Konecta, Mitsubishi, Electric de Colombia, Eurofarma, Corona, TRIO, Azorty, Lafayette, Imocom, Instituto Britanico
A cada una de estas empresas se les ha extendido invitación a la bolsa de empleo, oferta de servicios de capacitación, oferta de programas académicos de la ETITC. 
</t>
  </si>
  <si>
    <t xml:space="preserve">Incripciones a capacitaciones y eventos nacionales e internacionales </t>
  </si>
  <si>
    <t>Inscripciones realizadas</t>
  </si>
  <si>
    <t>Esta actividad se proyecta realizar durante el 2° trimestre de la vigencia 
La ETITC, participo en un Webinar dirigido por la Universidad de Colombia “Taller mujeres en la Ciencia”.</t>
  </si>
  <si>
    <t>Esta actividad se tiene proyectada para el 3° trimestre de la vigencia.</t>
  </si>
  <si>
    <t>Visitar instituciones oficiales</t>
  </si>
  <si>
    <t xml:space="preserve">visitas realziadas </t>
  </si>
  <si>
    <t>Esta actividad se proyecta realizar durante el 2° trimestre de la vigencia, sin embargo, se cuenta con la planeación para las visitas respectivas.</t>
  </si>
  <si>
    <t xml:space="preserve">Se han realizado visitas a: 
Secretaria de la Mujer (18 de junio).
Secretaria de Integración social. 
</t>
  </si>
  <si>
    <t xml:space="preserve">Participación en ferias institucionales y eventos académicos
</t>
  </si>
  <si>
    <t>Certificados de participación</t>
  </si>
  <si>
    <t>Esta actividad se proyecta realizar durante el 2° trimestre de la vigencia. sin embargo, se cuenta con la planeación para las visitas respectivas.</t>
  </si>
  <si>
    <t>ME-51.- Gestionar la oferta de asignaturas para procesos de cualificación como herramienta al mundo laboral y/o homologación e inserción en la educación Superior</t>
  </si>
  <si>
    <t xml:space="preserve">Aumentar las ofertas de asignaturas a los estudiantes PES.
</t>
  </si>
  <si>
    <t>Número asignaturas ofertadas para procesos de cualificación</t>
  </si>
  <si>
    <t>Asignaturas diseñadas y ofertadas</t>
  </si>
  <si>
    <t>Esta ctividad se plante consolidad durante el 2° trimestre de la vigencia.</t>
  </si>
  <si>
    <t>Desarrollar la asignatura de comunicación oral y escrita (54 horas) en el curso pre ingeniero durante el primer semestre de 2022.</t>
  </si>
  <si>
    <t>Ejecucción Contractual</t>
  </si>
  <si>
    <t xml:space="preserve">La actividad se ejecuta a través del contrato 099 de 2022 </t>
  </si>
  <si>
    <t xml:space="preserve">Esta actividad se realizo durante el 1° semestre. </t>
  </si>
  <si>
    <t>Desarrllar la asignatura de dibujo técnico (54 horas) en el curso pre ingeniero durante el primer semestre de 2022</t>
  </si>
  <si>
    <t xml:space="preserve">La actividad se ejecuta a través del contrato 100 de 2022 </t>
  </si>
  <si>
    <t>Desarrollar la asignatura de matemáticas básicas (108 horas) en el curso pre ingeniero durante el primer semestre de 2022</t>
  </si>
  <si>
    <t xml:space="preserve">La actividad se ejecuta a través del contrato 101 de 2022 </t>
  </si>
  <si>
    <t>Desarrollar la asignatura de principios de física (108 horas) en el curso pre ingeniero durante el primer semestre de 2022</t>
  </si>
  <si>
    <t xml:space="preserve">La actividad se ejecuta a través del contrato 103 de 2022 </t>
  </si>
  <si>
    <t>Desarrollar la asignatura de Orientación profesional (36 horas) en el curso pre ingeniero durante el primer semestre de 2022</t>
  </si>
  <si>
    <t xml:space="preserve">La actividad se ejecuta a través del contrato 102 de 2022 </t>
  </si>
  <si>
    <t>Desarrollando la asignatura de dibujo técnico (54 horas) en el curso pre ingeniero durante el segundo semestre de 2022.</t>
  </si>
  <si>
    <t xml:space="preserve">Esta actividad se ejecutará durante el 2° semestre, se proyecta a partir del 7 de julio la realziación de los cursos.  </t>
  </si>
  <si>
    <t>Desarrollar la asignatura de comunicación oral y escrita (54 horas) en el curso pre ingeniero durante el segundo semestre de 2022.</t>
  </si>
  <si>
    <t>Desarrollar la asignatura de matemáticas básicas (108 horas) en el curso pre ingeniero durante el segundo semestre de 2022</t>
  </si>
  <si>
    <t>Desarrollar la asignatura de principios de física (108 horas) en el curso pre ingeniero durante el segundo semestre de 2022</t>
  </si>
  <si>
    <t xml:space="preserve">Desarrollar la certificación automatización industrial 120 horas primer semestre
</t>
  </si>
  <si>
    <t xml:space="preserve">
El proceso para desarrollar esta actividad se efectúa a través de la Oficina de Contratación 
</t>
  </si>
  <si>
    <t>La certificación finalizó el 25 de junio (24 personas certificadas)</t>
  </si>
  <si>
    <t>Desarrollar la certificación automatización industrial intersementral</t>
  </si>
  <si>
    <t>Esta actividad inicio el 21 de junio y se proyecta su finalización el 23 de julio (21 estudiantes inscritos)</t>
  </si>
  <si>
    <t xml:space="preserve">Desarrollar la certificación automatización industrial 120 horas segundo semestre
</t>
  </si>
  <si>
    <t xml:space="preserve">La respectiva convocatoria se proyecta realizar a mediados de agosto. </t>
  </si>
  <si>
    <t>Desarrollar la certificación manufactura esbelta industria 4.0 segundo semestre</t>
  </si>
  <si>
    <t xml:space="preserve">
Desarrollar la certificación F.A.C.T.
</t>
  </si>
  <si>
    <t xml:space="preserve">Esta actividad aún no se ha ejecutado </t>
  </si>
  <si>
    <t>Desarrollar la certificación CIROS</t>
  </si>
  <si>
    <t>Desarrollar la certificación en instalaciones eléctricas primer semestre</t>
  </si>
  <si>
    <t xml:space="preserve">Esta actividad se desarrollara durante el 2° trimestre de la vigencia, sin embargo, ya se cuenta con el proceso de inscripciones, matriculas. 
</t>
  </si>
  <si>
    <t xml:space="preserve">Inscripciones de estudiantes </t>
  </si>
  <si>
    <t>Certificación Baja Tensión NTC IEC 60364</t>
  </si>
  <si>
    <t xml:space="preserve">Esta certificación inicio el 21 de junio con 15 estudiantes, finaliza el 23 de julio </t>
  </si>
  <si>
    <t>Desarrollar la certificación en instalaciones eléctricas segundo semestre</t>
  </si>
  <si>
    <t>Desarrollar la certificación en lean management primer semestre</t>
  </si>
  <si>
    <t xml:space="preserve">Esta actividad se desarrolla desde 4 marzo, cuenta con 18 estudiantes </t>
  </si>
  <si>
    <t xml:space="preserve">Inscripciones de estudiantes y registros de sesiones realizadas </t>
  </si>
  <si>
    <t>Esta certificación finalizo el 24 de junio, se certificaron  18 estudiantes.</t>
  </si>
  <si>
    <t>Desarrollar la certificación en lean management segundo semestre</t>
  </si>
  <si>
    <t>Desarrollando el diplomado de 120 horas</t>
  </si>
  <si>
    <t>Desarrollando el diplomado de 100 horas</t>
  </si>
  <si>
    <t xml:space="preserve">Desarrollar curso libre de 20 horas
</t>
  </si>
  <si>
    <t xml:space="preserve">Desarrollar curso libre de 30 horas
</t>
  </si>
  <si>
    <t xml:space="preserve">Desarrollar curso libre de 40 horas
</t>
  </si>
  <si>
    <t xml:space="preserve">Desarrollar curso libre de 50 horas
</t>
  </si>
  <si>
    <t xml:space="preserve">Desarrollar curso libre de 60 horas
</t>
  </si>
  <si>
    <t>El curso de CNC se desarrolla mediante el Cto-166 de 2022, cuenta con 14 participantes.</t>
  </si>
  <si>
    <t>Acta de inicio y evidencias de las sesiones relizadas</t>
  </si>
  <si>
    <t>Desarrollar curso a la medida de 20 horas</t>
  </si>
  <si>
    <t>Desarrollar curso a la medida de 30 horas</t>
  </si>
  <si>
    <t>Desarrollar curso a la medida de 40 horas</t>
  </si>
  <si>
    <t>Desarrollar curso a la medida de 50 horas</t>
  </si>
  <si>
    <t>Desarrollar curso a la medida de 60 horas</t>
  </si>
  <si>
    <t xml:space="preserve">Adquisición de elementos:
Libretas, cuadernos, memorias, esferos, pendones, exhibidores, puntos de atención, bolsas, resmas. 
</t>
  </si>
  <si>
    <t>Adquisición de equipos: Impresora a laser, computadores de mesa,  portatiles y pantallas inteligentes hibridos</t>
  </si>
  <si>
    <t>La impresora 3D, se esta adquiriendo a través de CT0 164 de 2022 (4.165.000) IP 008 DE 2022. CDP 7022</t>
  </si>
  <si>
    <t xml:space="preserve">Acta de incio y de adquisición </t>
  </si>
  <si>
    <t>ME-52- Diseñar y estructurar oferta de articulación</t>
  </si>
  <si>
    <t>Realizar acciones estrategicas para suscribir acuerdos con colegios</t>
  </si>
  <si>
    <t>Acuerdos suscritos</t>
  </si>
  <si>
    <t>ME-53- Identificar capacidades institucionales</t>
  </si>
  <si>
    <t>Llevar a cabo las actividades para la prestación del servicio educativos desde GITEPS</t>
  </si>
  <si>
    <t>Porcentaje de cumplimiento del plan anual de promoción de servicios</t>
  </si>
  <si>
    <t xml:space="preserve">Durante el 1° trimestre de la vigencia se han promovido: 
15 cursos (intensidad horaria entre 20 y 60 horas), 5 diplomados (intensidad horaria entre 80 a 120 horas), 4 certificaciones ( intensidad 120 horas)  . 
</t>
  </si>
  <si>
    <t>https://etitc.edu.co/es/</t>
  </si>
  <si>
    <t>Realizar actividades de Gestión de visibilidad institucional y oferta de servicios a nivel oficial, privado en el programa servimos de la función publica y en la liquidación del programa “reto a la u".</t>
  </si>
  <si>
    <t xml:space="preserve">Estrategias de visibilidad institucional realizadas </t>
  </si>
  <si>
    <t>Esta actividad se plante consolidad durante el 2° trimestre de la vigencia.</t>
  </si>
  <si>
    <t>En el marco del Convenio entre la ETITC y el programa “SERVIMOS” de la Función Pública, se estableció comunicación y socializó la oferta de educación continuada, del Centro de lenguas y de los Programas de Educación Superior con las oficinas de talento humano de 8 entidades públicas.
Se concreto la liquidación del convenio RetoAlaU</t>
  </si>
  <si>
    <t xml:space="preserve">Informe de actividades </t>
  </si>
  <si>
    <t>Desarrollar actividades de marketing del grupo interno de trabajo extensión y proyección social.</t>
  </si>
  <si>
    <t xml:space="preserve">Actividades de marketing realziadas </t>
  </si>
  <si>
    <t xml:space="preserve">Se han realizado actividades como publicidad a través de FACEBOOK institucional y correos masivos, de igual manera se actualizo la imagen de los cursos, diplomados, certificaciones a ofertar.  </t>
  </si>
  <si>
    <t>Imágenes publicitarias en redes sociales</t>
  </si>
  <si>
    <t>En el banner principal y Faccebook de la ETITC se hace publicidad a la oferta institucional.</t>
  </si>
  <si>
    <t>ME-54- Estructurar programa de oferta de servicios proyección social</t>
  </si>
  <si>
    <t xml:space="preserve"> Estructurar programa de oferta de servicios proyección social</t>
  </si>
  <si>
    <t>Proyecto estructurado</t>
  </si>
  <si>
    <t xml:space="preserve">Actualmente de identifica lo componentes necesarios para estructurar el programa de oferta.
Se oferta el curso de habilidades blandas. 
</t>
  </si>
  <si>
    <t>Con respecto a la actividad: Presentar propuesta de cursos gratuitos para poblaciones vulnerables;  se han realizado 2 cursos (1 terminado y completado) y (1 en 
proceso de inscripciones) estructurados de Proyección Social estructurados para 
las comunidad interna y externa de la institución.
El primer curso es: Habilidades Blandas para Entornos Dinámicos 1 que tuvo una 
inscripción plena de 26 de personas (particulares de la zona, egresados, 
estudiantes y docentes), de los cuales se certificaron 18 personas.
El segundo curso es Habilidades Blandas para Entornos Dinámicos 2.0 el cual se 
encuentra en fase de inscripciones con proyección a abrirse el 20 de junio</t>
  </si>
  <si>
    <t>CENTRO DE LENGUAS</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</si>
  <si>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</si>
  <si>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</si>
  <si>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Prestación de servicios profesionales para el apoyo de los cursos de idiomas como técnico de apoyo a la gestión del área del centro de lenguas DEL GITEPS</t>
  </si>
  <si>
    <t>Prestación de servicios profesionalescomo instructor curso de inglés nivel A1 de 100 horas para primer semestre.</t>
  </si>
  <si>
    <t>Esta actividad se ejecuta a través del contrato 128 de 2022</t>
  </si>
  <si>
    <t>Acta de incio</t>
  </si>
  <si>
    <t xml:space="preserve">Esta actividad se ejecuto durante el 1° semestre de la vigencia </t>
  </si>
  <si>
    <t>Prestación de servicios profesionalescomo instructor para curso de inglés nivel A2 de 120 horas para primer semestre.</t>
  </si>
  <si>
    <t>Esta actividad se ejecuta a través del contrato 129 de 2022</t>
  </si>
  <si>
    <t>Prestación de servicios profesionalescomo instructor curso de inglés nivel B1a de 100 horas para primer semestre.</t>
  </si>
  <si>
    <t>Esta actividad se ejecuta a través del contrato 130 de 2022</t>
  </si>
  <si>
    <t>Prestación de servicios profesionalescomo instructor curso de inglés nivel B1b de 100 horas para primer semestre.</t>
  </si>
  <si>
    <t>Esta actividad se ejecuta a través del contrato 127 de 2022</t>
  </si>
  <si>
    <t>Prestación de servicios profesionalescomo instructor curso de inglés nivel B2a de 100 horas para primer semestre.</t>
  </si>
  <si>
    <t>Esta actividad se ejecuta a través del contrato 131 de 2022</t>
  </si>
  <si>
    <t>Prestación de servicios profesionalescomo instructor curso de inglés nivel B2b de 100 horas para primer semestre.</t>
  </si>
  <si>
    <t>Esta actividad se ejecuta a través del contrato 126 de 2022</t>
  </si>
  <si>
    <t>Prestación de servicios profesionalescomo instructor curso de inglés nivel A1 de 100 horas para segundo semestre.</t>
  </si>
  <si>
    <t>Esta actividad se realizará en el segundo semestre a partir del 5 de julio.</t>
  </si>
  <si>
    <t>Prestación de servicios profesionalescomo instructor para curso de inglés nivel A2 de 120 horas para segundo semestre.</t>
  </si>
  <si>
    <t>Prestación de servicios profesionalescomo instructor curso de inglés nivel B1a de 100 horas para segundo semestre.</t>
  </si>
  <si>
    <t>Prestación de servicios profesionalescomo instructor curso de inglés nivel B1b de 100 horas para segundo semestre.</t>
  </si>
  <si>
    <t>Prestación de servicios profesionalescomo instructor curso de inglés nivel B2a de 100 horas para segundo semestre.</t>
  </si>
  <si>
    <t>Prestación de servicios profesionalescomo instructor curso de inglés nivel B2b de 100 horas para segundo semestre.</t>
  </si>
  <si>
    <t>Prestación de servicios profesionalescomo instructor curso de francés nivel A1 de 100 horas para primer semestre.</t>
  </si>
  <si>
    <t xml:space="preserve">Esta actividad aun no se ha ejecutado </t>
  </si>
  <si>
    <t>Prestación de servicios profesionalescomo instructor curso de francés nivel A2 de 120 horas para primer semestre.</t>
  </si>
  <si>
    <t>Prestación de servicios profesionalescomo instructor curso de francés nivel A1 de 100 horas para segundo semestre.</t>
  </si>
  <si>
    <t>Prestación de servicios profesionalescomo instructor curso de francés nivel A2 de 120 horas para segundo semestre.</t>
  </si>
  <si>
    <t>Prestación de servicios profesionalescomo instructor curso libre de alemán básico de 50 horas.</t>
  </si>
  <si>
    <t>Prestación de servicios profesionalescomo instructor curso libre de portugués básico de 50 horas.</t>
  </si>
  <si>
    <t>Prestación de servicios profesionalescomo instructor curso libre de portugués básico 1 de 50 horas.</t>
  </si>
  <si>
    <t>Adquisición  NTC 5550</t>
  </si>
  <si>
    <t>Elemento adquirido</t>
  </si>
  <si>
    <t xml:space="preserve">Esta actividad se realizará durante el 3° trimestre de la vigencia. </t>
  </si>
  <si>
    <t>Adquisición de 500 licencias, plataforma virtual bilingüe</t>
  </si>
  <si>
    <t xml:space="preserve">Licencias adquiridas </t>
  </si>
  <si>
    <t>Esta actividad se encuentra en un avance del 50%.
Se cuenta con estudios previos y estudio de mercado.</t>
  </si>
  <si>
    <t>Adquisición de licencia certificación internaciónal niveles MCE</t>
  </si>
  <si>
    <t xml:space="preserve">Compra de 50 equipos y 50 diademas </t>
  </si>
  <si>
    <t>EGRESADOS</t>
  </si>
  <si>
    <t>Desarrollar las actividades propias para la inclusión de egresados (seguimiento, acompañamiento, eventos etc.)</t>
  </si>
  <si>
    <t xml:space="preserve">Se han realizado Invitaciones de manera internas y externas (7), para que la comunidad académica participe. </t>
  </si>
  <si>
    <t xml:space="preserve">Se han realizado 2 conversatorios (5 sesiones), se han desarrollado talleres de capacitación: 27 de mayo - Manejo de las finanzas (12 participantes) 10 de junio "quiero emprender" (16 participantes).
Invitaciones a los egresados: Cine club, cursos en habilidades blandas (25 de abril - 12 de mayo).
Invitación a participar en:
Curso Alemán sin costo, ocurso virtual.
Taller de PYTHON básico modalidad sincrónico.
Taller de emprendimiento digital MinTic.
</t>
  </si>
  <si>
    <t>Prestación de servicios profesionales de apoyo a la gestión ejecutado actividades de apoyo al área de egresados del GITEPS</t>
  </si>
  <si>
    <t xml:space="preserve">Esta actividad aún no se ha realizado. </t>
  </si>
  <si>
    <t>Adquisición de elementos y equipos:
Computador- Celular institucional</t>
  </si>
  <si>
    <t>Elementos adquiridos</t>
  </si>
  <si>
    <t xml:space="preserve">Se encuentra a la espera de la entrega de equipos actualizados por parte del área de Informática y Comunicaciones </t>
  </si>
  <si>
    <t xml:space="preserve">Se adquirio un equipo, para las actividades de área. </t>
  </si>
  <si>
    <t>Prestación de servicios docente curso actualización retie capacitación egresados 50 horas</t>
  </si>
  <si>
    <t>Mantenimiento bolsa de empleo</t>
  </si>
  <si>
    <t>Se cuentan con los estudios previos.</t>
  </si>
  <si>
    <t xml:space="preserve">Se cuentan con los estudios previos.
Esta actividad se realiza con apoyo del Informática y Comunicaciones. </t>
  </si>
  <si>
    <t>Contratación de una persona con conocimiento en sistemas, e informes estadísticos, como apoyo para el desarrollo de estadísticas del observatorio laboral y encuestas realizadas a los egresados</t>
  </si>
  <si>
    <t>Encuentro Egresados, estímulos y/o reconocimientos para egresados (souvenires, cursos por extensión, idiomas, descuentos, etc.)</t>
  </si>
  <si>
    <t>Estimulos entregados</t>
  </si>
  <si>
    <t xml:space="preserve">Esta actividad se tiene proyectada para el 21 de octubre, de manera presencial. </t>
  </si>
  <si>
    <t>VICERRECTORÍA DE INVESTIGACIÓN, EXTENSIÓN Y TRANSFERENCIA</t>
  </si>
  <si>
    <t xml:space="preserve">TOTAL </t>
  </si>
  <si>
    <t>CLASIF. DE CONFIDENCIALIDAD</t>
  </si>
  <si>
    <t>CLASIF. DE INTEGRIDAD</t>
  </si>
  <si>
    <t>A</t>
  </si>
  <si>
    <t>CLASIF. DE DISPONIBILIDAD</t>
  </si>
  <si>
    <t xml:space="preserve">AVANCE GENERAL VIGENCIA 2022 - ETITC
METAS PDI 2022 
</t>
  </si>
  <si>
    <t xml:space="preserve">AVANCE GENERAL VIGENCIA 2022 - ETITC 
PLAN DE ACCIÓN 2022
</t>
  </si>
  <si>
    <t>DEPENDECIA</t>
  </si>
  <si>
    <t>AVANCE GENERAL VIGENCIA 2022 - ETITC 
PLAN DE ACCIÓN 2022 POR ÁREA</t>
  </si>
  <si>
    <t>DEPENDENCIA</t>
  </si>
  <si>
    <t xml:space="preserve">AVANCE TOTAL </t>
  </si>
  <si>
    <t xml:space="preserve">N° DE METAS A CARGO </t>
  </si>
  <si>
    <t xml:space="preserve">AVANCE GENERAL VIGENCIA 2022 - ETITC 
</t>
  </si>
  <si>
    <t>N°  ACTIVIDADES</t>
  </si>
  <si>
    <t xml:space="preserve">% DE AVANCE </t>
  </si>
  <si>
    <t>Rectoría</t>
  </si>
  <si>
    <t xml:space="preserve">AVANCE GENERAL </t>
  </si>
  <si>
    <t xml:space="preserve">PROYECTOS ESTRATÉGICOS </t>
  </si>
  <si>
    <t>EJE ESTRATÉGICO</t>
  </si>
  <si>
    <t xml:space="preserve">METAS ESTRATÉGICAS </t>
  </si>
  <si>
    <t xml:space="preserve">RECTORIA </t>
  </si>
  <si>
    <t>Vicerrectoría Administrativa y Financiera</t>
  </si>
  <si>
    <t xml:space="preserve">Lo Intitucional </t>
  </si>
  <si>
    <t>Vicerrectoría Académica</t>
  </si>
  <si>
    <t xml:space="preserve">Lo Social </t>
  </si>
  <si>
    <t>Vicerrectoría de Investigación, Extensión y Transferencia</t>
  </si>
  <si>
    <t xml:space="preserve">Lo ambiental </t>
  </si>
  <si>
    <t>Metas sin obligatorio avance para la vigencia 2022</t>
  </si>
  <si>
    <t>Sin obligatorio avance 2022</t>
  </si>
  <si>
    <t>TOTAL</t>
  </si>
  <si>
    <t>Porcentajes</t>
  </si>
  <si>
    <t>escalsa</t>
  </si>
  <si>
    <t xml:space="preserve">VICERRECTORÍA ADMINISTRATIVA Y FINANCIERA </t>
  </si>
  <si>
    <t>grados</t>
  </si>
  <si>
    <t>x</t>
  </si>
  <si>
    <t>y</t>
  </si>
  <si>
    <t>pi</t>
  </si>
  <si>
    <t>pf</t>
  </si>
  <si>
    <t>VICERRECTORIA DE INVESTIGACIÓN</t>
  </si>
  <si>
    <t>PDI 2021- 2024</t>
  </si>
  <si>
    <t>https://etitc.edu.co/archives/pdi2021-2024.pdf</t>
  </si>
  <si>
    <t>Nuevo Acuerdo Institucional, Social y Ambiental para la Consolidación de la Escuela</t>
  </si>
  <si>
    <t>E1-  LO INSTITUCIONAL: TRANSFORMACIÓN CULTURA DE LA ETITC</t>
  </si>
  <si>
    <t>1° TRIMESTRE ENERO - MARZO</t>
  </si>
  <si>
    <t>2° TRIMESTRE ABRIL - JUNIO</t>
  </si>
  <si>
    <t>3° TRIMESTRE JULIO - SEPTIEMBRE</t>
  </si>
  <si>
    <t>4° TRIMESTRE OCTUBRE- DICIEMBRE</t>
  </si>
  <si>
    <t>E1- LO INSTITUCIONAL: LA TRANSFORMACIÓN CULTURAL DE LA ETITC</t>
  </si>
  <si>
    <t>Item</t>
  </si>
  <si>
    <t>Sin Avance &gt;40%</t>
  </si>
  <si>
    <t>Con Avance =&lt;40%</t>
  </si>
  <si>
    <t>ÁREA RESPONSABLE</t>
  </si>
  <si>
    <t>PROYECTOS</t>
  </si>
  <si>
    <t>METAS</t>
  </si>
  <si>
    <t>INDICADORES</t>
  </si>
  <si>
    <t>LINEA BASE</t>
  </si>
  <si>
    <t>META  2021</t>
  </si>
  <si>
    <t>AVANCE 2021</t>
  </si>
  <si>
    <t>META 2022</t>
  </si>
  <si>
    <t>CUATRIENIO</t>
  </si>
  <si>
    <t>AVANCE</t>
  </si>
  <si>
    <t>AVANCES VS META</t>
  </si>
  <si>
    <t>SEGUIMIENTO (DESCRIPCIÓN)</t>
  </si>
  <si>
    <t>Aseguramiento de la calidad</t>
  </si>
  <si>
    <t xml:space="preserve">1. Con relación a la Articular el modelo de autoevaluación institucional con el modelo de autoevaluación de programa,
Se creo una matriz de identificación en la cual se determinaron las responsabilidades y evidencias, se consolido la matriz de evaluación en la cual se determinaron los criterios mínimos a calificar, cruzando con esto el modelo de autoevaluación institucional y el proyecto de modelo de programas (400 aspectos en promedio).
Se realizó la articulación de las condiciones institucionales y las condiciones de programa. (Avance del 80%)
2. Se definieron los compromisos del equipo técnico de autoevaluación para las Facultades de Sistemas, procesos industriales y Mecatrónica, con un desarrollo del 50% para la técnica de recolección documental.
Se inicio la recolección documental de áreas tranversales como: Financiera, Egresados, Bienestar, Extensión, ORII (avance 13%).
3. Frente a Concluir el proceso de condiciones institucionales ante el Ministerio de Educación Naciona, se consolido el proceso a nivel interno finalizando visita de marzo durante los días 8, 9 y 10 de marzo.
4. Frente a la actividad Concluir el proceso de renovación de registro calificado del programa de Ingeniería Mecánica articulada por ciclos propedéuticos con los niveles Técnico Profesional y Tecnología ante el Ministerio de Educación Nacional. El proceso de renovación acepto las fechas propuestas por el MEN, radicadas el pasado 24 de marzo. Se iniciaron 2  simulacros: 1°, 23 de marzo, 2. 24 de marzo. </t>
  </si>
  <si>
    <t>Esta meta es un trabajo mancomunado de las Vicerrectoría Académica y Administrativa y Financiaera. Desde la Vicerrectoría Académica se aclara que actualmente los Programas de Educación superior se desarrollan por creditos, pero se ha realizado un plan de trabajo que permita realizar un "modelo integral de gestión academico-administrativa por Sistema de Créditos Académicos"</t>
  </si>
  <si>
    <t>Despacho</t>
  </si>
  <si>
    <t>Desde la Facultad de Sistemas, respeto a la gestión curricular: En Enero se instauró el Comité Curricular de Facultad. El 14 de febrero se realizo la 1° sesión del Comité (declaración del Comité), y el 31 de marzo la segunda sesión (resultados de aprendizaje del programa). Por otra parte, para el 1° trimestre de la vigencia la actualización del PEP se encuentra en un 40%. Matriz de resultados de aprendizaje actualizada
Desde la Facultad de Procesos industriales para mejora curricular del programa, se realizo una reunión con docentes para definir los resultados de aprendizaje en el área de Procesos de manofactura y producción, sontó con la participación de 20 profesores. 
Reunión de proyectos integradores con docentes (una reunión quincenal), participan en promedio 20 docentes. 
Por su parte la Facultad de Electromecánica 1. Se llevaron a cabo 6 jornada de capacitación durante la semana de inducción 2022, a docentes.
El 24 de enero se realizó una capacitación sobre “Programa Educativo de Programa”, cuya temática fue: Aspecto Enfoque pedagógico, funciones sustantivas, participaron 40 docentes.
2. Con relación al Modelo de gestión académica soportado en resultados de aprendizaje y competencias y en miras de consolidad un nuevo PEP, se realizó un comparativo exhaustivo con diferentes universidades de carácter nacional e internacional, en diferentes temáticas académicas, competencias, con el fin de fortalecer la configuración del nuevo PEP.
La primera versión el PEP, fue remitido a la Vicerrectoría Académica para su revisión y ajuste. 
El Plan de estudios de ingeniería electromecánica por ciclos propedéuticos, se está actualizando según los análisis realizados por los diferentes docentes de la facultad a través de las diferentes mesas de trabajo</t>
  </si>
  <si>
    <t>Oficina Asesora de Planeación</t>
  </si>
  <si>
    <t>Esta actividad no ha tenido avance en el 1° trimestre de la vigencia</t>
  </si>
  <si>
    <t>Oficina de Comunicaciones</t>
  </si>
  <si>
    <t>Desde la oficina de Comunicaciones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En este setido, actualmente a partir de las reuniones realizadas se han estructurado 3 parrillas de contenido, así mismo se hace unos el formato de solicitud de apoyo al área.</t>
  </si>
  <si>
    <t xml:space="preserve">Talento Humano </t>
  </si>
  <si>
    <t xml:space="preserve">ME-8- Revisión de la  Estructura Organizacional que soporte las nuevas apuestas institucionales  
</t>
  </si>
  <si>
    <t>Propuesta de nueva estructura organizacional presentadas ante las entidades competentes.</t>
  </si>
  <si>
    <t xml:space="preserve">Desde la vigencia 2021 se pago un valor por 185.500.000 (Resolución 4114 de 2021), para 44 cargos externos y 9 cargos internos de ascenso.
Elo docuemnto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</si>
  <si>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Índice de clima laboral</t>
  </si>
  <si>
    <t>Vicerrectoría de Investigación Extensión y Transferencia</t>
  </si>
  <si>
    <t>Egresados</t>
  </si>
  <si>
    <t xml:space="preserve">PE-7- Consolidación y aseguramiento del Talento Humano para el mejoramiento de las capacidades en las plantas administrativas y  docentes </t>
  </si>
  <si>
    <t xml:space="preserve">Vicerrectoría Administrativa y Financiera </t>
  </si>
  <si>
    <t>ME-13- Presentar ante la instancia competente la solicitud y cumplimiento de requisitos para el desarrollo de los procesos meritocráticos de la planta administrativa.</t>
  </si>
  <si>
    <t xml:space="preserve">Desde la vigencia 2021 se pago un valor por 185.500.000 (Resolución 4114 de 2021), para 44 cargos externos y 9 cargos internos de ascenso.
Elo docuemnto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</si>
  <si>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ME-14- Adelantar los procesos meritocráticos de la planta docente.</t>
  </si>
  <si>
    <t>PE-8- Estructuración de la Carrera Docente</t>
  </si>
  <si>
    <t>ME-15- Organizar e implementar el sistema de plan de carrera de los profesores.</t>
  </si>
  <si>
    <t>Porcentaje de sistema de carrera docente implementado</t>
  </si>
  <si>
    <t xml:space="preserve"> IBTI</t>
  </si>
  <si>
    <t>Durante el 1° trimestre de la vigencia se consolidaron las actividades que se desarrollaran al interior del proyecto Centro de atención al docente del IBTI:
1. Diagnóstico de las principales necesidades laborales, familiares, emocionales y sociales presentan los docentes del IBTI.
2. Identificación de aquellas necesidades más comunes y repetitivas manifestada por los docentes.
3. Tabulación y organización de la información suministrada.
4. Análisis de la información.
5. Presentación teórica.
6. Estrategias y herramientas para la implementación del Centro de Atención al Docente (CAD).
Dicha informacións será relevante para desarrollar los siguientes puntos con relación al proyecto: 
1. Antecedentes.
2. Problemática.
3. Marco Referencial.
4. Metodología de Investigación.
5. Futurización.
6. Proyección y planeación. ´
7. Gestión de recursos.
Se proyecta para le 26 de abril se proyecta presentar el proyecto ante el Consejo Académico del IBTI.</t>
  </si>
  <si>
    <t xml:space="preserve">Informática y comunicaciones </t>
  </si>
  <si>
    <t xml:space="preserve">La cosecución de esta actividad esta dada por la interacción de diferentes áreas y procesos entre los cuales se encuentra: 
Gestión Informática y Comunicaciones: Desde el proceso se realiza el soporte a los sistemas de conexión para los televisores, wifi, sistemas de iluminación, puesta a tierra, maquinas equipos, UPS, Planta de energía eléctrica, Aires Acondicionados, reguladores de voltaje, sistema de iluminación greenmax, sistema de apantallamiento sistema de puesta a tierra
La información de estos soportes se verifica a través de la plataforma Mantum, sin embargo, se adelantan los estudios necesarios para adelantar el proceso contractual, con el fin de adquirir prestaciones de servicio en temas de mantenimiento. 
Por otra parte desde las Facultades: 
Electromecánica: A través del Semillero Fabricación digital se efectúan licencias en Solidworks, para la formación de estudiantes (70) y docentes (7, en manejo de software en diferentes 24 módulos distintos.
Talleres y laboratorios: Se desarrolla el suministro de gases industriales para los talleres de metalistería, fundición, tratamientos térmicos, modelaría y motores, mediante la forma de monto agotable. Se realiza el mantenimiento preventivo al taller de Mecánica.
En el área, a la fecha se han adquirid insumos para el taller de Diseño, por otra parte, los procesos de adquisición y mantenimiento de los demás talleres se encuentran en una etapa pre- contractual. </t>
  </si>
  <si>
    <t>Vicerrectoría Administrativa</t>
  </si>
  <si>
    <t>A través del Cto 344 de 2021, se actualiza la infraestructura del WIFI institucional. Dicho contrato presenta una adición por $ 308.245.757.12
A través Cto 350 de 2021 se realiza la actualización de la infraestructura LAN. Finaliza el 22 de mayo de la vigencia. $ 414.102.014.
Los diferentes procesos de adquisición, mantenimiento  y renovación de sofftware, se encuentran en etapas precontractuales en las que se evidencian estudios previos.</t>
  </si>
  <si>
    <t>Se cuentan con los estudios previos y estudios de mercado. Se proyecta obtener la aprobación del Comité de Infraestructura Tecnológica en su próxima sesión.</t>
  </si>
  <si>
    <t xml:space="preserve">Como resultado del Índice de Desempeño Institucional vigencia 2020, La ETITC, se consolido con un 98% de avance en la Política de Gobiergo Digital. Se esta a la espera de la lectura FURAG 2021, a mendiados del mes de Mayo.  </t>
  </si>
  <si>
    <t>PE-11- Internacionalización para ampliar fronteras de conocimiento</t>
  </si>
  <si>
    <t xml:space="preserve">Actalmente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A partir de las reuniones realizadas se han estructurado 3 parrillas de contenido, así mismo se hace unos el formato de solicitud de apoyo al área.
</t>
  </si>
  <si>
    <t>Gestión Documental</t>
  </si>
  <si>
    <t xml:space="preserve">Para el 1° trimestre de la vigencia se revizó y actualizó los programas del PGD (4 de 8 programas), una vez finalizado dicho proceso será expuesto ante las instancias necesarias para su aprobación y posterior ejecución (CIGD o CIA). 
Por otra parte se indentifican actividades como: Actualización del Sistema Información de Atención al Ciudadano SIAC, sin embargo, desarrollarán durante en 2° semestre de la vigencia  </t>
  </si>
  <si>
    <t xml:space="preserve">ORII </t>
  </si>
  <si>
    <t xml:space="preserve">PE-12- Dar continuidad al Talento Humano integral en las plantas de personal </t>
  </si>
  <si>
    <r>
      <t xml:space="preserve">La cosecución de esta actividad esta dada por la interacción de diferentes áreas y procesos entre los cuales se encuentra:
ORII:  En paso 16 de marzo, se realizo el 2° taller de Internacionalización con metodologia open space entre las 9 am y las 12 pm. Se contó con la participación de: ETITC, Universidad la Gran Colombia, Alianza Colombo Búlgar.
En paso 16 de marzo, se realizo el 2° taller de Internacionalización con metodologia open space entre las 9 am y las 12 pm. Se contó con la participación de: ETITC, Universidad la Gran Colombia, Alianza Colombo Búlgar,
Desde </t>
    </r>
    <r>
      <rPr>
        <b/>
        <sz val="12"/>
        <rFont val="Calibri Light"/>
        <family val="2"/>
      </rPr>
      <t xml:space="preserve">la Facultad de procesios Industriales: </t>
    </r>
    <r>
      <rPr>
        <sz val="12"/>
        <rFont val="Calibri Light"/>
        <family val="2"/>
      </rPr>
      <t xml:space="preserve">Se reporto que, la ETITC realizo el respectivo aporte para participar en el V Encuentro de la Red de Programas de Ingeniería Industrial
Nodo Centro, 29 de abril de 2022 ($2.000.000).
La Decana Luisa Goméz, participó en la reunión de la Asociación Colombiana de de Facultad de Ingenieria (Barranquilla- marzo 22).
</t>
    </r>
    <r>
      <rPr>
        <b/>
        <sz val="12"/>
        <rFont val="Calibri Light"/>
        <family val="2"/>
      </rPr>
      <t>Desde la Facultad de Sistemas</t>
    </r>
    <r>
      <rPr>
        <sz val="12"/>
        <rFont val="Calibri Light"/>
        <family val="2"/>
      </rPr>
      <t>: La ETITC interactuó en 3 diferentes sesiones (24 de febrero, 3 y 10 de marzo) con estudiantes y docentes de la Universidad San Marcos de Costa Rica. "Potenciando humanidad a través de la comunicación"
En el marco de la Asamble nacional de ACOFI, el Decano de la Facultad participó en la sesión realizada en Barranquilla (17 y 18 de marzo)</t>
    </r>
  </si>
  <si>
    <t xml:space="preserve">PE-13- Gestión integral de inmuebles
</t>
  </si>
  <si>
    <t>ME-24- Englobar todos predios que integran la sede central.</t>
  </si>
  <si>
    <t>Porcentaje de englobe de los predios que integran la sede central.</t>
  </si>
  <si>
    <t>Actualmente se ejecuta el contrato 009 de 2022. Este profesional tiene como objetivo apoyar la solicitud de los trámites necesarios que se deben adelantar ante las entidades quecorrespondan para obtener los permisos, licencias, y resoluciones que permitan realizar obrasciviles en las edificaciones de la institución, en la sede principal calle 13, instalaciones deCarvajal, instalaciones de El Tintal, sede calle 18.</t>
  </si>
  <si>
    <t>ME-25- Determinar el aprovechamiento del inmueble calle 18 a partir del POT aprobado.</t>
  </si>
  <si>
    <t>Porcentaje de ejecución de las intervenciones físicas.</t>
  </si>
  <si>
    <t>Se han realizado las siguientes actividades de mantenimiento locativo:
1. Cambio de llave de la poceta del baño de mujeres en el primer piso de la sece Central
2. Cambio de Chapa del cuarto debajo de las estacaleras del segundo piso.
3. Ajuste de puerta de la casa hacia el exterior.
4. Mantenimiento de los lavamanos portatiles (2)</t>
  </si>
  <si>
    <t xml:space="preserve">Los estudios previos, para determinar el aprovechamiento del inmueble calle 18, se encuentran elaborados, cuentan con la respectiva revisión por parte del área de Contratación (Número de CDP 9922, $128.192.750). </t>
  </si>
  <si>
    <t>ME-26- Formular el Plan de administración e intervención de las instalaciones en comodato (localidad Kennedy).</t>
  </si>
  <si>
    <t>El documento base se encuentra finalizado desde la vigencia 2021; según las necesidades se actualiza dicho planeación.
Para el 1° trimestre de la vigencia y en concordancia con el Plan de administración e intervención, se ha realizado el diagnóstico de necesidades de mantenimiento de la infraestructura eléctrica de las instalaciones del Tintal y Carvajal, de igual manera las personas contratadas para el mantenimiento locativo ejecutan sus actividades con normalidad, quienes realizaron los mantenimientos de todas las zonas verdes,(febrero - marzo), así mismo de los 2 edificios en las instalaciones Kennedy.</t>
  </si>
  <si>
    <t>La Intalaciones en Comodato de Kennedy se encuentran bajo la supervisión del Asesor de Rectoría.
Desde Planta Física se han realizado diseños y proyectos para mejorar las intalaciones de Comodato: Reja para el acceso peatonal de la Sede Tintal. Diseño de la papeleria para la Sede Tintal.
Actividades de mantenimiento locativo: 
1. Adecuación de la Oficina de Control Interno de la Sede Carvajal.
2. Impermeabilización, resane y pintura de todos los salones de la Sede Carvajal.
Adicionalmente, para el 1° trimestre de la vigencia y en concordancia con el Plan de administración e intervención, se ha realizado el diagnóstico de necesidades de mantenimiento de la infraestructura eléctrica de las instalaciones del Tintal y Carvajal, de igual manera las personas contratadas para el mantenimiento locativo ejecutan sus actividades con normalidad, quienes realizaron los mantenimientos de todas las zonas verdes,(febrero - marzo), así mismo de los 2 edificios en las instalaciones Kennedy.</t>
  </si>
  <si>
    <t>ME-27- Formular e implementar el modelo operativo de administración de inmuebles.</t>
  </si>
  <si>
    <t>ME-28 - Gestionar la consecución de un nuevo Campus para la Escuela.</t>
  </si>
  <si>
    <t>Esta meta estraetgica no ha tenido avance</t>
  </si>
  <si>
    <t>E2- LO SOCIAL : EDUCACIÓN SOCIALMENTE RESPONSABLE Y PERTINENTE</t>
  </si>
  <si>
    <t>SEGUIMIENTO PD1 2021 - 2024, 
VIGENCIA 2021</t>
  </si>
  <si>
    <t>Dependencia</t>
  </si>
  <si>
    <t>META 2021</t>
  </si>
  <si>
    <t xml:space="preserve">Vicerrectoría Académica </t>
  </si>
  <si>
    <r>
      <rPr>
        <b/>
        <sz val="12"/>
        <color theme="1"/>
        <rFont val="Calibri Light"/>
        <family val="2"/>
        <scheme val="major"/>
      </rPr>
      <t xml:space="preserve">PE-14- </t>
    </r>
    <r>
      <rPr>
        <sz val="12"/>
        <color theme="1"/>
        <rFont val="Calibri Light"/>
        <family val="2"/>
        <scheme val="major"/>
      </rPr>
      <t>Nuevos programas de pregrado y posgrado</t>
    </r>
  </si>
  <si>
    <t xml:space="preserve">ME-29-  Lograr  al 2023 el Registro Calificado de 1 Especialización Profesional, 1 Especialización Tecnológica, al 2024, 1 carrera profesional por ciclos y 1 Maestría.
</t>
  </si>
  <si>
    <t xml:space="preserve">ME-30-  Lograr al 2024, que el 50% de los programas con registro calificado en la modalidad presencial  esten convertidos a modalidad semipresencial (blended).
</t>
  </si>
  <si>
    <t>IBTI</t>
  </si>
  <si>
    <r>
      <t>PE-15-</t>
    </r>
    <r>
      <rPr>
        <sz val="12"/>
        <rFont val="Calibri Light"/>
        <family val="2"/>
        <scheme val="major"/>
      </rPr>
      <t xml:space="preserve">El IBTI y su papel significativo en la consolidación de la Escuela </t>
    </r>
  </si>
  <si>
    <t xml:space="preserve">Actualmente la ETITC participa en el programa " Jovenes a la U", donde partipan 125 estudiantes. </t>
  </si>
  <si>
    <t xml:space="preserve">ME-32 - Fortalecer el modelo educativo del bachillerato que permita aumentar cobertura, favorecer la permanencia y continuidad en la institución </t>
  </si>
  <si>
    <t>Para fortalecer la formación docente en evaluación para los aprendizajes y el diseño de preguntas tipo Saber, se realizó una capacitación con la entidad TRES EDITORES, con el fin de mejorar en la presentación de las pruebas externas; el Taller Habilidade de pensamiento fue realizado el 19 de enero, contó con la participación de 94 docentes.
Se cuenta con un cronograma de capacitaciones.
Por otra parte, en un ejercicio comparativo se analiza un aumento de 1042 estudiantes en el 2021 a 1134 estudiantes en el 2022 (aumento del 8%).</t>
  </si>
  <si>
    <t>ME-33- Promover la estrategia de articulación  "de tu escuela a mi escuela y a mi universidad".</t>
  </si>
  <si>
    <t>1088</t>
  </si>
  <si>
    <t xml:space="preserve">Realizando un compartivo del ingreso de los estudiantes durante las vigencia 2022 (273) y 2021 (200), lo cual nos permite ver un aumento en el número de los estudiantes. 
Por otra parte, en un ejercicio comparativo se analiza un aumento de 1042 estudiantes en el 2021 a 1134 estudiantes en el 2022 (aumento del 8%). </t>
  </si>
  <si>
    <t>Bienestar Universitario</t>
  </si>
  <si>
    <r>
      <rPr>
        <b/>
        <sz val="12"/>
        <color theme="1"/>
        <rFont val="Calibri Light"/>
        <family val="2"/>
        <scheme val="major"/>
      </rPr>
      <t xml:space="preserve">PE-16- </t>
    </r>
    <r>
      <rPr>
        <sz val="12"/>
        <color theme="1"/>
        <rFont val="Calibri Light"/>
        <family val="2"/>
        <scheme val="major"/>
      </rPr>
      <t xml:space="preserve"> Desarrollo integral y transformación social de la comunidad: bienestar comprometido con la permanencia</t>
    </r>
  </si>
  <si>
    <t>ME-34- Fortalecer el Programa de Atención Básica Ampliada.</t>
  </si>
  <si>
    <t>ME-35-Formular e implementar el Sistema de Registro Único de Seguimiento de Información y Acompañamiento (RUSIA) de la comunidad educativa de la Institución.</t>
  </si>
  <si>
    <r>
      <t xml:space="preserve">Se han desarrollado las siguientes etapas del proyecto: 
</t>
    </r>
    <r>
      <rPr>
        <b/>
        <sz val="12"/>
        <color theme="1"/>
        <rFont val="Calibri Light"/>
        <family val="2"/>
        <scheme val="major"/>
      </rPr>
      <t>Caracterización Estudiantil PES</t>
    </r>
    <r>
      <rPr>
        <sz val="12"/>
        <color theme="1"/>
        <rFont val="Calibri Light"/>
        <family val="2"/>
        <scheme val="major"/>
      </rPr>
      <t xml:space="preserve">: Se han realizado 675 caracterizaciones que incluyen estudiantes nuevos y antiguos de los PES y especializaciones activos para el periodo 2022-1.
</t>
    </r>
    <r>
      <rPr>
        <b/>
        <sz val="12"/>
        <color theme="1"/>
        <rFont val="Calibri Light"/>
        <family val="2"/>
        <scheme val="major"/>
      </rPr>
      <t xml:space="preserve">Identificación alertas tempranas - riesgos asociados a la deserción: </t>
    </r>
    <r>
      <rPr>
        <sz val="12"/>
        <color theme="1"/>
        <rFont val="Calibri Light"/>
        <family val="2"/>
        <scheme val="major"/>
      </rPr>
      <t xml:space="preserve">A la fecha se han actualizado las 675 alertas asociadas tempranas asociadas a la caracterización estudiantil aplicada a los 675 estudiantes PES
3. </t>
    </r>
    <r>
      <rPr>
        <b/>
        <sz val="12"/>
        <color theme="1"/>
        <rFont val="Calibri Light"/>
        <family val="2"/>
        <scheme val="major"/>
      </rPr>
      <t xml:space="preserve">identificación alertas académicas (primer, segundo y tercer corte): </t>
    </r>
    <r>
      <rPr>
        <sz val="12"/>
        <color theme="1"/>
        <rFont val="Calibri Light"/>
        <family val="2"/>
        <scheme val="major"/>
      </rPr>
      <t>A la fecha se reportan 2413 estudiantes con alertas académicas para primer corte (7-11 marzo)</t>
    </r>
  </si>
  <si>
    <t xml:space="preserve">33%
</t>
  </si>
  <si>
    <t>Innovación</t>
  </si>
  <si>
    <r>
      <rPr>
        <b/>
        <sz val="12"/>
        <color theme="1"/>
        <rFont val="Calibri Light"/>
        <family val="2"/>
        <scheme val="major"/>
      </rPr>
      <t xml:space="preserve">PE-17- </t>
    </r>
    <r>
      <rPr>
        <sz val="12"/>
        <color theme="1"/>
        <rFont val="Calibri Light"/>
        <family val="2"/>
        <scheme val="major"/>
      </rPr>
      <t xml:space="preserve"> Centro de Pensamiento y Desarrollo Tecnológico</t>
    </r>
  </si>
  <si>
    <t xml:space="preserve">Estudio de prefactibilidad </t>
  </si>
  <si>
    <t xml:space="preserve">Durante el 1° trimestre de la vigencia,  en torno al diagnóstico del Centro de Pensamiento y Desarrollo Tecnológico, se han desarrollorrado 8 reuniones con las diferentes Facultades. A través de estos escuentros se han recogido conclusiones, con el fin de que le proyecto sea de conocimiento para la comunidad educativa. 
Se muestra como evidencias la matriz que integra los componentes: Direccionamiento estratégico, Interrelaciones, Recursos, Actividades. 
Estos componentes responden a las requerimientos del MinCiencias, con el fin de que el CPDT tenga la capacidad autoevaluarse. </t>
  </si>
  <si>
    <t xml:space="preserve">ME-39- Definir  las líneas de investigación y focos estratégicos y de acción del Centro. </t>
  </si>
  <si>
    <t>Líneas de investigación y focos estratégicos definidos</t>
  </si>
  <si>
    <t>ME-40- Establecer la red institucional y de alianzas estrategicas del centro con los respectivos soportes que la respalden</t>
  </si>
  <si>
    <t>Red institucional definida</t>
  </si>
  <si>
    <t xml:space="preserve">ME-41- Formular el plan de mejoramiento de acuerdo a los crirterios de MinCiencias con sus respectivos informes y análisis. </t>
  </si>
  <si>
    <t>Plan de mejoramiento formulado</t>
  </si>
  <si>
    <r>
      <t>ME-42- Radicar la solicitud para el reconocimiento del Centro de Pensamiento y Desarrollo Tecnológico por parte de Minciencias.</t>
    </r>
    <r>
      <rPr>
        <i/>
        <sz val="12"/>
        <color rgb="FFFF0000"/>
        <rFont val="Calibri Light"/>
        <family val="2"/>
        <scheme val="major"/>
      </rPr>
      <t xml:space="preserve">  </t>
    </r>
  </si>
  <si>
    <t>Solicitud del reconocimiento</t>
  </si>
  <si>
    <t xml:space="preserve">Investigación </t>
  </si>
  <si>
    <r>
      <t xml:space="preserve"> </t>
    </r>
    <r>
      <rPr>
        <b/>
        <sz val="12"/>
        <color theme="1"/>
        <rFont val="Calibri Light"/>
        <family val="2"/>
        <scheme val="major"/>
      </rPr>
      <t xml:space="preserve">PE-18- </t>
    </r>
    <r>
      <rPr>
        <sz val="12"/>
        <color theme="1"/>
        <rFont val="Calibri Light"/>
        <family val="2"/>
        <scheme val="major"/>
      </rPr>
      <t xml:space="preserve">Fortalecimiento permanente en Competencias en investigación, ciencia, tecnología e innovación en la ETITC   </t>
    </r>
  </si>
  <si>
    <t xml:space="preserve">Para la Renovación  y capacitación en  base de datos  Web Of Science, actualmente se cuenta con los estudios previos, fueron radicados y aprobados ante la Oficina de Contratación el 15 de marzo. 
La demás actividades se encuentran previstas para el 2° semestre de la vigencia </t>
  </si>
  <si>
    <t>ME-44- Diseñar  e implementar  un Programa de fortalecimiento de grupos de investigación y ampliación de las modalidades de investigación.</t>
  </si>
  <si>
    <t xml:space="preserve">Con la convocatoria 07 de 2019, se aprobó el proyecto: Proyectos de Investigación VIRTUS, Se cuenta con el estudio previo, con el fin de realizar la contratación para desarrollo del Software para apoyar las zonas turisticas de Bogotá. 
Apoyo de investigación para el grupo GEA, en el marco del día de la tierra. 
Se realizó una solicitud a la Oficina de Comunicaciones para la visibilidad de las actividades del la Jornada de la Tierra. 
Evaluación de 4 propuestas realizadas en el marco de la convocatoria 09 de 2021 con evaluadores de pares externos. Estudios previos 12 de enero. El informe final fue presentado el 17 de marzo.  
Gestión de Convenio con la Universidad Nacional de Colombia para dar inicio al proyecto aprobado en la convocatoria 890  de MinCinecias. El documento borrador fue aprobado por la Oficina Jurídica y envIado a revisión por la UN.
Con relación a la convocatoria 10 de 2022 se cuenta con el documento borrador para la revisión y aprobación del Vicerrector de Investigación. </t>
  </si>
  <si>
    <r>
      <rPr>
        <b/>
        <sz val="12"/>
        <color theme="1"/>
        <rFont val="Calibri Light"/>
        <family val="2"/>
        <scheme val="major"/>
      </rPr>
      <t xml:space="preserve"> PE-19</t>
    </r>
    <r>
      <rPr>
        <sz val="12"/>
        <color theme="1"/>
        <rFont val="Calibri Light"/>
        <family val="2"/>
        <scheme val="major"/>
      </rPr>
      <t xml:space="preserve">- Innovación para el </t>
    </r>
    <r>
      <rPr>
        <sz val="12"/>
        <color rgb="FFFF0000"/>
        <rFont val="Calibri Light"/>
        <family val="2"/>
        <scheme val="major"/>
      </rPr>
      <t xml:space="preserve"> </t>
    </r>
    <r>
      <rPr>
        <sz val="12"/>
        <color theme="1"/>
        <rFont val="Calibri Light"/>
        <family val="2"/>
        <scheme val="major"/>
      </rPr>
      <t>Fortalecimiento Institucional y el Desarrollo Social.</t>
    </r>
  </si>
  <si>
    <t>ME-45 -  Implementar programa de transferencia de conocimiento (Fortalecer la visibilidad e impacto del conocimiento según los resultados de investigación generado por la actividad científica, tecnológica, académica, social e industrial de la ETITC).</t>
  </si>
  <si>
    <t>Programa Incubadora tecnológica</t>
  </si>
  <si>
    <t xml:space="preserve">ME-48- Diseñar y estructurar el Observatorio Tecnológico y de Innovación de la ETITC. </t>
  </si>
  <si>
    <t xml:space="preserve">Observatorio Tecnológico y de Innovación de la ETITC. </t>
  </si>
  <si>
    <r>
      <rPr>
        <b/>
        <sz val="12"/>
        <rFont val="Calibri Light"/>
        <family val="2"/>
        <scheme val="major"/>
      </rPr>
      <t>ME-49-</t>
    </r>
    <r>
      <rPr>
        <sz val="12"/>
        <rFont val="Calibri Light"/>
        <family val="2"/>
        <scheme val="major"/>
      </rPr>
      <t xml:space="preserve"> Gestionar  y crear el Proyecto Editorial de la Escuela Tecnológica Instituto Técnico Central</t>
    </r>
  </si>
  <si>
    <t>Proyecto editorial creado</t>
  </si>
  <si>
    <t>Se tiene proyecta la convocatoria N° 1 de 2022, El plazo de inscripción se dio durante el mes de marzo del 01/03/2022 al 31/03/2022. Se contó con un Inscrito. El proceso de capacitación se realizará durante el 2° semestre de la vigencia. 
Se tienen previstas 7 documento (autores), sin embargo, los mismos no han enviado las respectivas correcciones a lugar.</t>
  </si>
  <si>
    <t>Centro de Extensión</t>
  </si>
  <si>
    <r>
      <rPr>
        <b/>
        <sz val="12"/>
        <rFont val="Calibri Light"/>
        <family val="2"/>
        <scheme val="major"/>
      </rPr>
      <t xml:space="preserve">PE-20- </t>
    </r>
    <r>
      <rPr>
        <sz val="12"/>
        <rFont val="Calibri Light"/>
        <family val="2"/>
        <scheme val="major"/>
      </rPr>
      <t xml:space="preserve">Centro de Capacitación Industrial </t>
    </r>
    <r>
      <rPr>
        <strike/>
        <sz val="12"/>
        <rFont val="Calibri Light"/>
        <family val="2"/>
        <scheme val="major"/>
      </rPr>
      <t xml:space="preserve"> </t>
    </r>
    <r>
      <rPr>
        <sz val="12"/>
        <rFont val="Calibri Light"/>
        <family val="2"/>
        <scheme val="major"/>
      </rPr>
      <t>como espacio de cualificación  para la empleabilidad a inmediato plazo.</t>
    </r>
  </si>
  <si>
    <t>20 empresas</t>
  </si>
  <si>
    <t>Con Bienestar Universitario se analizan las conclusiones del trabajo de reconocimientos del entorno, para identificar la oportunidad de ofertar cursos con las sedes de Mártires y Kennedy.</t>
  </si>
  <si>
    <t>Para el 1° trimetre de la vigencia se realizan los cursos en: 1. comunicación oral y escrita. 2, Dibujo Técnico. 3. matemáticas básica. 4. principios de física. 5. Orientación profesional. 6. 6. CNC. Y se desarrollan la certificaciones en instalaciones eléctricas y lean management primer semestre</t>
  </si>
  <si>
    <t>Número de acuerdos suscritos con colegios</t>
  </si>
  <si>
    <t xml:space="preserve">Durante el 1° trimestre de la vigencia se han promovido: 
15 cursos (intencidad horaria entre 20 y 60 horas), 5 diplomados (intencidad horaria entre 80 a 120 horas), 4 certificaciones ( intencidad 120 horas).
Se han realizado actividades como publicidad a través de FACEBOOK institucional y correos masivos, de igual manera se actualizo la imagen de los cursos, diplomados, certificaciones a ofertar.   </t>
  </si>
  <si>
    <r>
      <rPr>
        <b/>
        <sz val="12"/>
        <rFont val="Calibri Light"/>
        <family val="2"/>
        <scheme val="major"/>
      </rPr>
      <t xml:space="preserve">PE-21- </t>
    </r>
    <r>
      <rPr>
        <sz val="12"/>
        <rFont val="Calibri Light"/>
        <family val="2"/>
        <scheme val="major"/>
      </rPr>
      <t>Proyección Social más allá de las fronteras</t>
    </r>
  </si>
  <si>
    <t xml:space="preserve">25%
</t>
  </si>
  <si>
    <t>Convenios realizados con comunidades vulnerables</t>
  </si>
  <si>
    <t>Se han realizado acercamiento con empresa: FESTO (suministro de 11 cursos, acuerdo marco), SENA, SIEMENS, CONECTEL</t>
  </si>
  <si>
    <t>AVANCE 1° TRIMESTRE</t>
  </si>
  <si>
    <t>AVANCE 2° TRIMESTRE</t>
  </si>
  <si>
    <t>AVANCE 3° TRIMESTRE</t>
  </si>
  <si>
    <t>AVANCE 4° TRIMESTRE</t>
  </si>
  <si>
    <t>Vicerrectoría de Investigación Extemsión y Transferencia</t>
  </si>
  <si>
    <t>E3-  LO AMBIENTAL: UN ACUERDO POR LA VIDA Y PARA LA VIDA EN CONTEXTO AMBIENTAL</t>
  </si>
  <si>
    <t>SEGUIMIENTO PDI 2021 - 2024, 
VIGENCIA 2021</t>
  </si>
  <si>
    <t>Avance &gt;40%</t>
  </si>
  <si>
    <t>Avance =&lt;40%</t>
  </si>
  <si>
    <t>Gestión ambiental</t>
  </si>
  <si>
    <t xml:space="preserve">PE-22 Política institucional ambiental en la ETITC alineada al Sistema de Gestión Ambiental </t>
  </si>
  <si>
    <t>ME-56- Implementar una  política ambiental bajo consideraciones de sostenibilidad.</t>
  </si>
  <si>
    <t xml:space="preserve">Las actividades desarrolladas durtante el primer trimestre de la vigencia estan a cordes a la política ambiental institucioal, ene ste sentido se han desarrollado en sus primeras etapas los 9 proyectos a cargo del proceso Gestión ambiental, alcanzando un avance del 17%. </t>
  </si>
  <si>
    <t>Porcentaje de diseño e implementación de la catedra ETITC alcanzado</t>
  </si>
  <si>
    <t xml:space="preserve">Gestión ambiental </t>
  </si>
  <si>
    <t xml:space="preserve">PE-24- Optimización en el consumo de energía eléctrica y uso de energías alternativas. 
</t>
  </si>
  <si>
    <t xml:space="preserve">ME-58- Lograr el Diez por ciento (10%) de ahorro energético.
</t>
  </si>
  <si>
    <t>2.5%</t>
  </si>
  <si>
    <t xml:space="preserve">Se han realizado dos reuniones con Infraestructura eléctrica (14 y 30 de marzo), mediante las cuales se revisaron las recomendaciones hechas por el DNP "Evaluación del potencial de la disminucion del consumo de energia", se determino que se va a ejecutar 1° el proyecto de medición de la calidad energetica, posteriormete se instalaran medidore de consumo por sectores.
En enero de 2022 el DNP  através de informe dio a conocer a la ETITC, las diferente matrices de consumo de energía. Se proyecta realizar un proyecto entorno a estos resultados y análisis realizados. </t>
  </si>
  <si>
    <t xml:space="preserve">Rectoría </t>
  </si>
  <si>
    <t xml:space="preserve">Gestión Documental / Gestión ambiental </t>
  </si>
  <si>
    <t xml:space="preserve">ME-59 Implementar el programa de racionalización de consumo de papel
</t>
  </si>
  <si>
    <t>ME-60- Realizar la adecuada disposición de todos los residuos producidos en el área de infraestructura, talleres y laboratorios.</t>
  </si>
  <si>
    <t>Respecto al estudios previos para contratar el proveedor de elementos para el manejo de aceite lubricante usado, El proceso se encuentra en proceso de indagar acerca de los proveedores que puedan suministrar los elementos de necesidad institucional (estibas, embudos, etc)</t>
  </si>
  <si>
    <t xml:space="preserve">PE-25- Diseño e Implementación de espacios de “Concepto verde” que mejoren la vida académica en las sedes de la ETITC.
</t>
  </si>
  <si>
    <t>ME-61- Adecuar espaciós verdes verticales y horizontales.</t>
  </si>
  <si>
    <t>Porcentaje de elaboración del programa de mantenimiento e intervención de los espacios verdes verticales y horizontales</t>
  </si>
  <si>
    <t xml:space="preserve">A través del Cto- 148 de 2021, se realizo la propuesta de diseño paisajístico de las jardineras en la Sede central.
A través del Contrato 154 de 2022 ($15,750,000), se plantea llevar a cabo las adecuación respectivas. 
Se han realziado actividades de jardineria como: Abono de tierra, clasificación de plantas existentes ($13.490.974).
</t>
  </si>
  <si>
    <t>Vicerrectoría administrativa y Financiera</t>
  </si>
  <si>
    <t>Porcentaje de ejecución del programa de mantenimiento e intervención de los espacios verdes verticales y horizontales</t>
  </si>
  <si>
    <t>Se han realizado las siguientes actividades de jardineria con el Cto 154 de 2022: 1- Organización y poda del  invernadero y espacio de piscicultura de la sede central de la ETITC. 
Se encuentra en fase de diseño el nuevo modulo para el invernadero a través del Cto- 090 de 2022.</t>
  </si>
  <si>
    <t xml:space="preserve">PE-26- Actualización de la infraestructura física, cumpliendo normativas aplicables y generando espacios adecuados para el desarrollo de actividades académicas y de bienestar en un el marco  de la sostenibilidad
</t>
  </si>
  <si>
    <t>ME-62- Adelantar el 50% del reforzamiento estructural de la sede principal.</t>
  </si>
  <si>
    <t xml:space="preserve">A través del Cto 008 de 2022 se han realizado las siguientes actividades: Apoyo a la supervisión de obra de mantenimiento para la preservación del inmueble BIC.
2. Elaboración de socilitudes ante el MinCultura.
Seguimiento a la ejecución de los proyectos aprobados por el MinCultura: Mantenimiento y limpieza de la claraboya, intervención del local de transformación, desinfección y fumigación general, reparación de filtraciones de agua por cubierta.
Se encuentra en ejecución el Cto - 090 de 2022.
1. Elaboración de diseño Arquitectonico de: Sala de informática MAC, oficina para la reubicación temporal de dependencias, nuevo modulo apra el invernadero, diseño para el rincón del docente y administrativo.
2. Apoyo en la elaboración de los formatos  técnicos de baja del mobiliario almaqcenado en la Sede Central y Sede calle 18.
Apoyo en la organización del mobiliario y elementos adquiridos en ordenes de compra. 
</t>
  </si>
  <si>
    <t>ME-63- Construir espacios adecuados para la ubicación del gimnasio y áreas para desarrollo de actividades de bienestar estudiantil. (Administrativos y docentes)</t>
  </si>
  <si>
    <t>Contratación</t>
  </si>
  <si>
    <t>ME-64- Contar con un sistema control de acceso para la sede principal.</t>
  </si>
  <si>
    <t>ME-65- Adecuación completa de la sede de la calle 18.</t>
  </si>
  <si>
    <t>Porcentaje de adecuación alcanzado</t>
  </si>
  <si>
    <t>Se han realizado las siguientes actividades de mantenimiento locativo:
1. Cambio de llave de la poceta del balo de mujeres en el primer piso
2. Cambio de Chapa del cuarto debajo de las estacaleras del segundo piso.
3. Ajuste de puerta de la casa hacia el exterior.
4. Mantenimiento de los lavamanos portatiles (2)</t>
  </si>
  <si>
    <t>ME-66- Adaptación progresiva de la planta física para implementar la normativa de movilidad reducida.</t>
  </si>
  <si>
    <t xml:space="preserve">Porcentaje de gestión para la implementación de la normatividad de movilidad reducida  </t>
  </si>
  <si>
    <t>Porcentaje de ejecución de la intervenciones necesarias para la implementación de la normatividad de movilidad reducida.</t>
  </si>
  <si>
    <t>Para el 1° trimestre de la vigencia, se cuenta con la asistencia a una capacitación (4 de marzo)
realización del diseño para guardar la silla salva escaleras tipo oruga.
La cabina se fabricará a través del Cto 359 de 2021.</t>
  </si>
  <si>
    <t>ME-67- Optimización de la oferta de parqueaderos en la sede central.</t>
  </si>
  <si>
    <t>ME -68 - Gestionar las Dotaciones de las instalaciones y sede principal para  la permanencia y aumento de la oferta.</t>
  </si>
  <si>
    <t xml:space="preserve">Durante el 1° triemstre de la vigencia, Se envió a Almacen del formato de baja de 714 unidades de moviliario entre sillas, pupitres, mesas y archivadores que se encuentran almacenados en la sede Centra.
Por otro lado se realizo la organización del mobiliario adquirido de las ordenes de compra 83651, 83653, 83654 y 83650 para los siguientes proyectos: 1. Salas de profesores de 2° y 3° piso, 2. Rincón del docente y administrativo, 3° Oficinas de Autoevaluación, 4° Oficinas de Gestión de Informática y telecomunicaciones, 5° Comedor interior y exterior. </t>
  </si>
  <si>
    <t>ME-69- Estructurar y gestionar el registro de Pregrado en Ingeniería Agrícola por ciclos.</t>
  </si>
  <si>
    <t xml:space="preserve">Los documentos maestros para el pregrado en ingenieria Agricola por ciclos se encuentran elaborados, paso siguiente se surtirá un proceso de tipo institucional para verificar la viabilidad de este programa en la ETITC. 
Desde Autoevaluación, se revisaron los 3 documentos maestros entregados. Se espera su presentación ante el Consejo académico y Consejo directivo para dar continuidad al prámite. </t>
  </si>
  <si>
    <t>ME-71-  Estructurar  y gestionar el registro de   Pregrado en Ingeniería de energías por ciclos</t>
  </si>
  <si>
    <t xml:space="preserve">Actas de einicio </t>
  </si>
  <si>
    <t>Para el periodo de reporte se han adelantado actualizaciones normativas en los siguientes aspectos:
- Constitución del Comité Editorial Científico (Resolución 153-2022)
- Comité de Capacitación, Bienestar y Estímulos (La Resolución 317-2022 se encuentra en elaboración con el área de Talento Humano)
- Reestructuración del Comité de Conciliación (Resolución 288-2022)
Adicionalmente, desde Secretaría General se ha realizado acompañamiento a todos los actos administrativos que son firmados por Rectoría, con corte a 30 de junio se han expedido 353 Resoluciones.
Por parte del Consejo Directivo se han expedido cuatro Acuerdos, se resalta el Acuerdo 04 de 18 de mayo de 2022 - Por el cual se expide y aprueba la actualización del Proyecto Educativo Institucional de la Escuela Tecnológica Instituto Técnico Central.
Desde el Consejo Académico se han expedido cinco Acuerdos, se resaltan los siguientes:
- Acuerdo 05 de 9 de mayo de 2022 - Por el cual se reglamenta la modalidad de Trabajo de Grado “Estudios Coterminales o de Postgrado” de la Escuela Tecnológica Instituto Técnico Central
- Acuerdo 02 de 22 de abril de 2022 - Por el cual se expide y adopta el Reglamento de Trabajos de Grado para los programas del nivel Profesional Universitario de la Escuela Tecnológica Instituto Técnico Central</t>
  </si>
  <si>
    <r>
      <t xml:space="preserve">https://etitc.edu.co/es/page/nosotros&amp;normatividad&amp;resoluciones
</t>
    </r>
    <r>
      <rPr>
        <b/>
        <sz val="10"/>
        <rFont val="Arial"/>
        <family val="2"/>
      </rPr>
      <t>Acuerdos Consejos:
https://etitc.edu.co/es/page/nosotros&amp;normatividad&amp;acuerdos
Borrador Resolución Comité de Capacitación, Bienestar y Estímulos:
https://itceduco-my.sharepoint.com/:w:/r/personal/asuntosdisciplinarios_itc_edu_co/_layouts/15/Doc.aspx?sourcedoc=%7B9B7E93A4-D5D8-4230-A3ED-607DEDC48F94%7D&amp;file=RESOLUCION%20COMITE%20DE%20CAPACITACION%20Y%20ESTIMULOS%20(1).docx&amp;action=default&amp;mobileredirect=true</t>
    </r>
  </si>
  <si>
    <t>La plataforma Ekogui se actualiza en la medida en que los procesos judiciales tienen actuaciones que se deben reportar, en ese sentido, se actualizó a 30 de junio, a la fecha se cuenta con 19 procesos activos en la plataforma.
Adicionalmente la Secretaría General apoyó la elaboración del informe de empalme entre Gobierno Nacional, enviando la información solicitada por la Oficina Asesora de Planeación, y realizando los ajustes solicitados.
Finalmente, la Secretaría General actualiza el numeral 4.9. Informe sobre defensa pública y prevención del daño antijurídico del botón de transparencia y acceso a la información, con informes trimestrales.</t>
  </si>
  <si>
    <t>Informe Ekogui reportado por correo electrónico
https://etitc.edu.co/archives/informempalme22.pdf
https://etitc.edu.co/es/page/leytransparencia</t>
  </si>
  <si>
    <t>Se cuenta con dos bases, se actualizan cada vez que hay una actuación procesal, una de las bases con la radicación de los actos administrativos, se cuenta con la asignación numérica, la otra base cuenta con los procesos, radicados, nombres, actuaciones, observaciones y términos para prescripción, a la fecha, las bases se encuentran actualizadas con 23 casos.
El acceso a las dos bases está restringido únicamente para el Secretario General y el Profesional de Asuntos Disciplinarios.</t>
  </si>
  <si>
    <t>https://itceduco-my.sharepoint.com/:w:/r/personal/asuntosdisciplinarios_itc_edu_co/_layouts/15/Doc.aspx?sourcedoc=%7B942F1D1D-5033-4093-B06F-97D7FE929C6C%7D&amp;file=PROCESOS%20DISCIPLINARIOS%20BASE.docx&amp;action=default&amp;mobileredirect=true</t>
  </si>
  <si>
    <t>El 22 de junio se impartió una capacitación a docentes del IBTI sobre los deberes del servidor público, nuevo Código General Disciplinario y Protocolos de Atención, se contó con la participación aproximada de 40 docentes.</t>
  </si>
  <si>
    <t>https://itceduco-my.sharepoint.com/:p:/r/personal/asuntosdisciplinarios_itc_edu_co/_layouts/15/Doc.aspx?sourcedoc=%7B55CFDF4B-A7A2-4ED5-978A-168E9F7E21CB%7D&amp;file=Presentaci%C3%B3n%20Disciplinario%20y%20Protocolos%20docentes%20IBTI.pptx&amp;action=edit&amp;mobileredirect=true</t>
  </si>
  <si>
    <t>El 28 de abril se llevó a cabo la ceremonia de grados, celebrada adecuadamente, se contó con 330 graduandos.
Actualmente se realiza la preparación para las próximas ceremonias de grado, dispuestas a realizarse en las fechas: 28 de octubre para PES, y 07 de diciembre para IBTI.</t>
  </si>
  <si>
    <t>Transmisión en facebook live institucional</t>
  </si>
  <si>
    <t>https://www.etitc.edu.co/archives/segesparyrdc22.xlsx</t>
  </si>
  <si>
    <t xml:space="preserve">Se realizo el seguimiento al PPC 1° trimestre.
Se definió el cronograma de seguimiento al Plan de Participación Ciudadana para la 3° semana de julio. </t>
  </si>
  <si>
    <t>https://www.etitc.edu.co/archives/seguimientopdi2022.xlsx</t>
  </si>
  <si>
    <t xml:space="preserve">Se realizo el 1° seguimiento al PAAC 2022, para ello se realizaron diferentes reuniones con los responsables de cada área.
Se realizo el 1° seguimiento al Plan de Acción Institucional (instrumento de seguimiento e informe de seguimiento)
Se realizo el 1° seguimiento a las Metas estrategicas PDI 1° Trimestre. 
Se definieron cronogramas para la realización del 2° seguimiento al PAI Y PAAC.
Se llevo a cabo la actualización del espacio Participa, de forma que los dos botones dispuestos se articulen.
</t>
  </si>
  <si>
    <t xml:space="preserve">Se apoyaron las siguientes áreas en la correcta implementación del las políticas MIPG: 
Gestión Documental, Talento Humano, Jurídoca Contratación  
Se realizaron los autodiagnosticos de las políticas: Atención al Ciudadano, Rendición de Cunetas, Integridad. 
</t>
  </si>
  <si>
    <t>Documentos elaborados</t>
  </si>
  <si>
    <t>Esta actividad se tiene proyectada para el 2° semestre de la vigencia. Si embargo, se realiza monitoreo constante desde la OAP a publicado en la Página Institucional para dar cumplimeinto a los lineamientos normativos, resolución 1519 de 2020, Ley 1712 de 2014.</t>
  </si>
  <si>
    <t>Esta actividad se tiene proyectada para el 2° semestre de la vigencia. Si embargo se realiza monitoreo constante desde la OAP a publicado en la Página Institucional para dar cumplimeinto a los lineamientos normativos, resolución 1519 d 2020, Ley 1712 de 2014.</t>
  </si>
  <si>
    <t xml:space="preserve">Se ha realizado el reporte del 1° trimestre del Plan de Acción Sectorial. Para ello se solicitaron evidencias y planes de trabajo a: Informátiva y Comunicaciones, Talento Humano, Jurídica Contratación y Presupuesto. </t>
  </si>
  <si>
    <t>https://www.etitc.edu.co/archives/pas22.xlsx</t>
  </si>
  <si>
    <t xml:space="preserve">Se construyeron los indicadores transformacionales para la vigencia 2022 (10 en total).
Se realizo seguimiento a los 3 proyectos e inversión, especificamente con corte a marzo y junio. </t>
  </si>
  <si>
    <t>https://www.etitc.edu.co/archives/indicadorgestionmar22.xlsx
https://www.etitc.edu.co/archives/seguimientopimar2022.xlsx
https://www.etitc.edu.co/archives/seguimientopijun2022.xlsx</t>
  </si>
  <si>
    <t xml:space="preserve">Esta actividad no ha tenido avance durante el 2° trimestre </t>
  </si>
  <si>
    <t>Durtante el 1° trimestre de la vigencia desde la Oficina Asesora de Planeación se realizaron reuniones con el MEN, como parte de la estrategia para mejorar los resultados frente al reporte FURAG 2021. En este sentido s erealizaron reunines con los diferentes líderes de las políticas de desarrollo administrativo, para recolectar evidencias y realizar el reporte en el aplicativo dispuesto para tal fin durante la 2° y 3° semana de marzxo, el certificado de diligenciamiento se recibio el pasado 22 de marzo con un diligenciamiento al 100%</t>
  </si>
  <si>
    <t>Documento elaborado y socializado</t>
  </si>
  <si>
    <t>En el mes de abril, la profesional de Aseguramiento de la Calidad entregó los informes a las facultades pendientes (Sistemas y Mecatrónica), actualmente se encuentran en revisión, ajuste y aprobación por parte de los decanos, y finalicen los documentos.</t>
  </si>
  <si>
    <t>Esta actividad esta programada para el 2° semestre de la vigencia, toda vez que la actividad requiere los planes de mejoramiento formulados por parte del área de Autoevaluación, los cuales serán suministrados en septiembre.</t>
  </si>
  <si>
    <t>En abril de 2022 se publicó la Edición 1 del SIACET 2022 en la página web, y desde el área de Comunicaciones se socializó con la comunidad educativa de la ETITC el 12 de mayo de 2022.</t>
  </si>
  <si>
    <t>https://etitc.edu.co/archives/siacet2.pdf</t>
  </si>
  <si>
    <t>Se elaboró la matriz de articulación del SIACET que contiene la articulación de los objetivos del Plan de Desarrollo Institucional, Decreto 1330 de 2019 (condiciones de calidad, tanto institucional como de programa), Acuerdo 02 de 2020 (factores, tanto institucionales como de programa), Políticas del MIPG, sistema de gestión en procesos (ítems de la NTC 9001), y evidencias.</t>
  </si>
  <si>
    <t>La metodología para la definición del modelo de autoevaluación con fines de acreditación de programas se probó por el Comité del Sistema de Gestión del PDI y Autoevaluación con fines de Acreditación Institucional, de igual modo, el taller para la ponderación de factores y características del modelo se llevó a cabo los días 24 y 25 de mayo, y el 1 y 2 de junio con la facultad de Sistemas.
Se realizó la ponderación y se presentó el resultado de la misma con las justificaciones de cada factor al Comité del Sistema de Gestión del PDI y Autoevaluación con fines de Acreditación Institucional en sesión del 23 de junio, quien aprobó las respectivas ponderaciones, quedando pendiente la aprobación de las justificaciones de cada factor para el 8 de julio, una vez surtida esta aprobación, se generará el documento del modelo.</t>
  </si>
  <si>
    <t>En el Acuerdo 04 del 18 de mayo del Consejo Directivo se expidió y aprobó la actualización del Proyecto Educativo Institucional de la ETITC, y en este documento se encuentran las políticas definidas en el Decreto 1330 de 2019.
Se encuentra pendiente la Política de Talento Humano para que sea aprobada en el Comité Institucional de Gestión y Desempeño y posteriormente por el Consejo Directivo, se plantea la presentación para aprobación del Consejo Directivo a más tardar en el mes de agosto.</t>
  </si>
  <si>
    <t>Se presentó la estrategia ante el Comité de Gestión del PDI y Acreditación, y ante el Consejo Directivo (el 15 de junio) la definición de equipos de trabajo que liderarán la Acreditación Institucional, los equipos se componen de líderes misionales o estratégicos, y líderes técnicos, adicionalmente se definieron los mecanismos para la cultura de autoevaluación.
Se está elaborando el documento "Mecanismo para el fortalecimiento de la cultura de autoevaluación", dicho documento busca orientar a los equipos conformados para la acreditación institucional.
Como tercera acción, se cuenta con el acompañamiento para acreditación institucional, se recibirá visita amiga del CNA, dicha visita se llevará a cabo los días 13 y 14 de julio.
Finalmente, se dispuso un repositorio documental en One Drive, donde cada líder tiene acceso, y se clasifican los alcances de los líderes, en la primera semana de junio, el equipo técnico de autoevaluación se reunió con los líderes, para explicar el alcance del rol de los líderes en el proceso de acreditación institucional.</t>
  </si>
  <si>
    <t xml:space="preserve">Documentos elaborados y entregados </t>
  </si>
  <si>
    <t xml:space="preserve">Matriz elaboradas </t>
  </si>
  <si>
    <t xml:space="preserve">Propuesta en elaboración </t>
  </si>
  <si>
    <t xml:space="preserve">Acuerdo 04 del 18 de mayo del Consejo Directivo
Política de Talelnto humano </t>
  </si>
  <si>
    <t>Procesos de socialización y borrador del documento 
"Mecanismo para el fortalecimiento de la cultura de autoevaluación"</t>
  </si>
  <si>
    <t>Se elaboró una matriz de identificación (modelo de programas) donde se asignaron responsabilidades, y el equipo técnico de autoevaluación se reunió con los líderes con el fin de reflexionar sobre la asignación del aspecto, y establecer grados de responsabilidad, las reuniones iniciaron la última semana de marzo, y finalizaron el 16 de mayo.
Adicionalmente se hizo identificación de similitud entre aspectos de los dos modelos (programas e institucional).
Posteriormente, se elaboró la verificación de similitud.
Actualmente se encuentra en proceso de diseño la actividad mediante la cual el líder del factor valida e implementa la verificación de similitud elaborada por el equipo técnico de autoevaluación.</t>
  </si>
  <si>
    <r>
      <t xml:space="preserve">Actualmente se están autoevaluando quince programas, con las siguientes fases:
</t>
    </r>
    <r>
      <rPr>
        <b/>
        <sz val="14"/>
        <rFont val="Calibri"/>
        <family val="2"/>
        <scheme val="minor"/>
      </rPr>
      <t xml:space="preserve">1) Recolección documental: </t>
    </r>
    <r>
      <rPr>
        <sz val="14"/>
        <rFont val="Calibri"/>
        <family val="2"/>
        <scheme val="minor"/>
      </rPr>
      <t xml:space="preserve">75% de cumplimiento
</t>
    </r>
    <r>
      <rPr>
        <b/>
        <sz val="14"/>
        <rFont val="Calibri"/>
        <family val="2"/>
        <scheme val="minor"/>
      </rPr>
      <t>2) Análisis documental:</t>
    </r>
    <r>
      <rPr>
        <sz val="14"/>
        <rFont val="Calibri"/>
        <family val="2"/>
        <scheme val="minor"/>
      </rPr>
      <t xml:space="preserve"> 5% de cumplimiento
</t>
    </r>
    <r>
      <rPr>
        <b/>
        <sz val="14"/>
        <rFont val="Calibri"/>
        <family val="2"/>
        <scheme val="minor"/>
      </rPr>
      <t>3) Entrevista:</t>
    </r>
    <r>
      <rPr>
        <sz val="14"/>
        <rFont val="Calibri"/>
        <family val="2"/>
        <scheme val="minor"/>
      </rPr>
      <t xml:space="preserve"> 40% de cumplimiento 
</t>
    </r>
    <r>
      <rPr>
        <b/>
        <sz val="14"/>
        <rFont val="Calibri"/>
        <family val="2"/>
        <scheme val="minor"/>
      </rPr>
      <t>4) Encuesta:</t>
    </r>
    <r>
      <rPr>
        <sz val="14"/>
        <rFont val="Calibri"/>
        <family val="2"/>
        <scheme val="minor"/>
      </rPr>
      <t xml:space="preserve"> 33% de cumplimiento (218 docentes, y 2071 estudiantes), falta encuestar 3200 graduados, 200 empresarios, 11 directivos, y 100 administrativos.</t>
    </r>
  </si>
  <si>
    <t>Una vez superadas las fases de la actividad anterior, se radicará.</t>
  </si>
  <si>
    <t>Se estableció que una vez al mes se presenta ante el Consejo Directivo los avances en materia.
Se envía a los involucrados del proceso el informe general: Avance técnica de percepción estudiantes.
El 07 de abril se presentó ante directivos y administrativos involucrados en el proceso los siguientes aspectos:
- Articulación de los procesos de calidad
- Avance Facultad de Sistemas
- Avance Facultad de Procesos Industriales
- Avance Facultad de Mecatrónica
- Avance Ruta de Sensibilización
- Avance en Áreas Transversales
- Avance en Áreas Financieras y de Inversión</t>
  </si>
  <si>
    <t xml:space="preserve">Acta de Consejo Directivo </t>
  </si>
  <si>
    <t>El 15 de junio se informó al Consejo Directivo el retraso de presentación de condiciones iniciales, así que la actividad se postergará.
No se presenta más avance debido a las recomendaciones del CNA y Univalle sobre postergar la presentación de condiciones iniciales.</t>
  </si>
  <si>
    <t>Se concluyó el proceso de condiciones institucionales, se espera recibir concepto por parte del MEN.
El 6 de junio la ETITC recibió observaciones de sale, y el 18 del mismo mes, la Escuela respondió las observaciones.</t>
  </si>
  <si>
    <t>Los días 4 y 5 de abril, la ETITC atendió una visita de evaluación externa, el 29 de abril se recibieron observaciones de los pares, encontrando a satisfación los requisitos, y aprobando los conceptos dados por los pares, actualmente el programa se encuentra en estado "Proyección y generación de Resolución", esperando desde el 29 de abril el concepto de sala.</t>
  </si>
  <si>
    <t xml:space="preserve">El 2 de junio el área entregó guía instructiva para el cargue de información en plataforma Nuevo SACES, se envió a la decanatura de especializaciones, y al profesional curricular contratado para este fin.
El 2 de junio se llevó a cabo una reunión virtual para explicar la metodología.
El 7 de abril se participó en reunión sobre avance de nuevos registros calificados de especializaciones.
El 21 de junio se acompañó a la coordinación en el estudio de factibilidad de los nuevos programas de especializaciones. </t>
  </si>
  <si>
    <t>Se han generado lineamientos sobre la modificación de registros calificados, ya que se depende de las decisiones que se tomen por la Vicerrectoría Académica se procederá a ejecutar esta actividad.</t>
  </si>
  <si>
    <t>Se elaboró y envió a la Viceacadémica una guía sobre cómo elaborar un documento maestro con fines de registro calificado, así como guía para cargue de información en plataforma Nuevo SACES.</t>
  </si>
  <si>
    <t>Guía elaborada y socializada</t>
  </si>
  <si>
    <t>Correos de respuesta a las observaciones</t>
  </si>
  <si>
    <t xml:space="preserve">Acta de inicio y ejecución contractual </t>
  </si>
  <si>
    <t xml:space="preserve">Elementos instalados </t>
  </si>
  <si>
    <t>Evidencia visual de la capacitación</t>
  </si>
  <si>
    <t>Para la vigencia 2022 se cuenta con 2 contratos por prestación de servicios: 016 inició el 15 de enero, y 137 inició el 1º de febrero. (finalizan 15 de diciembre). Valor por $47.733.861.</t>
  </si>
  <si>
    <t>Se elaboró el borrador del Manual de Bienes Muebles, se debe revisar por Contabilidad y Tesorería.
Se espera surtir el proceso de aprobación para el mes de agosto, en el Comité de Sostenibilidad Contable.</t>
  </si>
  <si>
    <t>https://itceduco-my.sharepoint.com/:w:/g/personal/almacen_itc_edu_co/ETz79cpMtgpEkGLAHNP6zpkByWMJdgvvXKg1hhKX9a2P5w?e=5oDTCK</t>
  </si>
  <si>
    <t>La impresora se compró con insumos, costó $4.155.004 MCTE, orden de compra 89314-2022.</t>
  </si>
  <si>
    <t>SECOP II - Correo electrónico</t>
  </si>
  <si>
    <t>Se ha solicitado información acerca del desarrollo de esta meta estratégica tanto a la Vicerrectoría Académica y Administrativa y Financiera, sin embargo, no se ha recibido información al respecto.</t>
  </si>
  <si>
    <t>Se cuenta con un total de 183 contratos publicados y celebrados.
Se han realizado 37 procesos de mínimas cuantías, 3 selecciones abreviadas, 3 subastas inversas, 3 concursos de méritos, 1 selección abreviada de enajenación de bienes, 1 licitación pública, y 149 contrataciones directas.
El total de contratos da un valor de 197, debido a que se han presentado 10 procesos que o bien se declararon desiertos y no se culminó su contratación.
El Plan Anual de Adquisiciones se aprobó en Comité de Contratación el 14 de junio y se publicó el 15 de junio, su versión 14º.</t>
  </si>
  <si>
    <t>https://itceduco-my.sharepoint.com/:x:/g/personal/contratacion_itc_edu_co/EXYaRAirUB1KicYCdCefE5sBUQJhdmlQaS-529-bvjdI1g?e=4%3ADvp3pZ&amp;at=9&amp;CID=87d08281-a9af-22cd-1044-31f72aea7b6f</t>
  </si>
  <si>
    <t>El talento Humano del área de Contratación asistió a capacitación de SIGEP, y a la asistencia técnica sobre la Política de Compras y Contratación Pública, realizada por el Ministerio de Educación Nacional el 21 de junio.
Adicionalmente, el área realizará una capacitación sobre supervisión de contratos en el mes de julio.</t>
  </si>
  <si>
    <t xml:space="preserve">Plataforma SIMO </t>
  </si>
  <si>
    <t xml:space="preserve">Actos administrativos </t>
  </si>
  <si>
    <t xml:space="preserve">Evidencia fotográfica de los eventos realizados </t>
  </si>
  <si>
    <t xml:space="preserve">Correos enviados y Evidencia fotográfica de los eventos realizados  </t>
  </si>
  <si>
    <t>Plan actualizado</t>
  </si>
  <si>
    <t>Documento en construcción</t>
  </si>
  <si>
    <t>591453000 (Recursos vigencia 2021)</t>
  </si>
  <si>
    <t xml:space="preserve">documentos precontractuales </t>
  </si>
  <si>
    <t>De igual modo, se realizará movilidad local a un estudiante del 13 al 15 de julio 65º Congreso Internacional, Agua, Saneamiento, Ambiente y Energías Renovables.
En el marco del programa CIMA del SUE, se realizará movilidad de 4 estudiantes de Mecatrónica a la Universidad Distrital.</t>
  </si>
  <si>
    <t>Se recibió carta de aceptación para una docente, para que asista al Congreso ACOFI dispuesto a realizarse en Cartagena, de igual modo, el Decano de la facultad asistirá al congreso en mención.</t>
  </si>
  <si>
    <t>No se ha programado ninguna movilidad estudiantil internacional.</t>
  </si>
  <si>
    <t>Se programa una movilidad internacional para un docente, con destina a Brasil, se espera a la disponibilidad presupuestal.</t>
  </si>
  <si>
    <t>Se participará en el Congreso Internacional de Etica, Ciencia y Educación, la ETITC es una de las 35 instituciones que participan, en este caso, como organizadores, se realizará en Bucaramanga el 21, 22 y 23 de septiembre, asistirán 3 docentes, los 3 mejores estudiantes, y un representante de la Decanatura.</t>
  </si>
  <si>
    <t>Se llevó a cabo el encuentro de la Red de Mecatrónica el 8 de abril de 2022, en la Universidad Agustiniana.</t>
  </si>
  <si>
    <t>Se participará en el Congreso en el mes de octubre, en Bucaramanga, se llevará a docentes y estudiantes.</t>
  </si>
  <si>
    <t>La actividad se realizará en octubre con estudiantes del IBTI, para que se relacionen con la facultad de Mecatrónica.</t>
  </si>
  <si>
    <t>Se impulsará la creación de la Red de Egresados de Mecatrónica, se centrará en capacitaciones y socialización de tecnologías emergentes, con el evento de Innpulsa Colombia, se aportará en esta actividad.</t>
  </si>
  <si>
    <t>Se gestionó evento con Innpulsa Colombia, con mentorías que durarán 6 meses, sobre emprendimiento, y metodologías ágiles, para selección de propuestas por parte de MinTIC, el evento se realizará en septiembre.</t>
  </si>
  <si>
    <t>Se han realizado los siguientes cursos 1 20 docentes, 2 laboratoristas, y 3 estudiantes:
- LabVIEW Core 1
- LabVIEW Core 2
- Monitoreo y Control de Sistemas
- Embebidos con LabVIEW
- NI Circuit Design Suite (Multisim)
- Adquisición de Datos usando NI-DAQmx y LabVIEW.
Los 60 cursos de Matlab se han realizado a la medida, 247 usuarios han utilizado licencias de Matlab.</t>
  </si>
  <si>
    <t>Asistencia Congreso CIIMA</t>
  </si>
  <si>
    <t xml:space="preserve">Carta de Aceptación </t>
  </si>
  <si>
    <t xml:space="preserve">Evidencia fotográfica de los cursos  realizados </t>
  </si>
  <si>
    <t>Los estudios previos fueron entregados al área de Contratación el 16 de mayo (valor de $50.000.000,00), se espera el giro de recursos de Plan de Fomento a la Calidad para su contratación</t>
  </si>
  <si>
    <t>Las movilidades están articuladas a los proyectos VTH y VTE, se depende de la disponibilidad presupuestal.</t>
  </si>
  <si>
    <t>Redimec se realiza virtualmente, y se enviará una invitación formal a un Congreso que se realizará aproximadamente a mediados de septiembre.</t>
  </si>
  <si>
    <t>Se atenderá en el marco de la renovación del convenio Acosend</t>
  </si>
  <si>
    <t>Soporte remitido por la Facultad de Procesos Industriales.</t>
  </si>
  <si>
    <t>Se ejecutó el contrato 208-2020 sobre estudios de viabilidad del nuevo programa.
Se espera a visitas de Rectoría y Vicerrectoría Académica para posibles alianzas (convenios) con otras universidades con el fin de utilizar instalaciones para ofertar el programa de pregrado, por el momento, se analiza la viabilidad de ofertar el programa en Casanare, la visita se tiene programada para los días 22 y 23 de julio.</t>
  </si>
  <si>
    <t>Se realizó mantenimiento de todas las zonas verdes,(febrero - marzo), así mismo de los 2 edificios en las instalaciones Kennedy.</t>
  </si>
  <si>
    <t xml:space="preserve">Diseños en construción </t>
  </si>
  <si>
    <t xml:space="preserve">Actas de inicio y </t>
  </si>
  <si>
    <r>
      <rPr>
        <sz val="14"/>
        <rFont val="Calibri"/>
        <family val="2"/>
        <scheme val="minor"/>
      </rPr>
      <t>Se elaboró un diagnóstico, con insumos de entrevistas con directivos de la institución, y docentes.
Se identificó la percepción, articulación con sus áreas, así como posibles actividades para el Centro de Pensamiento y Desarrollo Tecnológico (CPDT).
Posteriormente se definieron doce líneas de acción y estrategias que orienten el CPDT; a partir de dichas líneas y estrategias se ejecutarán actividades de implementación del CPDT.</t>
    </r>
    <r>
      <rPr>
        <b/>
        <sz val="14"/>
        <rFont val="Calibri"/>
        <family val="2"/>
        <scheme val="minor"/>
      </rPr>
      <t xml:space="preserve">
Congreso de Ingeniería, Desarrollo Humano y Sostenibilidad Global: </t>
    </r>
    <r>
      <rPr>
        <sz val="14"/>
        <rFont val="Calibri"/>
        <family val="2"/>
        <scheme val="minor"/>
      </rPr>
      <t xml:space="preserve"> Se adelantó la divulgación del evento en la página web de la institución.</t>
    </r>
    <r>
      <rPr>
        <b/>
        <sz val="14"/>
        <rFont val="Calibri"/>
        <family val="2"/>
        <scheme val="minor"/>
      </rPr>
      <t xml:space="preserve">
</t>
    </r>
  </si>
  <si>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CONGRESO%20DE%20INGENIER%C3%8DA%2C%20DESARROLLO%20HUMANO%20Y%20SOSTENIBILIDAD%20GLOBAL</t>
  </si>
  <si>
    <t>Convocatoria de Investigación, Innovación y Tecnología Estudiantil N° 01-2022 con el propósito de fortalecer las habilidades para la investigación de los estudiantes que se interesan en adelantar proyectos en grupo y así dinamizar así competencias investigativas en complemento al proceso académico formal.
Se presentaron 3 proyectos a la convocatoria, se elaboraron estudios previos, y solicitud de CDP, valor $9.924.110</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</si>
  <si>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Conv%2E%20J%C3%B3venes%20Talento</t>
  </si>
  <si>
    <t>En el Comité Institucional de Investigación se aprobó un proyecto, orientado por 3 docentes y un joven investigador, el proyecto iniciará el 2º semestre de la vigencia.
Se elaboraron estudios previos, y solicitud de expedición del CDP por un valor de $129.948.889, se espera el desembolso de recursos del Plan de Fomento a la Calidad.</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</si>
  <si>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Dise%C3%B1o%20y%20Desarrollo%20de%20proyectos%20de%20Inv</t>
  </si>
  <si>
    <t>Una capacitación en ciberseguridad y riesgos informáticos para proyectos que apoya el CPDT, dirigida a estudiantes del semillero de investigación (15 estudiantes), y el docente, se elaboraron estudios previos, se expidió CDP, la capacitación iniciará el 2º semestre de la vigencia.</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</si>
  <si>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Capacitaci%C3%B3n%20en%20Investigaci%C3%B3n%2FCapacitaci%C3%B3n%20t%C3%A9cnica%20Red%20Team%20Blue%20Team</t>
  </si>
  <si>
    <t>Red Institucional: Proponer la creación de la red de Centros de Desarrollo Tecnológicos del País (reunión en agosto)</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</si>
  <si>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Red%20Institucional</t>
  </si>
  <si>
    <r>
      <t xml:space="preserve">Estudios previos: </t>
    </r>
    <r>
      <rPr>
        <sz val="14"/>
        <rFont val="Calibri"/>
        <family val="2"/>
        <scheme val="minor"/>
      </rPr>
      <t>Se elaboraron el 18 de mayo, actualmente se tramita la Resolución de pago.</t>
    </r>
    <r>
      <rPr>
        <b/>
        <sz val="14"/>
        <rFont val="Calibri"/>
        <family val="2"/>
        <scheme val="minor"/>
      </rPr>
      <t xml:space="preserve">
Solicitud CDP: </t>
    </r>
    <r>
      <rPr>
        <sz val="14"/>
        <rFont val="Calibri"/>
        <family val="2"/>
        <scheme val="minor"/>
      </rPr>
      <t>Se solicitó el 18 de mayo, por un valor de 7.785 US para la renovación de la plataforma.
En el marco de la renovación, se realiza capacitación sobre la plataforma para docentes.</t>
    </r>
  </si>
  <si>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Renovaci%C3%B3n%20y%20Capacitaci%C3%B3n%20Turnitin</t>
  </si>
  <si>
    <t>Se adelantó gestión de apoyo para las becas del concurso del Grupo GEA, y los certificados de participación.
Resolución 315 de 2022, becas premio Jornada de la Tierra.
Se aprobó y elaboró acta de inicio del proyecto "Estudio de estrategias de control de alto desempeño aplicadas al motor de reluctancia conmutada", presentada en la Convocatoria 09-2021 del grupo Techne, carta de aprobación de fecha mayo 19, acta de inicio del 20 de mayo.
Revisión por pares evaluadores de 4 propuestas de proyectos de grupos de investigación, se entrega como evidencia relación de 6 proyectos (2 son de otra convocatoria), el 16 de junio fueron aprobados los 4 proyectos en el Comité de Investigación.</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</si>
  <si>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1%2E%20Convocatorias%20Financiaci%C3%B3n%2FConv%2E%20Financiaci%C3%B3n%20semilleros</t>
  </si>
  <si>
    <t>Se hizo el lanzamiento de la convocatoria 02 de proyectos disciplinares, cuyo objetivo es promover la consolidación y socialización de la investigación disciplinar desde las aulas,
laboratorios y talleres de las Facultades, con el fin de generar nuevo conocimiento,
desarrollo tecnológico e innovación, apropiación social, divulgación y formación en la
ETITC.
En el 2º semestre se recibirán propuestas y se adelantará la gestión pertinente.</t>
  </si>
  <si>
    <t>https://etitc.edu.co/archives/convocatoria0222.pdf</t>
  </si>
  <si>
    <t>El encuentro se realizará el 27 de agosto.</t>
  </si>
  <si>
    <t>NA</t>
  </si>
  <si>
    <t>El encuentro se realizará el 27 de octubre.</t>
  </si>
  <si>
    <t>Se espera al plan de trabajo que desarrolle el SUE.</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</si>
  <si>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2%2E%20Afiliaci%C3%B3n%20a%20Redcolsi</t>
  </si>
  <si>
    <t>Se llevará a cabo los días 19, 20 y 21 de agosto, asistirán 50 invitados.</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</si>
  <si>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3%2E%20IX%20Campamento%20de%20Semilleros%20de%20Investigaci%C3%B3n</t>
  </si>
  <si>
    <t>Los estudiantes se inscribieron, el evento se realizará del 8 al 12 de agosto, se solicitó factura para pagar, se solicitó CDP por un valor de $1.100.000,00</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</si>
  <si>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4%2E%20Encuentro%20Nodo%20Bogot%C3%A1%20RedColsi</t>
  </si>
  <si>
    <t>Esta actividad depende de la anterior (sobre quienes pasen el encuentro regional)</t>
  </si>
  <si>
    <t>Actividad programada para el 2º semestre</t>
  </si>
  <si>
    <t>Convocatoria de   acompañamiento   para   la identificación  de  creaciones  y  obras  susceptibles  de  protección  por  mecanismos  de propiedad  intelectual  con el  fin  de  promover la  identificación  temprana  de desarrollos tecnológicos con potencial de protección y registro ante las autoridades competentes en materia de propiedad intelectual.
Los términos de referencia se enviaron para revisión de Secretaría General, debido a los formatos a emplear.</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</si>
  <si>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II%20Convocatoria%20de%20Propiedad%20Intelectual</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</si>
  <si>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I%20Encuentro%20Red%20de%20Investigaci%C3%B3n%20e%20Innovaci%C3%B3n%20%28Congreso%29</t>
  </si>
  <si>
    <t>Resolución 184 del 5 de abril de 2022 "Por la cual se autoriza un pago", QUINIENTOS  NOVENTA  Y OCHO MIL QUINIENTOSPESOS($598.500) M/CTE, ante la Superintendencia de Industria y Comercio.
Se solicitó CDP y proyección de estudios previos para construcción del prototipo de la patente, se han realizado reuniones con el CPDT y el inventor de la patente, quién será contratado para acompañar la elaboración del prototipo.</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</si>
  <si>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Patente%20Prensa%20de%20Alacr%C3%A1n</t>
  </si>
  <si>
    <t>El 24 de junio se enviaron los informes depurados al grupo GEA, se adelantaron los informes bibliométricos de los grupos VIRTUS y Techne.
Como resultado del último Comité de Investigación, se solicitó realizar un estudio bibliométrico de la productividad de la Escuela, con el objetivo de actualizar las líneas de investigación.</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</si>
  <si>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48%20APOYO%20INVESTIGACI%C3%93N</t>
  </si>
  <si>
    <t>Convocatoria Publicación cuadernos ETITC Nº02 de 2022, su propósito de esta convocatoria es apoyar la publicación de escritos no seriados que contribuyan con la generación de conocimiento, divulgación y construcción de la memoria académica.
Apertura julio 15, recepción textos julio 15 a septiembre 15, revisión editorial agosto 15, aprobación o rechazo documento septiembre 20, corrección de estilo octubre 1, diagramación noviembre 1, creación ISBN noviembre 15, publicación Repositorio Cuadernos  ETITC diciembre 1, se espera para la divulgación y ejecución de la convocatoria.</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</si>
  <si>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49%2DREVISTA</t>
  </si>
  <si>
    <t>Se elaboró el boletín Nº6, se espera a la diagramación para proceder la publicación.
Se inicó la gestión para el boletín Nº7.</t>
  </si>
  <si>
    <t xml:space="preserve">Esta actividad aún no ha tenido avance, sin embargo, esta actividad es una actividad a ejecutar de manera mancomunada con la Vicerrectoía Académica. </t>
  </si>
  <si>
    <t xml:space="preserve">Lista de certificados </t>
  </si>
  <si>
    <t>Esta certificación finaliza el 7 de julio</t>
  </si>
  <si>
    <t>Listado de certificados</t>
  </si>
  <si>
    <t>Actividad en proceso</t>
  </si>
  <si>
    <t>Estrategia de publicidad ejecutada</t>
  </si>
  <si>
    <r>
      <rPr>
        <b/>
        <sz val="12"/>
        <color theme="1"/>
        <rFont val="Calibri Light"/>
        <family val="2"/>
      </rPr>
      <t>Durante el 2º trimestre de la vigencia se han desarrollado las siguientes actividades:</t>
    </r>
    <r>
      <rPr>
        <sz val="12"/>
        <color theme="1"/>
        <rFont val="Calibri Light"/>
        <family val="2"/>
      </rPr>
      <t xml:space="preserve">
Se concluyó el proceso de condiciones institucionales, se espera recibir concepto por parte del MEN.
El 6 de junio la ETITC recibió observaciones de sale, y el 18 del mismo mes, la Escuela respondió las observaciones.
El 15 de junio se informó al Consejo Directivo el retraso de presentación de condiciones iniciales, así que la actividad se postergará.
No se presenta más avance debido a las recomendaciones del CNA y Univalle sobre postergar la presentación de condiciones iniciales.
</t>
    </r>
    <r>
      <rPr>
        <b/>
        <sz val="12"/>
        <color theme="1"/>
        <rFont val="Calibri Light"/>
        <family val="2"/>
      </rPr>
      <t xml:space="preserve">Por otra parte: </t>
    </r>
    <r>
      <rPr>
        <sz val="12"/>
        <color theme="1"/>
        <rFont val="Calibri Light"/>
        <family val="2"/>
      </rPr>
      <t xml:space="preserve">
 Se están autoevaluando quince programas, con las siguientes fases:
1) Recolección documental: 75% de cumplimiento
2) Análisis documental: 5% de cumplimiento
3) Entrevista: 40% de cumplimiento 
4) Encuesta: 33% de cumplimiento (218 docentes, y 2071 estudiantes), falta encuestar 3200 graduados, 200 empresarios, 11 directivos, y 100 administrativos.
</t>
    </r>
    <r>
      <rPr>
        <b/>
        <sz val="12"/>
        <color theme="1"/>
        <rFont val="Calibri Light"/>
        <family val="2"/>
      </rPr>
      <t xml:space="preserve">Con relación al modelo de autoevalución con fines de acreditación de programas: </t>
    </r>
    <r>
      <rPr>
        <sz val="12"/>
        <color theme="1"/>
        <rFont val="Calibri Light"/>
        <family val="2"/>
      </rPr>
      <t xml:space="preserve">La metodología para la definición del modelo de autoevaluación con fines de acreditación de programas se probó por el Comité del Sistema de Gestión del PDI y Autoevaluación con fines de Acreditación Institucional, de igual modo, el taller para la ponderación de factores y características del modelo se llevó a cabo los días 24 y 25 de mayo, y el 1 y 2 de junio con la facultad de Sistemas.
Se realizó la ponderación y se presentó el resultado de la misma con las justificaciones de cada factor al Comité del Sistema de Gestión del PDI y Autoevaluación con fines de Acreditación Institucional en sesión del 23 de junio, quien aprobó las respectivas ponderaciones, quedando pendiente la aprobación de las justificaciones de cada factor para el 8 de julio, una vez surtida esta aprobación, se generará el documento del modelo.
</t>
    </r>
    <r>
      <rPr>
        <b/>
        <sz val="12"/>
        <color theme="1"/>
        <rFont val="Calibri Light"/>
        <family val="2"/>
      </rPr>
      <t xml:space="preserve">
Estrategias dirigidas  a la acreditación institucional:</t>
    </r>
    <r>
      <rPr>
        <sz val="12"/>
        <color theme="1"/>
        <rFont val="Calibri Light"/>
        <family val="2"/>
      </rPr>
      <t xml:space="preserve">
Se presentó la estrategia ante el Comité de Gestión del PDI y Acreditación, y ante el Consejo Directivo (el 15 de junio) la definición de equipos de trabajo que liderarán la Acreditación Institucional, los equipos se componen de líderes misionales o estratégicos, y líderes técnicos, adicionalmente se definieron los mecanismos para la cultura de autoevaluación.
Se está elaborando el documento "Mecanismo para el fortalecimiento de la cultura de autoevaluación", dicho documento busca orientar a los equipos conformados para la acreditación institucional.
Como tercera acción, se cuenta con el acompañamiento para acreditación institucional, se recibirá visita amiga del CNA, dicha visita se llevará a cabo los días 13 y 14 de julio.
Finalmente, se dispuso un repositorio documental en One Drive, donde cada líder tiene acceso, y se clasifican los alcances de los líderes, en la primera semana de junio, el equipo técnico de autoevaluación se reunió con los líderes, para explicar el alcance del rol de los líderes en el proceso de acreditación institucional.</t>
    </r>
  </si>
  <si>
    <t>Respecto a la adquisición de una plataforma académica segundo idioma; se cuenta con los estudios previos, de igual manera se cuenta con el estidio de mercado.
Se han realizado 3 reuniones con los posibles oferentes de la plataforma (estudiantes docentes). También se han realizado reuniones con los usuarios de la plataforma una vez se adquiera, el aque se ha expresado la necesidad y la usabilidad del aplicativo. 
Por otra parte desde el Centro de Lengias se han adelantado los siguientes cursos durante el 1° trimestre de la vigencia: Inglés A1 (Cto- 128 de 2022), A2 (Cto. 129 de 2022), B1a (contrato 130 de 2022), B1b (contrato 127 de 2022), B2a ( contrato 131 de 2022), B2b (contrato 126 de 2022)</t>
  </si>
  <si>
    <r>
      <rPr>
        <b/>
        <sz val="12"/>
        <color theme="1"/>
        <rFont val="Calibri Light"/>
        <family val="2"/>
      </rPr>
      <t>Respecto a la adquisición de una plataforma académica segundo idioma:</t>
    </r>
    <r>
      <rPr>
        <sz val="12"/>
        <color theme="1"/>
        <rFont val="Calibri Light"/>
        <family val="2"/>
      </rPr>
      <t xml:space="preserve"> sse cuenta con los estudios previos (avalados por la Oficina de Jurídica Contratación), se proyecta publicar el proceso en SECOP el 12 de julio, y se surtira un proceso por selección abreviada, se cuenta con el CDP 14722.
Por otra parte desde el Centro de Lengias se han concluyeron los siguientes cursos durante el 1° semestre de la vigencia: Inglés A1 (Cto- 128 de 2022), A2 (Cto. 129 de 2022), B1a (contrato 130 de 2022), B1b (contrato 127 de 2022), B2a ( contrato 131 de 2022), B2b (contrato 126 de 2022).
</t>
    </r>
  </si>
  <si>
    <r>
      <t xml:space="preserve">Desde el Despacho de la Vicerrectoría:
</t>
    </r>
    <r>
      <rPr>
        <sz val="12"/>
        <color theme="1"/>
        <rFont val="Calibri Light"/>
        <family val="2"/>
      </rPr>
      <t xml:space="preserve">Se realiza la matriz de competencias y resultados de aprendizaje de cada uno de los programas (15 programas), se proyecta la finalización de este instrumento para el 25 de julio. 
Se proyecta la actualización del formato de DES-FO-05 Syllabus.
</t>
    </r>
    <r>
      <rPr>
        <b/>
        <sz val="12"/>
        <color theme="1"/>
        <rFont val="Calibri Light"/>
        <family val="2"/>
      </rPr>
      <t xml:space="preserve">Desde la Facultad de Sistemas: 
</t>
    </r>
    <r>
      <rPr>
        <sz val="12"/>
        <color theme="1"/>
        <rFont val="Calibri Light"/>
        <family val="2"/>
      </rPr>
      <t xml:space="preserve">En el marco de la gestión curriculas, Se han realizado 3 reuniones en el periodo evaluado, se ha socializado el tema de resultados de aprendizaje y competencias de programa  por componentes de formación. 
</t>
    </r>
    <r>
      <rPr>
        <b/>
        <sz val="12"/>
        <color theme="1"/>
        <rFont val="Calibri Light"/>
        <family val="2"/>
      </rPr>
      <t xml:space="preserve">Desde la Facultad de Procesos Industriales:
</t>
    </r>
    <r>
      <rPr>
        <sz val="12"/>
        <color theme="1"/>
        <rFont val="Calibri Light"/>
        <family val="2"/>
      </rPr>
      <t xml:space="preserve">Para conseguir una mejora curricular, se llevo a cabo una encuesta "mejora currular en la Facultad de Procesos", se contó con 54 respuestas (34 docentes 20 estudiantes).
Se realiza seguimiento continuo a las actividades del proyecto integrador de esta manera se muestran las actividades, los compromisos y temáticas puntuales tratadas en las diferentes reuniones. </t>
    </r>
  </si>
  <si>
    <t xml:space="preserve">Se socializo el documento elaborado con los líderes de las políticas MIPG
Se determino el cronograma para la realización del seguimiento al Plan de Mejoramiento Políticas MIPG v. 2021.
Para el mes de mayo se recibieron los resultados de la lectura FURAG 2021, misma que dio como resultado 91,3; mostrando así un avance del 2,4 puntos porcentuales, frente a la lectura 2020.
</t>
  </si>
  <si>
    <t xml:space="preserve">Para el mes de mayo se recibieron los resultados de la lectura FURAG 2021, misma que dio como resultado 91,3; mostrando así un avance del 2,4 puntos porcentuales, frente a la lectura 2020.
Se socializaron los resultados ante el CIGD y se elaboro la MIP - MIP para apalancar los resultados vigencia 2022,se socializo el documento elaborado con los líderes de las políticas MIPG
Se determino el cronograma para la realización del seguimiento al Plan de Mejoramiento Políticas MIPG v. 2021.
</t>
  </si>
  <si>
    <t>Esta actividad no ha tenido avance en el 2° trimestre de la vigencia</t>
  </si>
  <si>
    <t xml:space="preserve">El análisis de los resultados del estudio técnico se debe realizar desde espacios directivos, sin enbargo, hasta el momento no se ha realizado esta actividad. 
</t>
  </si>
  <si>
    <t>Durante el 1° trimestre de la vigencia , se ha adelantado un proceso contractual a través del aplicativo SECOP II, para dar avance a las campaña prevención enfermedades laborales y  accidentes de trabajo, así mismo para la definición del profesiogramas.</t>
  </si>
  <si>
    <r>
      <rPr>
        <b/>
        <sz val="12"/>
        <color theme="1"/>
        <rFont val="Calibri Light"/>
        <family val="2"/>
        <scheme val="major"/>
      </rPr>
      <t xml:space="preserve">En el marco del Plan de Bienestar Laboral y el fortalecimiento del clima laboral:
</t>
    </r>
    <r>
      <rPr>
        <sz val="12"/>
        <color theme="1"/>
        <rFont val="Calibri Light"/>
        <family val="2"/>
        <scheme val="major"/>
      </rPr>
      <t xml:space="preserve">26 de abril día de la secretaria, se promovio el Código de Integridad (30 asistentes).
Desde el área de Bienestar Laboraral se realizaron las actividades para la compensación de tiempo 29, 30 de junio y 1° de julio.
Se concedio el 28 de junio como día de la familia. 
Se realizo el reconocimiento el día 8 de mayo (targeta virtual).
11 de mayo feria de servicios, participación de 100 servidores publicos.
13 de mayo día del maestro con 230 participantes.
20 de mayo y 16 de junio actividad física.
23 de junio, se llevo una caminata al serro de Monserrate.
16 de junio se socializo el programa servimos.
postulación de 2 funcionarios para la celebración del día del servidor publico. 
Semana de receso del 21 al 24 de junio, actividades recreativas "Emocionarte con Bienestar", participación de 20 niños.
Actividad de integración y agradecimiento: 
21 docentes IBTI
23 Docentes PES
24 Administrativos.
</t>
    </r>
    <r>
      <rPr>
        <b/>
        <sz val="12"/>
        <color theme="1"/>
        <rFont val="Calibri Light"/>
        <family val="2"/>
        <scheme val="major"/>
      </rPr>
      <t>En el marco del PIC.</t>
    </r>
    <r>
      <rPr>
        <sz val="12"/>
        <color theme="1"/>
        <rFont val="Calibri Light"/>
        <family val="2"/>
        <scheme val="major"/>
      </rPr>
      <t xml:space="preserve">
</t>
    </r>
    <r>
      <rPr>
        <b/>
        <sz val="12"/>
        <color theme="1"/>
        <rFont val="Calibri Light"/>
        <family val="2"/>
        <scheme val="major"/>
      </rPr>
      <t>Mes de mayo</t>
    </r>
    <r>
      <rPr>
        <sz val="12"/>
        <color theme="1"/>
        <rFont val="Calibri Light"/>
        <family val="2"/>
        <scheme val="major"/>
      </rPr>
      <t xml:space="preserve">
Actualización de datos SIGEP, 
Replica de conocimiento SIGEP
Replica de conocimiento Gestión Ambiental.
En total se cuentan con 7 replicas de conocimiento.
16 de junio, Socialización de los cursos del MEN 
10 Personas cumplieron con la totalidad de los cursos.
5 personas de manera parcial.
Actualización del curso generentes publicos de los 11 responsables, solo 2 han realizado su actualización. 
Curso de habilidades blandas, se reportaron 10 certificados. 
Se han enviado 15 diplomados, 5 cursos, 3 conversatorios, 3 conferentecias, y 7 personas han 
enviado certificado. 
Código de integridad: 
1. Se han socializado de manera mensual los valores: Junio, Horestidad
Mayo, respeto. 
Abril, 
2. Día de la secretaria, socialización del código de integridad. 
Se ha avanzado en la construcción de la Plantaforma CAPUS VIRTULA ETITC. Modulo Código de integridad. 
Encuesta "Qué tanto CONOCES DEL Código de Integridad", 87 respuestas. 
</t>
    </r>
  </si>
  <si>
    <t xml:space="preserve">El concurso para la planta docente finalizo el 10 de junio, se presentaron 92 aspirantes, de los cuales solo 7 cumplian requisitos legales y  ninguno logro continuar el proceso de selección.
El concurso de Merito constaba de 7 cargos de tiempo completo y 17 de medio tiempo. </t>
  </si>
  <si>
    <t>El Cto 350 finalizo el 22 de mayo de 2022
la ejecución de las actividades propias para la adecuación de infraestructura tecnológica en la ETITC, se adelantan a través del Cto 344 de 2021, se realizo una prorroga hasta el 22 de julio de 2022, su ejecución se encuentra en un 90%.</t>
  </si>
  <si>
    <t xml:space="preserve">La renovación del plan del Plan de Actualización y soporte4 para el Software Mantum, se realizo a través de la Resolución 200 DEL 20 de abril de 2022. </t>
  </si>
  <si>
    <t xml:space="preserve">Actualemte la fase 2 se encuentra en pausa, 
la fase 1 se encuentra finalizada 
transferencia de conocimeinto.
Entrega de un equipo AC922 SERVIDOR,
IC922, ALMACENAMIENOT DE 53 TERAS REALES, 3 ESTACIONES DE TRABAJO transferencia de conocimeinto). 
</t>
  </si>
  <si>
    <r>
      <t xml:space="preserve">La cosecución de esta actividad esta dada por la interacción de diferentes áreas y procesos entre los cuales se encuentra:
Talleres y laboratorios: </t>
    </r>
    <r>
      <rPr>
        <sz val="12"/>
        <rFont val="Calibri Light"/>
        <family val="2"/>
      </rPr>
      <t>Adquisición de materiales para los laboratorios de quimica y fisica, a través del Cto 182 de 2022, con la empresa Norquimicos LTDA,  se adquirió la totalidad de los insumos.</t>
    </r>
    <r>
      <rPr>
        <b/>
        <sz val="12"/>
        <rFont val="Calibri Light"/>
        <family val="2"/>
      </rPr>
      <t xml:space="preserve">
</t>
    </r>
    <r>
      <rPr>
        <sz val="12"/>
        <rFont val="Calibri Light"/>
        <family val="2"/>
      </rPr>
      <t xml:space="preserve">
</t>
    </r>
    <r>
      <rPr>
        <b/>
        <sz val="12"/>
        <rFont val="Calibri Light"/>
        <family val="2"/>
      </rPr>
      <t xml:space="preserve">Por otra parte desde las Facultades: 
Sistemas
</t>
    </r>
    <r>
      <rPr>
        <sz val="12"/>
        <rFont val="Calibri Light"/>
        <family val="2"/>
      </rPr>
      <t xml:space="preserve">La Fase I del Laboratorio de IA a finalizado con los siguientes productos: Entrega de un equipo AC922 SERVIDOR,
IC922, ALMACENAMIENOT DE 53 TERAS REALES, 3 ESTACIONES DE TRABAJO transferencia de conocimeinto.
</t>
    </r>
  </si>
  <si>
    <r>
      <rPr>
        <b/>
        <sz val="12"/>
        <color theme="1"/>
        <rFont val="Calibri Light"/>
        <family val="2"/>
      </rPr>
      <t>La cosecución de esta actividad esta dada por la interacción de diferentes áreas y procesos entre los cuales se encuentra:</t>
    </r>
    <r>
      <rPr>
        <sz val="12"/>
        <color theme="1"/>
        <rFont val="Calibri Light"/>
        <family val="2"/>
      </rPr>
      <t xml:space="preserve">
</t>
    </r>
    <r>
      <rPr>
        <b/>
        <sz val="12"/>
        <color theme="1"/>
        <rFont val="Calibri Light"/>
        <family val="2"/>
      </rPr>
      <t>Gestión Informática y Comunicaciones:</t>
    </r>
    <r>
      <rPr>
        <sz val="12"/>
        <color theme="1"/>
        <rFont val="Calibri Light"/>
        <family val="2"/>
      </rPr>
      <t xml:space="preserve">
El software Automation Studio fue adquirido a través de la resolución 198 de 2022, se recibieron 15 licencias por parte de la empresa CASIBER LTDA y estas se encuentran instaladas en la sede Central. 
El software Enterprise Architec fue adquirido a través de la Resolución 199 DEL 20 de abril de 2022, se recibieron 30 licencias por parte de la empresa SOLUS SA y estas se encuentran instaladas en la sede Central. 
El Cto 350 finalizo el 22 de mayo de 2022
la ejecución de las actividades propias para la adecuación de infraestructura tecnológica en la ETITC, se adelantan a través del Cto 344 de 2021, se realizo una prorroga hasta el 22 de julio de 2022, su ejecución se encuentra en un 90%.
La renovación del plan del Plan de Actualización y soporte4 para el Software Mantum, se realizo a través de la Resolución 200 DEL 20 de abril de 2022.
</t>
    </r>
    <r>
      <rPr>
        <b/>
        <sz val="12"/>
        <color theme="1"/>
        <rFont val="Calibri Light"/>
        <family val="2"/>
      </rPr>
      <t xml:space="preserve">
2° Fase del proyecto aulas para alternancia: </t>
    </r>
    <r>
      <rPr>
        <sz val="12"/>
        <color theme="1"/>
        <rFont val="Calibri Light"/>
        <family val="2"/>
      </rPr>
      <t xml:space="preserve">Se aprobo adición al Cto 301 de 2021, por $ 335.000.000, en efecto se pretende adquirir juegos de pantallas para la alternancia. </t>
    </r>
  </si>
  <si>
    <t xml:space="preserve">La actualización al PGD fue presentada ante el CIGD, misma que fue aprobada. 
Se  proyecta enviar el respectivo documento a los Secretaria General para su respectiva publicación a través de acto administrativo. </t>
  </si>
  <si>
    <r>
      <t xml:space="preserve">La cosecución de esta actividad esta dada por la interacción de diferentes áreas y procesos entre los cuales se encuentra:
ORII:
</t>
    </r>
    <r>
      <rPr>
        <sz val="12"/>
        <rFont val="Calibri Light"/>
        <family val="2"/>
      </rPr>
      <t xml:space="preserve">Durante el 2° trimestre en el marco de  la comunidad de apoyo para clases espejo, se realizaron siete actividades entre el 7 de abril y 2 de junio, con más de 136 registro de participantes.
Por otra parte se realizó un ejercicio de dialogos interculturales con la UNIBAC de Cartagena (16 de junio - 38 participantes) .
Durante el 2° trimesre de la vigencia se llevo a cabo con la Universidad San Marcos de costa Rica el evento "Mes del Investigador" (21 de junio), se contó con la participación de 65 aistentes.
</t>
    </r>
    <r>
      <rPr>
        <b/>
        <sz val="12"/>
        <rFont val="Calibri Light"/>
        <family val="2"/>
      </rPr>
      <t xml:space="preserve">Faciltades 
Mecatrónica: </t>
    </r>
    <r>
      <rPr>
        <sz val="12"/>
        <rFont val="Calibri Light"/>
        <family val="2"/>
      </rPr>
      <t xml:space="preserve">Se llevó a cabo el encuentro de la Red de Mecatrónica el 8 de abril de 2022, en la Universidad Agustiniana.
</t>
    </r>
    <r>
      <rPr>
        <b/>
        <sz val="12"/>
        <rFont val="Calibri Light"/>
        <family val="2"/>
      </rPr>
      <t xml:space="preserve">Sistemas: </t>
    </r>
    <r>
      <rPr>
        <sz val="12"/>
        <rFont val="Calibri Light"/>
        <family val="2"/>
      </rPr>
      <t xml:space="preserve"> Se participo en el evento RED-FI en los meses de abril y mayo, con la temática: Tendencias en la comisión para la ingieneria.
Se participo en los encuentros plenarias de REDIS durante los meses abril, mayo, junio
Infomatrix 2022: La actividad fue realizada en el mes de mayo (21), se contó con la presencia de 100 participación.   </t>
    </r>
  </si>
  <si>
    <t>Englobar todos los predios que integran la sede Central</t>
  </si>
  <si>
    <t xml:space="preserve">Esta actividad no ha tenido avance </t>
  </si>
  <si>
    <t>Esta Meta estratègica no ha tenido avance en el 2° trimestre de la vigencia</t>
  </si>
  <si>
    <t>Se definió la actualización  del documento para el 2022, en el cual se incluyo una nueva estrategia de mantenimiento a  través de terceros. 
Se encuentra en elaboración el listado de APUs para ejecutar estos mantenimientos con terceros.</t>
  </si>
  <si>
    <t xml:space="preserve">Actualmente se desarrolla el Contrato para la creación de estudios maestros para 3 especializaciones (Instrumentación industrial, mantenimiento industrial, Gestión y construcción de redes de media tensión).
Desde la vigencia 2021 se cuenta con las especializaciones: Diseño y Gestión de Sistemas y Dispositivos para Internet de las Cosas, Seguridad y Salud en el Trabajo. </t>
  </si>
  <si>
    <r>
      <t xml:space="preserve">Desde la facultad de Sistemas:
</t>
    </r>
    <r>
      <rPr>
        <sz val="12"/>
        <rFont val="Calibri Light"/>
        <family val="2"/>
        <scheme val="major"/>
      </rPr>
      <t xml:space="preserve">Desde la vigencia 2021 se ejecutó el contrato 327, a la fecha se cuenta con los estudios de factibilidad, desde la Facultad de Sistemas se realizará un analisis para determinar la necesidad de correcciones a los estudios previos, posteriormente se realizará una socialización ante el Vicerrector Acádemico, paso siguiente si se determina la oportunidad se realizará la respectiva presentación ante el Concejo Acádemico.
Se encuentran en elaboración los estudios previos para la contratacióin de los 
anexos técnicos   
</t>
    </r>
    <r>
      <rPr>
        <b/>
        <sz val="12"/>
        <rFont val="Calibri Light"/>
        <family val="2"/>
        <scheme val="major"/>
      </rPr>
      <t xml:space="preserve">Desde la facultad de Especializaciones: </t>
    </r>
    <r>
      <rPr>
        <sz val="12"/>
        <rFont val="Calibri Light"/>
        <family val="2"/>
        <scheme val="major"/>
      </rPr>
      <t xml:space="preserve">
El pasado 21 de junio se realizo un Consejo académico extraordinario, en el cual y a través  del procedimiento GDA- PC- 02 procedimiento de registro calificado (y para las 3 especializaciones), se mostró la consolidación de los 3 primeros pasos del procedimiento en mención: 1. Necesidad académica. 2. Análisis de oportunidad y pertinencia. 3. Aprobación de factibilidad y /o Viabilidad del programa. El 4° paso "Elaboración del documentos maestros" se surtira a más tardar en agosto de la presente vigencia.  
Los  contratos 315, 317 y 325 de 2022 finalizan en el mes de agosto.</t>
    </r>
  </si>
  <si>
    <t>* Formación docente en evaluación para los aprendizajes.
* Formación docente en interpretación y diseño de preguntas tipo Saber
*Actualización del PEI</t>
  </si>
  <si>
    <r>
      <t>Se realiza con una empresa externa 
Se han realizado las siguientes capacitaciones
1. 11 de mayo, Habilidades socioemocionales para docentes del  IBTI, 60 participantes
2. 1° de junio, Activación de la ruta de enfermeria, 44 participantes 
3. 2 de junio, protocolo de atención para situación presuntos casos que competen al sistema de responsabilidad penal para adolecentes, 50 participantes.
4. 21 de junio SST, 56 participantes. 
5. 23 de junio Taller de pscopedagogia 55 participantes. 
E</t>
    </r>
    <r>
      <rPr>
        <b/>
        <sz val="14"/>
        <rFont val="Calibri"/>
        <family val="2"/>
        <scheme val="minor"/>
      </rPr>
      <t>n el marco de la actualización del PEI</t>
    </r>
    <r>
      <rPr>
        <sz val="14"/>
        <rFont val="Calibri"/>
        <family val="2"/>
        <scheme val="minor"/>
      </rPr>
      <t xml:space="preserve">
Se tiene un proyecto de actualización en el que han participado lso diferentes miembros de la maesa de trabajo (5), las reuniones se realzian de manera semanal, en este espacio se muestran los diferentes categorias (Académica, económia institucional, economia  familiar inversión social , entonrmo fisico, contexto administrativo, contexto pedagogico , egresados , salud fíusica mental y recreación, contexto geográfico, contexto laboral), Técnicas análisis documental, encuestas y entrevistas.
Previamente se realizo un análisis al PEI anterior, con el fin de determinar los componentes a modificar y actualizar.
fases: 1. Diagnóstico Institucional 
Aplicación técnicas de recolección 
Propuesta de trabajo  
Revisión dePEI anteriro </t>
    </r>
  </si>
  <si>
    <r>
      <rPr>
        <b/>
        <sz val="12"/>
        <color theme="1"/>
        <rFont val="Calibri Light"/>
        <family val="2"/>
        <scheme val="major"/>
      </rPr>
      <t xml:space="preserve">En el marco de la actualización del PEI:
</t>
    </r>
    <r>
      <rPr>
        <sz val="12"/>
        <color theme="1"/>
        <rFont val="Calibri Light"/>
        <family val="2"/>
        <scheme val="major"/>
      </rPr>
      <t xml:space="preserve">Se tiene un proyecto de actualización en el que han participado los diferentes miembros de la mesa de trabajo (5), las reuniones se realizan de manera semanal, en este espacio se muestran los diferentes categorias (Académica, económia institucional, economia  familiar, inversión social , entono fisico, contexto administrativo, contexto pedagogico , egresados, salud física mental y recreación, contexto geográfico, contexto laboral). En el marco de esta actualización se proyecta efectuar las siguientes Técnicas de recolección documental: Análisis documental, encuestas y entrevistas.
Previamente se realizo un análisis al PEI anterior, con el fin de determinar los componentes a modificar y actualizar.
La Actualización del PEI se encuentra especificamente en el desarrollo de la 1° Fase.
fases: 1. Diagnóstico Institucional 
Aplicación técnicas de recolección 
Propuesta de trabajo .
Revisión dePEI anteriro </t>
    </r>
  </si>
  <si>
    <t>El proyecto tiene dos fases de tu Escuela a mi Escuela: Se ha desarrollado el Pre ITC a los familiares de los posibles integrantes de los nuevos estudiantes (25 participantes).
Se han desarrollado diferentes actividades para promover la inmerción de los estudiantes del IBTI a los PES.</t>
  </si>
  <si>
    <r>
      <rPr>
        <b/>
        <sz val="14"/>
        <rFont val="Calibri"/>
        <family val="2"/>
        <scheme val="minor"/>
      </rPr>
      <t xml:space="preserve">*Renovación de las Mayas curriculares: </t>
    </r>
    <r>
      <rPr>
        <sz val="14"/>
        <rFont val="Calibri"/>
        <family val="2"/>
        <scheme val="minor"/>
      </rPr>
      <t xml:space="preserve">4 especialidades: 1. Diseño 2. Sistemas, 3. Mecatronica 4. Procesos. Todos los grados.
Esto se realiza de manera conjunta entre el representante del área y el coordinador de talleres y laboratorios.   
</t>
    </r>
    <r>
      <rPr>
        <b/>
        <sz val="14"/>
        <rFont val="Calibri"/>
        <family val="2"/>
        <scheme val="minor"/>
      </rPr>
      <t xml:space="preserve">El proyecto tiene dos fases de tu Escuela a mi Escuela: </t>
    </r>
    <r>
      <rPr>
        <sz val="14"/>
        <rFont val="Calibri"/>
        <family val="2"/>
        <scheme val="minor"/>
      </rPr>
      <t>Se ha desarrollado el Pre ITC a los familiares de los posibles integrantes de los nuevos estudiantes (25 participantes).
Se han desarrollado diferentes actividades para promover la inmerción de los estudiantes del IBTI a los PES</t>
    </r>
  </si>
  <si>
    <t>El desarrollo de esta Meta estratégica esta dada por la interacción de 6 áreas (Deportes, Enfermeria, Pastoral, Sicologia, Artes y Trabajo Social ), quienes han desarrollado sus acticidades con optimos resultados durante ekl 1° trimestre de la vigencia, alcanzando un desarrollo en sus actividades del 28%.</t>
  </si>
  <si>
    <t>El desarrollo de esta Meta estratégica esta dada por la interacción de 6 áreas (Deportes, Enfermeria, Pastoral, Sicologia, Artes y Trabajo Social ), quienes han desarrollado sus acticidades con optimos resultados durante el 2° trimestre de la vigencia, alcanzando un desarrollo en sus actividades del 55%.
Para mayor visibilidad de las actividades realizadas, se invita a consultar el Seguimiento al Plan de Acción en el Númeral 4.4.2 del Botón Transparecia
https://www.etitc.edu.co/es/page/leytransparencia</t>
  </si>
  <si>
    <r>
      <t xml:space="preserve">Se han desarrollado las siguientes actividades: 
Identificación alertas tempranas - riesgos asociados a la deserción: </t>
    </r>
    <r>
      <rPr>
        <sz val="12"/>
        <rFont val="Calibri Light"/>
        <family val="2"/>
        <scheme val="major"/>
      </rPr>
      <t xml:space="preserve"> Al finalizar el mes de junio se identificaron 1583 alertas tempranas asociadas a la caracterización estudiantil aplicada a los estudiantes PES. 
</t>
    </r>
    <r>
      <rPr>
        <b/>
        <sz val="12"/>
        <rFont val="Calibri Light"/>
        <family val="2"/>
        <scheme val="major"/>
      </rPr>
      <t xml:space="preserve">
Caracterización Estudiantil PES:
</t>
    </r>
    <r>
      <rPr>
        <sz val="12"/>
        <rFont val="Calibri Light"/>
        <family val="2"/>
        <scheme val="major"/>
      </rPr>
      <t xml:space="preserve">Al finalizar el mes de junio se aplicó el intrumento de caracterización estudiantil a  1587 estudiantes PES activos en el periodo 2022-1.
</t>
    </r>
    <r>
      <rPr>
        <b/>
        <sz val="12"/>
        <rFont val="Calibri Light"/>
        <family val="2"/>
        <scheme val="major"/>
      </rPr>
      <t xml:space="preserve">
Por otra parte: A la fecha se han enviado tanto los EP d</t>
    </r>
    <r>
      <rPr>
        <sz val="12"/>
        <rFont val="Calibri Light"/>
        <family val="2"/>
        <scheme val="major"/>
      </rPr>
      <t xml:space="preserve">e la fase 3 del proyecto RUSIA como de la fase 4 en espera del inicio del proceso de contratación - ENVIADOS 8 DE JUNIO 
</t>
    </r>
    <r>
      <rPr>
        <b/>
        <sz val="12"/>
        <rFont val="Calibri Light"/>
        <family val="2"/>
        <scheme val="major"/>
      </rPr>
      <t xml:space="preserve">
</t>
    </r>
  </si>
  <si>
    <r>
      <rPr>
        <b/>
        <sz val="12"/>
        <color theme="1"/>
        <rFont val="Calibri Light"/>
        <family val="2"/>
        <scheme val="major"/>
      </rPr>
      <t>Se han desarrollado las siguientes actividades:</t>
    </r>
    <r>
      <rPr>
        <sz val="12"/>
        <color theme="1"/>
        <rFont val="Calibri Light"/>
        <family val="2"/>
        <scheme val="major"/>
      </rPr>
      <t xml:space="preserve"> 
1. Acompañamiento integral y en procesos de aprendizaje: 35 estudiantes atendidos en los servicios de entrenamiento y/o  asesoría individual
2. Caracterización de la población estudiantil en procesos de aprendizaje: Se aplicó el instrumento diagnóstico a los estudiantes nuevos durante la inducción (24 y 27 de enero), aplicaron 361.
3. Implementación de estrategias para el fortalecimiento de los procesos de aprendizaje
4. Investigación y proyecto sobre adaptación a la vida universitaria:  Diseño y aplicación de la encuesta de percepción de los estudiantes de la ETITC: A la fecha la han respondido 274 estudiantes.</t>
    </r>
  </si>
  <si>
    <t>Durante el 2º trimestre de la vigencia se evidencia  la atención a 201 estudiantes con 654 apoyos en los servicios prestados por los profesionales del centro de refuerzo especializado, con una dedicación de hasta dos horas en asesoría individual presencial y/o virtual. El cargue de la información se realiza en adviser (RUSIA), no se comparte link de registro por ser información confidencial.</t>
  </si>
  <si>
    <t>1, informe de la encuesta realizada sobre adaptación al medio universitario, la cual contó con la participación de 274 estudiantes y cuyo objetivo es establecer estrategias de acompañamiento y apoyo en el proceso de ingreso a la ETITC.</t>
  </si>
  <si>
    <r>
      <t xml:space="preserve">En el marco del proyecto CREA se han desarrollado las siguientes actividades:
</t>
    </r>
    <r>
      <rPr>
        <sz val="12"/>
        <rFont val="Calibri Light"/>
        <family val="2"/>
        <scheme val="major"/>
      </rPr>
      <t xml:space="preserve">Durante el 2º trimestre de la vigencia se evidencia  la atención a 201 estudiantes con 654 apoyos en los servicios prestados por los profesionales del centro de refuerzo especializado, con una dedicación de hasta dos horas en asesoría individual presencial y/o virtual. El cargue de la información se realiza en adviser (RUSIA), no se comparte link de registro por ser información confidencial.
</t>
    </r>
    <r>
      <rPr>
        <b/>
        <sz val="12"/>
        <rFont val="Calibri Light"/>
        <family val="2"/>
        <scheme val="major"/>
      </rPr>
      <t xml:space="preserve">
Adicionalmente:</t>
    </r>
    <r>
      <rPr>
        <sz val="12"/>
        <rFont val="Calibri Light"/>
        <family val="2"/>
        <scheme val="major"/>
      </rPr>
      <t xml:space="preserve"> 
1. Pubicación de Neurotips (12)
2, Publicación lectotips (12)
3, Estructuración, diseño y publicación del portafolio de servicios de CREA en el sitio web institucional.
4, Campaña de gimnasia cerebral aplicada  a 29 estudiantes.
5, Talleres sobre procesos de atención,  lógicomatemáticos  y lenguaje corporal y empleabilidad" con la participación de 50 estudiantes.
6. Campaña "Hablemos de Inclusión",  actividad masiva que se llevó a cabo con participación del grupo musical de la ETITC, aproximadamente participaron  91 personas.
7. Taller para los docentes de bachillerato "Clases cerebralmente amigables", con la participación de 57 profesores y 5 directivos docentes.
8. Webinar "tardes de café", en donde se abordaron los siguientes temas "El lenguaje y las matemáticas", "qué es el éxito", con un total de 1058 reproducciones.</t>
    </r>
  </si>
  <si>
    <t xml:space="preserve">Se elaboró un diagnóstico, con insumos de entrevistas con directivos de la institución, y docentes.
Se identificó la percepción, articulación con sus áreas, así como posibles actividades para el Centro de Pensamiento y Desarrollo Tecnológico (CPDT).
Posteriormente se definieron doce líneas de acción y estrategias que orienten el CPDT; a partir de dichas líneas y estrategias se ejecutarán actividades de implementación del CPDT.
Congreso de Ingeniería, Desarrollo Humano y Sostenibilidad Global:  Se adelantó la divulgación del evento en la página web de la institución.
</t>
  </si>
  <si>
    <t>Se propone la creación de la Red Institucional y de alianzas estratégicas ante 11 actores pertenencientes a la ciencia e investigación en el panorama nacional, ene ste sentido se proyecta realizar una reunión el próximo mes de agosto, en la que se definiran los lineamientos de este proyectos por los actores participantes.</t>
  </si>
  <si>
    <r>
      <t xml:space="preserve">Se han realizado las siguientes actividades: 
Convocatoria 02   Proyectos Disciplinares:
</t>
    </r>
    <r>
      <rPr>
        <sz val="12"/>
        <color theme="1"/>
        <rFont val="Calibri Light"/>
        <family val="2"/>
        <scheme val="major"/>
      </rPr>
      <t>Se hizo el lanzamiento de la convocatoria 02 de proyectos disciplinares, cuyo objetivo es promover la consolidación y socialización de la investigación disciplinar desde las aulas,
laboratorios y talleres de las Facultades, con el fin de generar nuevo conocimiento,
desarrollo tecnológico e innovación, apropiación social, divulgación y formación en la
ETITC.
En el 2º semestre se recibirán propuestas y se adelantará la gestión pertinente.</t>
    </r>
    <r>
      <rPr>
        <b/>
        <sz val="12"/>
        <color theme="1"/>
        <rFont val="Calibri Light"/>
        <family val="2"/>
        <scheme val="major"/>
      </rPr>
      <t xml:space="preserve">
Convocatorias 09 -2021 y 10-2022  Financiación  proyectos de investigación para grupo:
</t>
    </r>
    <r>
      <rPr>
        <sz val="12"/>
        <color theme="1"/>
        <rFont val="Calibri Light"/>
        <family val="2"/>
        <scheme val="major"/>
      </rPr>
      <t>Se adelantó gestión de apoyo para las becas del concurso del Grupo GEA, y los certificados de participación.
Resolución 315 de 2022, becas premio Jornada de la Tierra.
Se aprobó y elaboró acta de inicio del proyecto "Estudio de estrategias de control de alto desempeño aplicadas al motor de reluctancia conmutada", presentada en la Convocatoria 09-2021 del grupo Techne, carta de aprobación de fecha mayo 19, acta de inicio del 20 de mayo.
Revisión por pares evaluadores de 4 propuestas de proyectos de grupos de investigación, se entrega como evidencia relación de 6 proyectos (2 son de otra convocatoria), el 16 de junio fueron aprobados los 4 proyectos en el Comité de Investigación.</t>
    </r>
    <r>
      <rPr>
        <b/>
        <sz val="12"/>
        <color theme="1"/>
        <rFont val="Calibri Light"/>
        <family val="2"/>
        <scheme val="major"/>
      </rPr>
      <t xml:space="preserve">
Encuentro Nodo Bogotá RedColsi:</t>
    </r>
    <r>
      <rPr>
        <sz val="12"/>
        <color theme="1"/>
        <rFont val="Calibri Light"/>
        <family val="2"/>
        <scheme val="major"/>
      </rPr>
      <t xml:space="preserve"> Los estudiantes se inscribieron, el evento se realizará del 8 al 12 de agosto, se solicitó factura para pagar, se solicitó CDP por un valor de $1.100.000,00</t>
    </r>
  </si>
  <si>
    <r>
      <rPr>
        <b/>
        <sz val="12"/>
        <color theme="1"/>
        <rFont val="Calibri Light"/>
        <family val="2"/>
        <scheme val="major"/>
      </rPr>
      <t xml:space="preserve"> II Convocatoria de Propiedad Intelectual: </t>
    </r>
    <r>
      <rPr>
        <sz val="12"/>
        <color theme="1"/>
        <rFont val="Calibri Light"/>
        <family val="2"/>
        <scheme val="major"/>
      </rPr>
      <t>Convocatoria de   acompañamiento   para   la identificación  de  creaciones  y  obras  susceptibles  de  protección  por  mecanismos  de propiedad  intelectual  con el  fin  de  promover la  identificación  temprana  de desarrollos tecnológicos con potencial de protección y registro ante las autoridades competentes en materia de propiedad intelectual.
Los términos de referencia se enviaron para revisión de Secretaría General, debido a los formatos a emplear.</t>
    </r>
  </si>
  <si>
    <r>
      <t xml:space="preserve">Estudio de analisis Cienciometrico: 
</t>
    </r>
    <r>
      <rPr>
        <sz val="12"/>
        <color theme="1"/>
        <rFont val="Calibri Light"/>
        <family val="2"/>
        <scheme val="major"/>
      </rPr>
      <t>El 24 de junio se enviaron los informes depurados al grupo GEA, se adelantaron los informes bibliométricos de los grupos VIRTUS y Techne.
Como resultado del último Comité de Investigación, se solicitó realizar un estudio bibliométrico de la productividad de la Escuela, con el objetivo de actualizar las líneas de investigación.</t>
    </r>
  </si>
  <si>
    <t>Primer Congreso de Ingeniería, Desarrollo Humano y Sostenibilidad Global, recepción de ponencias 8 de junio al 31 de agosto, evaluación 1 al 24 de septiembre, publicación ponencias aceptadas 26 de septiembre.
El Congreso se desarrollará los días 2 y 3 de noviembre de 2022.
Se solicitó CDP para asistencia de 220 asistentes, logística, instalaciones y alimentación.</t>
  </si>
  <si>
    <r>
      <t xml:space="preserve">III Convocatoria Cuadernos ETITC: </t>
    </r>
    <r>
      <rPr>
        <sz val="12"/>
        <color theme="1"/>
        <rFont val="Calibri Light"/>
        <family val="2"/>
        <scheme val="major"/>
      </rPr>
      <t>Convocatoria Publicación cuadernos ETITC Nº02 de 2022, su propósito de esta convocatoria es apoyar la publicación de escritos no seriados que contribuyan con la generación de conocimiento, divulgación y construcción de la memoria académica.
Apertura julio 15, recepción textos julio 15 a septiembre 15, revisión editorial agosto 15, aprobación o rechazo documento septiembre 20, corrección de estilo octubre 1, diagramación noviembre 1, creación ISBN noviembre 15, publicación Repositorio Cuadernos  ETITC diciembre 1, se espera para la divulgación y ejecución de la convocatoria.</t>
    </r>
  </si>
  <si>
    <t xml:space="preserve">Se han creado vinculos con las siguientes empresas:  Industrias licuadoras Super SAS, Syntofarma, Konecta, Mitsubishi, Electric de Colombia, Eurofarma, Corona, TRIO, Azorty, Lafayette, Imocom, Instituto Britanico
A cada una de estas empresas se les ha extendido invitación a la bolsa de empleo, oferta de servicios de capacitación, oferta de programas académicos de la ETITC. 
</t>
  </si>
  <si>
    <t>Estado: Cumplido y en ejecución. Actualmente se están desarrollando las 
siguientes alianzas de proyección social con miras a beneficiar la comunidad.
1. Red de orientación de colegios distritales de Bogotá: Talleres de proyección 
social para elección de carrera y proyecto de vida con estudiantes de grados 
décimo y once. 
46 estudiantes de grado once beneficiados. 
3 colegios agendados: Colegio 21 Ángeles (Localidad de Suba), Colegio Llano 
Oriental (Localidad de Bosa) y Colegio Francisco de Paula Santander (Localidad 
de Bosa).
2. 18 colegios involucrados en la estrategia los cuales se verán beneficiados en el 
segundo semestre del año 2022.
3. Actualmente en la alianza hay cerca de 80 colegios</t>
  </si>
  <si>
    <t xml:space="preserve">Durante el 2° trimestre de la vigencia se han promovido: 
15 cursos (intensidad horaria entre 20 y 60 horas), 5 diplomados (intensidad horaria entre 80 a 120 horas), 4 certificaciones ( intensidad 120 horas)  . 
</t>
  </si>
  <si>
    <t xml:space="preserve">Durante el 2° trimestre de la vigencia se han promovido: 
15 cursos (intensidad horaria entre 20 y 60 horas), 5 diplomados (intensidad horaria entre 80 a 120 horas), 4 certificaciones ( intensidad 120 horas)  . </t>
  </si>
  <si>
    <t xml:space="preserve">Se culminó la asistencia a las 10 capacitaciones "Carbono Neutralidad". 
Se recibilio el instrumento adecuado para la medición y calculo de la Huella Carbonopc
Se proyecta la realización del 2° modulo de  Carbono neutralidad liderado por el Ministerio de Ambiente.  </t>
  </si>
  <si>
    <t>Solicitar información a TL</t>
  </si>
  <si>
    <r>
      <rPr>
        <b/>
        <sz val="12"/>
        <color theme="1"/>
        <rFont val="Calibri Light"/>
        <family val="2"/>
        <scheme val="major"/>
      </rPr>
      <t>Se han ralizado las siguientes actividades en el marco de la polìtica ambiental Institucional:</t>
    </r>
    <r>
      <rPr>
        <sz val="12"/>
        <color theme="1"/>
        <rFont val="Calibri Light"/>
        <family val="2"/>
        <scheme val="major"/>
      </rPr>
      <t xml:space="preserve"> 
</t>
    </r>
    <r>
      <rPr>
        <b/>
        <sz val="12"/>
        <color theme="1"/>
        <rFont val="Calibri Light"/>
        <family val="2"/>
        <scheme val="major"/>
      </rPr>
      <t xml:space="preserve">1. </t>
    </r>
    <r>
      <rPr>
        <sz val="12"/>
        <color theme="1"/>
        <rFont val="Calibri Light"/>
        <family val="2"/>
        <scheme val="major"/>
      </rPr>
      <t xml:space="preserve">Se realizaron intercambios de materia reciclado con la asociación de reciclaje Pedro León Trauchi, mismo que proveyeron los recipientes necesitados por la institución, por ende, no se ha requerido la compra de cajas u otrol elementos.
</t>
    </r>
    <r>
      <rPr>
        <b/>
        <sz val="12"/>
        <color theme="1"/>
        <rFont val="Calibri Light"/>
        <family val="2"/>
        <scheme val="major"/>
      </rPr>
      <t>2.</t>
    </r>
    <r>
      <rPr>
        <sz val="12"/>
        <color theme="1"/>
        <rFont val="Calibri Light"/>
        <family val="2"/>
        <scheme val="major"/>
      </rPr>
      <t xml:space="preserve"> Realización de pruebas de anilina para determinar las conecciones hidricas de las cajas de aguas resuduales. 
</t>
    </r>
    <r>
      <rPr>
        <b/>
        <sz val="12"/>
        <color theme="1"/>
        <rFont val="Calibri Light"/>
        <family val="2"/>
        <scheme val="major"/>
      </rPr>
      <t>3.</t>
    </r>
    <r>
      <rPr>
        <sz val="12"/>
        <color theme="1"/>
        <rFont val="Calibri Light"/>
        <family val="2"/>
        <scheme val="major"/>
      </rPr>
      <t xml:space="preserve"> Adquisición de la herramienta para realizar la medición del huella de carbono institucional.
</t>
    </r>
    <r>
      <rPr>
        <b/>
        <sz val="12"/>
        <color theme="1"/>
        <rFont val="Calibri Light"/>
        <family val="2"/>
        <scheme val="major"/>
      </rPr>
      <t xml:space="preserve">4. </t>
    </r>
    <r>
      <rPr>
        <sz val="12"/>
        <color theme="1"/>
        <rFont val="Calibri Light"/>
        <family val="2"/>
        <scheme val="major"/>
      </rPr>
      <t xml:space="preserve">Se han llevado a cabo una capacitación con Informática y Comunicaciones y areá de servicios generales.  </t>
    </r>
  </si>
  <si>
    <t xml:space="preserve">Esta actividad aun no se ha ejecutado.
*Se ha adquirido una Herramienta para la eficiencia energetica (Grupo Proredes de la SDA), en este sentido, se nusca su aprovechamiento desde el 3° trimestre de la vigencia. 
</t>
  </si>
  <si>
    <t xml:space="preserve">Se ha identificado la forma en que se están disponiento los residuos en Tintal.
En la Sede Centro se llevará a cabo la entrega de residuos peligrosos  programados a través del aplicativo PROSARC. Se proyecta entregar 275,46 Kg de residuos peligrosos (Cto 180 de 2022)
</t>
  </si>
  <si>
    <t xml:space="preserve">*De acuerdo al plan de pagos se han realizado y entregado los diseños arquitectónicos, estructurales y de redes del Proyecto reforzamiento.
*Radicación del proyecto de roforzamiento ante la Curaduría
*Seguimiento a la radicación a la Curaduría
Inicio a la elaboración de los Pliegos de condiciones y estudios de mercado para la obra de reforzamiento.
*Se cuenta con la licencia de contrucción en modalidad de reforzamiento estructural.
El contratista elabora los pliegos de condiciones para la contratación de la obra de reforzamiento.
</t>
  </si>
  <si>
    <t>(PFC)</t>
  </si>
  <si>
    <r>
      <t xml:space="preserve">Adecuación del parqueadero de la call 15: </t>
    </r>
    <r>
      <rPr>
        <sz val="12"/>
        <color theme="1"/>
        <rFont val="Calibri Light"/>
        <family val="2"/>
        <scheme val="major"/>
      </rPr>
      <t xml:space="preserve">Se lleva a cabo el proceso de planeación par la realización de la actividad (cronograma, recursos, responsables).
</t>
    </r>
    <r>
      <rPr>
        <b/>
        <sz val="12"/>
        <color theme="1"/>
        <rFont val="Calibri Light"/>
        <family val="2"/>
        <scheme val="major"/>
      </rPr>
      <t xml:space="preserve">Suministro e instalación de 90 unidades de biciparqueaderos: </t>
    </r>
    <r>
      <rPr>
        <sz val="12"/>
        <color theme="1"/>
        <rFont val="Calibri Light"/>
        <family val="2"/>
        <scheme val="major"/>
      </rPr>
      <t xml:space="preserve">Se lleva a cabo el proceso de estructuración del estudio previo para la realización de esta actividad. </t>
    </r>
  </si>
  <si>
    <r>
      <t xml:space="preserve">Se realizo en conjunto con almacen el inventario del moviliario del taller de fundición y motores y se envio al área de almacen el inventario de activos fijos para baja el 25 de mayo de 2022 (4 muebles).
</t>
    </r>
    <r>
      <rPr>
        <b/>
        <sz val="12"/>
        <color theme="1"/>
        <rFont val="Calibri Light"/>
        <family val="2"/>
        <scheme val="major"/>
      </rPr>
      <t xml:space="preserve">Desde Planta Física: </t>
    </r>
    <r>
      <rPr>
        <sz val="12"/>
        <color theme="1"/>
        <rFont val="Calibri Light"/>
        <family val="2"/>
        <scheme val="major"/>
      </rPr>
      <t xml:space="preserve">A la fecha no se ha identificado la necesidad de compra de mobiliario.
</t>
    </r>
    <r>
      <rPr>
        <b/>
        <sz val="12"/>
        <color theme="1"/>
        <rFont val="Calibri Light"/>
        <family val="2"/>
        <scheme val="major"/>
      </rPr>
      <t xml:space="preserve">Desde la Facultad de Especializaciones:
Dos Luxometros y 2 Sonómetros con sus respectivas bases: </t>
    </r>
    <r>
      <rPr>
        <sz val="12"/>
        <color theme="1"/>
        <rFont val="Calibri Light"/>
        <family val="2"/>
        <scheme val="major"/>
      </rPr>
      <t xml:space="preserve">El viernes 24 de junio se hizo una reunión con la Oficina de Juridica Contratación, en este espacio se realizó una evaluación acerca de la factibilidad en las diferentes 3 propuestas, se esta a la espera de que se tome la desición acerca del oferente más óptimo. </t>
    </r>
  </si>
  <si>
    <r>
      <rPr>
        <b/>
        <sz val="12"/>
        <color theme="1"/>
        <rFont val="Calibri Light"/>
        <family val="2"/>
        <scheme val="major"/>
      </rPr>
      <t xml:space="preserve">Desde la Facultad de Elétromecanica: </t>
    </r>
    <r>
      <rPr>
        <sz val="12"/>
        <color theme="1"/>
        <rFont val="Calibri Light"/>
        <family val="2"/>
        <scheme val="major"/>
      </rPr>
      <t xml:space="preserve">Se perfeccionaron los estudios previos, mismos que han sido revisados al interior de la Facultad.
Desde la Facultad se envió una Carta de invitación, lineamientos y Procedimiento de Registro Calificado 
Guía para la elaboración de documento maestro con fines de acreditaciónt; estos deben ser reconocidas y cumplidas por los respectivos oferentes de acurdo a las necesidades institucionales. 
 </t>
    </r>
  </si>
  <si>
    <r>
      <rPr>
        <b/>
        <sz val="12"/>
        <color theme="1"/>
        <rFont val="Calibri Light"/>
        <family val="2"/>
        <scheme val="major"/>
      </rPr>
      <t xml:space="preserve">Desde la Facultad de Procesos Industriales: </t>
    </r>
    <r>
      <rPr>
        <sz val="12"/>
        <color theme="1"/>
        <rFont val="Calibri Light"/>
        <family val="2"/>
        <scheme val="major"/>
      </rPr>
      <t xml:space="preserve">Se cuenta con los Estudios previos, mismos que se encuetran en evaluación por la Oficina de Juridica Contratación. 
Se recibio una propuesta por parte de la señora  Maria Cristina Corrales, esta cuenta con 7 etapas 
1. Estudio de factibilidad
2. Identificación   de   sello   distintivo   y   rasgos   diferenciales.
3. Estudio  de  tendencias  asociadas  a  los  objetos  de  estudio  del programa  académicod
4. Construcción de condiciones de calidad.
5. Construcción de Proyecto Educativo del Programa –PEP
6. Apoyo en la construcción de syllabus.
7. Elaboración de documentos síntesis </t>
    </r>
  </si>
  <si>
    <r>
      <rPr>
        <b/>
        <sz val="12"/>
        <color theme="1"/>
        <rFont val="Calibri Light"/>
        <family val="2"/>
        <scheme val="major"/>
      </rPr>
      <t xml:space="preserve">Desde la Facultad de Mecanica: </t>
    </r>
    <r>
      <rPr>
        <sz val="12"/>
        <color theme="1"/>
        <rFont val="Calibri Light"/>
        <family val="2"/>
        <scheme val="major"/>
      </rPr>
      <t>Se ejecutó el contrato 208-2020 sobre estudios de viabilidad del nuevo programa.
Se espera a visitas de Rectoría y Vicerrectoría Académica para posibles alianzas (convenios) con otras universidades con el fin de utilizar instalaciones para ofertar el programa de pregrado, por el momento, se analiza la viabilidad de ofertar el programa en Casanare, la visita se tiene programada para los días 22 y 23 de julio.</t>
    </r>
  </si>
  <si>
    <t>Se contrato a un técnico para realizar mantenimiento eléctrico a las UDP. Igualmente se cuenta con el apoyp de los técnicos del nivel Central.</t>
  </si>
  <si>
    <t>Se cuenta con dos personas para realizar mantenimiento de infraestructura y zonas verdes de las UDP Tintal - Carvajal.</t>
  </si>
  <si>
    <t>Se contrato 3 auxiliares de enfermeria para cubrir las jornadas de prestación de servicios de 7:00 am a 9:00 pm como hace falta de la entrega de las instalaciones nuevas no se ha contratado el auxiliar de audiovisuales y bibliotecologos.</t>
  </si>
  <si>
    <t>Se cuenta con dos personas para realizar mantenimiento infraestructura de las UDP Tintal - Carvajal.</t>
  </si>
  <si>
    <t>A la fecha no se han entregado las instalaciones nuevas el proceso de dotación de laboratorios se encuentra enn proceso.</t>
  </si>
  <si>
    <t>Se coontrato a un profesional para apoyo a  sistemas y programas en las UDP Tintal</t>
  </si>
  <si>
    <t xml:space="preserve">Actualmente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t>
  </si>
  <si>
    <t xml:space="preserve">Desde la Oficina de Comunicaciones ha integrado lineamientos de las diferentes áreas a la ejecución de la política de comunicaciones institucional </t>
  </si>
  <si>
    <t xml:space="preserve">La estratégia de comunicaciones se desarrolla en el marco de la los lineamientos institucionales </t>
  </si>
  <si>
    <t xml:space="preserve">Se evalua la posibilidad de revisar y dar fianlidad al plan de contingenca, a su vez verifica la pertinenca de la estrategia de comunicación desarrollada </t>
  </si>
  <si>
    <t xml:space="preserve">A partir de las reuniones realizadas se han estructurado 3 parrillas de contenido, así mismo se hace unos el formato de solicitud de apoyo al área.
</t>
  </si>
  <si>
    <t>La parrilla de contenido se estructuro desde el 1° trimestre de la vigencia.</t>
  </si>
  <si>
    <t>Durante el 1° trimestre de la vigencia se han realizado 11 emisiones con los diferentes procesos de la entidad.</t>
  </si>
  <si>
    <t>Documentación del proyecto (PFC)</t>
  </si>
  <si>
    <t xml:space="preserve">Las estrategias que se desarrollan para la inserción de estudiantes egresados del IBTI a los programas PES se realizan de manera permanente: 
Promoción de los PES en diferentes espacios académicos como lo son ferias, clases habituales, cursos y diplomados entre otrol. 
  </t>
  </si>
  <si>
    <t>campaña de socialización y sensibilización con apoyo de elementos publicitarios. Desarrollo del primer congreso de autoevaluación en la ETITC.</t>
  </si>
  <si>
    <t>contratación de experto que apoye la unificación del SIACET y Autoevaluación.</t>
  </si>
  <si>
    <t>equipo de estudiantes que se comuniquen con empresarios, empleadores y graduados con el fin de fortalecer la interacción de dichos estamentos, pues a la fecha se presentan serias debilidades al respecto.</t>
  </si>
  <si>
    <t>Cumplimiento en las fases del Consejo Nacional de Acreditación</t>
  </si>
  <si>
    <t>El 08/agosto se realizó reunión entre VAC y VAD , donde se determinó que el proyecto ya no tiene sentido por el programa de gratuidad del Gobierno. 
Se decide Presentar al Consejo Directivo para replantear el proyecto y la meta.</t>
  </si>
  <si>
    <t>Avance: 
Ejecución del Plan- Avances
1. Apoyo a Maestría: 8 profesores, 2 decanos
2. Apoyo a Doctorado: 1 profesor PES, 1 profesor IBTI
-----------------------
Profesores apoyados:12 de un total de 39 profesores de carrera.
12/39= 31%</t>
  </si>
  <si>
    <t>Actos administrativos a lugar</t>
  </si>
  <si>
    <t>Dentro de la institución no se tienen definida una política d ecomunicaciones</t>
  </si>
  <si>
    <t>En el Consejo Directivo se definió realizar modificación de esta meta, la cual se enfocará en Programas futuros. Es decir, el indicador estará supeditado a los nuevos programas.
Se requiere  fondear un presupuesto de 5.000 millones aprox. para adquisición de una plataforma robusta, lo cual no se había tenido en cuenta cuando se estableció la meta.</t>
  </si>
  <si>
    <t>% DE CUMPLIMIENTO DEL INDICADOR V2022</t>
  </si>
  <si>
    <r>
      <rPr>
        <b/>
        <sz val="12"/>
        <color theme="1"/>
        <rFont val="Calibri Light"/>
        <family val="2"/>
        <scheme val="major"/>
      </rPr>
      <t xml:space="preserve">Para la renovación y capacitación de la herramienta Turnitin: </t>
    </r>
    <r>
      <rPr>
        <sz val="12"/>
        <color theme="1"/>
        <rFont val="Calibri Light"/>
        <family val="2"/>
        <scheme val="major"/>
      </rPr>
      <t xml:space="preserve">
Estudios previos: Se elaboraron el 18 de mayo, actualmente se tramita la Resolución de pago.
Solicitud CDP: Se solicitó el 18 de mayo, por un valor de 7.785 US para la renovación de la plataforma.
En el marco de la renovación, se realiza capacitación sobre la plataforma para docentes.</t>
    </r>
  </si>
  <si>
    <r>
      <t xml:space="preserve">I Encuentro Red de investigación e innovación de la ETITC: </t>
    </r>
    <r>
      <rPr>
        <sz val="12"/>
        <color theme="1"/>
        <rFont val="Calibri Light"/>
        <family val="2"/>
        <scheme val="major"/>
      </rPr>
      <t xml:space="preserve"> Primer Congreso de Ingeniería, Desarrollo Humano y Sostenibilidad Global, recepción de ponencias 8 de junio al 31 de agosto, evaluación 1 al 24 de septiembre, publicación ponencias aceptadas 26 de septiembre.
El Congreso se desarrollará los días 2 y 3 de noviembre de 2022.
Se solicitó CDP para asistencia de 220 asistentes, logística, instalaciones y alimentación.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</si>
</sst>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XDR&quot;* #,##0_-;\-&quot;XDR&quot;* #,##0_-;_-&quot;XDR&quot;* &quot;-&quot;_-;_-@_-"/>
    <numFmt numFmtId="165" formatCode="yyyy\-mm\-dd;@"/>
    <numFmt numFmtId="166" formatCode="_-* #,##0_-;\-* #,##0_-;_-* &quot;-&quot;??_-;_-@_-"/>
    <numFmt numFmtId="167" formatCode="_-&quot;$&quot;\ * #,##0_-;\-&quot;$&quot;\ * #,##0_-;_-&quot;$&quot;\ * &quot;-&quot;??_-;_-@_-"/>
    <numFmt numFmtId="168" formatCode="[$$-240A]\ #,##0"/>
    <numFmt numFmtId="169" formatCode="0.0%"/>
    <numFmt numFmtId="170" formatCode="_-[$$-2C0A]\ * #,##0_-;\-[$$-2C0A]\ * #,##0_-;_-[$$-2C0A]\ * &quot;-&quot;??_-;_-@_-"/>
  </numFmts>
  <fonts count="86"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4"/>
      <name val="Calibri"/>
      <family val="2"/>
      <scheme val="minor"/>
    </font>
    <font>
      <b/>
      <sz val="14"/>
      <name val="Arial"/>
      <family val="2"/>
    </font>
    <font>
      <u/>
      <sz val="11"/>
      <color theme="10"/>
      <name val="Calibri"/>
      <family val="2"/>
    </font>
    <font>
      <b/>
      <sz val="16"/>
      <color theme="1"/>
      <name val="Arial"/>
      <family val="2"/>
    </font>
    <font>
      <sz val="10"/>
      <name val="Arial"/>
      <family val="2"/>
    </font>
    <font>
      <b/>
      <sz val="14"/>
      <color theme="1"/>
      <name val="Calibri"/>
      <family val="2"/>
      <scheme val="minor"/>
    </font>
    <font>
      <b/>
      <sz val="14"/>
      <color rgb="FF000000"/>
      <name val="Calibri"/>
      <family val="2"/>
      <scheme val="minor"/>
    </font>
    <font>
      <sz val="14"/>
      <name val="Arial"/>
      <family val="2"/>
    </font>
    <font>
      <sz val="12"/>
      <name val="Arial"/>
      <family val="2"/>
    </font>
    <font>
      <sz val="14"/>
      <name val="Calibri"/>
      <family val="2"/>
      <scheme val="minor"/>
    </font>
    <font>
      <sz val="14"/>
      <color theme="1"/>
      <name val="Calibri"/>
      <family val="2"/>
      <scheme val="minor"/>
    </font>
    <font>
      <sz val="12"/>
      <color theme="1"/>
      <name val="Arial Narrow"/>
      <family val="2"/>
    </font>
    <font>
      <sz val="10"/>
      <name val="Arial"/>
      <family val="2"/>
    </font>
    <font>
      <sz val="14"/>
      <color rgb="FF000000"/>
      <name val="Calibri"/>
      <family val="2"/>
      <scheme val="minor"/>
    </font>
    <font>
      <sz val="14"/>
      <color theme="1"/>
      <name val="Arial Narrow"/>
      <family val="2"/>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sz val="16"/>
      <color theme="1"/>
      <name val="Arial Narrow"/>
      <family val="2"/>
    </font>
    <font>
      <sz val="11"/>
      <color rgb="FFFF0000"/>
      <name val="Arial Narrow"/>
      <family val="2"/>
    </font>
    <font>
      <sz val="11"/>
      <color theme="1"/>
      <name val="Arial Narrow"/>
      <family val="2"/>
    </font>
    <font>
      <b/>
      <sz val="12"/>
      <color rgb="FF00B050"/>
      <name val="Calibri Light"/>
      <family val="2"/>
    </font>
    <font>
      <b/>
      <sz val="14"/>
      <color rgb="FF00B050"/>
      <name val="Arial Black"/>
      <family val="2"/>
    </font>
    <font>
      <sz val="14"/>
      <color rgb="FF00B050"/>
      <name val="Calibri Light"/>
      <family val="2"/>
    </font>
    <font>
      <sz val="12"/>
      <color theme="0"/>
      <name val="Calibri Light"/>
      <family val="2"/>
    </font>
    <font>
      <b/>
      <sz val="11"/>
      <color theme="0"/>
      <name val="Arial Narrow"/>
      <family val="2"/>
    </font>
    <font>
      <sz val="12"/>
      <color theme="1"/>
      <name val="Calibri Light"/>
      <family val="2"/>
    </font>
    <font>
      <b/>
      <sz val="10"/>
      <color theme="0"/>
      <name val="Calibri Light"/>
      <family val="2"/>
    </font>
    <font>
      <b/>
      <sz val="10"/>
      <color theme="1"/>
      <name val="Calibri Light"/>
      <family val="2"/>
    </font>
    <font>
      <b/>
      <sz val="10"/>
      <color theme="1"/>
      <name val="Calibri"/>
      <family val="2"/>
      <scheme val="minor"/>
    </font>
    <font>
      <sz val="12"/>
      <name val="Calibri Light"/>
      <family val="2"/>
    </font>
    <font>
      <sz val="12"/>
      <color theme="1"/>
      <name val="Calibri Light"/>
      <family val="2"/>
      <scheme val="major"/>
    </font>
    <font>
      <b/>
      <sz val="12"/>
      <color theme="1"/>
      <name val="Calibri Light"/>
      <family val="2"/>
    </font>
    <font>
      <b/>
      <sz val="12"/>
      <color rgb="FFFF0000"/>
      <name val="Calibri Light"/>
      <family val="2"/>
      <scheme val="major"/>
    </font>
    <font>
      <b/>
      <sz val="12"/>
      <color rgb="FF00B050"/>
      <name val="Calibri Light"/>
      <family val="2"/>
      <scheme val="major"/>
    </font>
    <font>
      <b/>
      <sz val="11"/>
      <color theme="1"/>
      <name val="Calibri Light"/>
      <family val="2"/>
      <scheme val="major"/>
    </font>
    <font>
      <b/>
      <sz val="12"/>
      <color theme="1"/>
      <name val="Calibri Light"/>
      <family val="2"/>
      <scheme val="major"/>
    </font>
    <font>
      <b/>
      <sz val="12"/>
      <color theme="0"/>
      <name val="Calibri Light"/>
      <family val="2"/>
    </font>
    <font>
      <b/>
      <sz val="12"/>
      <color theme="0"/>
      <name val="Calibri Light"/>
      <family val="2"/>
      <scheme val="major"/>
    </font>
    <font>
      <b/>
      <sz val="10"/>
      <color theme="0"/>
      <name val="Calibri Light"/>
      <family val="2"/>
      <scheme val="major"/>
    </font>
    <font>
      <sz val="10"/>
      <color theme="1"/>
      <name val="Calibri Light"/>
      <family val="2"/>
      <scheme val="major"/>
    </font>
    <font>
      <sz val="12"/>
      <name val="Calibri Light"/>
      <family val="2"/>
      <scheme val="major"/>
    </font>
    <font>
      <b/>
      <sz val="12"/>
      <name val="Calibri Light"/>
      <family val="2"/>
      <scheme val="major"/>
    </font>
    <font>
      <i/>
      <sz val="12"/>
      <color rgb="FFFF0000"/>
      <name val="Calibri Light"/>
      <family val="2"/>
      <scheme val="major"/>
    </font>
    <font>
      <sz val="12"/>
      <color rgb="FFFF0000"/>
      <name val="Calibri Light"/>
      <family val="2"/>
      <scheme val="major"/>
    </font>
    <font>
      <strike/>
      <sz val="12"/>
      <name val="Calibri Light"/>
      <family val="2"/>
      <scheme val="major"/>
    </font>
    <font>
      <sz val="12"/>
      <color rgb="FF000000"/>
      <name val="Calibri Light"/>
      <family val="2"/>
      <scheme val="major"/>
    </font>
    <font>
      <b/>
      <sz val="11"/>
      <color rgb="FFFF0000"/>
      <name val="Arial Narrow"/>
      <family val="2"/>
    </font>
    <font>
      <b/>
      <sz val="12"/>
      <color rgb="FF00B050"/>
      <name val="Arial Narrow"/>
      <family val="2"/>
    </font>
    <font>
      <b/>
      <sz val="14"/>
      <color theme="1"/>
      <name val="Arial Narrow"/>
      <family val="2"/>
    </font>
    <font>
      <b/>
      <sz val="16"/>
      <color theme="0"/>
      <name val="Arial Narrow"/>
      <family val="2"/>
    </font>
    <font>
      <b/>
      <sz val="9"/>
      <color theme="0"/>
      <name val="Arial Narrow"/>
      <family val="2"/>
    </font>
    <font>
      <b/>
      <sz val="9"/>
      <color theme="0"/>
      <name val="Calibri"/>
      <family val="2"/>
      <scheme val="minor"/>
    </font>
    <font>
      <b/>
      <sz val="9"/>
      <color theme="1"/>
      <name val="Calibri"/>
      <family val="2"/>
      <scheme val="minor"/>
    </font>
    <font>
      <sz val="14"/>
      <color rgb="FFFF0000"/>
      <name val="Calibri"/>
      <family val="2"/>
      <scheme val="minor"/>
    </font>
    <font>
      <b/>
      <sz val="14"/>
      <color theme="0"/>
      <name val="Calibri"/>
      <family val="2"/>
      <scheme val="minor"/>
    </font>
    <font>
      <b/>
      <sz val="14"/>
      <color indexed="9"/>
      <name val="Calibri"/>
      <family val="2"/>
      <scheme val="minor"/>
    </font>
    <font>
      <b/>
      <sz val="14"/>
      <color rgb="FF00B050"/>
      <name val="Calibri"/>
      <family val="2"/>
      <scheme val="minor"/>
    </font>
    <font>
      <b/>
      <sz val="14"/>
      <color theme="7"/>
      <name val="Calibri"/>
      <family val="2"/>
      <scheme val="minor"/>
    </font>
    <font>
      <b/>
      <sz val="14"/>
      <color theme="5"/>
      <name val="Calibri"/>
      <family val="2"/>
      <scheme val="minor"/>
    </font>
    <font>
      <b/>
      <sz val="14"/>
      <color theme="4"/>
      <name val="Calibri"/>
      <family val="2"/>
      <scheme val="minor"/>
    </font>
    <font>
      <b/>
      <sz val="16"/>
      <color indexed="9"/>
      <name val="Calibri"/>
      <family val="2"/>
      <scheme val="minor"/>
    </font>
    <font>
      <b/>
      <sz val="36"/>
      <color indexed="9"/>
      <name val="Calibri"/>
      <family val="2"/>
      <scheme val="minor"/>
    </font>
    <font>
      <sz val="36"/>
      <name val="Calibri"/>
      <family val="2"/>
      <scheme val="minor"/>
    </font>
    <font>
      <b/>
      <sz val="36"/>
      <color rgb="FF00B050"/>
      <name val="Calibri"/>
      <family val="2"/>
      <scheme val="minor"/>
    </font>
    <font>
      <sz val="36"/>
      <name val="Arial"/>
      <family val="2"/>
    </font>
    <font>
      <sz val="11"/>
      <color rgb="FF00B050"/>
      <name val="Arial Narrow"/>
      <family val="2"/>
    </font>
    <font>
      <b/>
      <sz val="11"/>
      <name val="Calibri Light"/>
      <family val="2"/>
      <scheme val="major"/>
    </font>
    <font>
      <b/>
      <sz val="11"/>
      <color rgb="FF00B050"/>
      <name val="Calibri Light"/>
      <family val="2"/>
      <scheme val="major"/>
    </font>
    <font>
      <sz val="14"/>
      <color indexed="9"/>
      <name val="Calibri"/>
      <family val="2"/>
      <scheme val="minor"/>
    </font>
    <font>
      <b/>
      <sz val="14"/>
      <color rgb="FFFF0000"/>
      <name val="Calibri"/>
      <family val="2"/>
      <scheme val="minor"/>
    </font>
    <font>
      <b/>
      <sz val="11"/>
      <color theme="1"/>
      <name val="Arial"/>
      <family val="2"/>
    </font>
    <font>
      <sz val="11"/>
      <name val="Arial"/>
      <family val="2"/>
    </font>
    <font>
      <b/>
      <sz val="10"/>
      <color theme="1"/>
      <name val="Arial"/>
      <family val="2"/>
    </font>
    <font>
      <sz val="16"/>
      <color theme="1"/>
      <name val="Arial"/>
      <family val="2"/>
    </font>
    <font>
      <u/>
      <sz val="10"/>
      <color theme="10"/>
      <name val="Arial"/>
      <family val="2"/>
    </font>
    <font>
      <b/>
      <sz val="12"/>
      <name val="Calibri Light"/>
      <family val="2"/>
    </font>
    <font>
      <b/>
      <sz val="10"/>
      <name val="Arial"/>
      <family val="2"/>
    </font>
    <font>
      <b/>
      <sz val="9"/>
      <color indexed="81"/>
      <name val="Tahoma"/>
      <charset val="1"/>
    </font>
  </fonts>
  <fills count="41">
    <fill>
      <patternFill patternType="none"/>
    </fill>
    <fill>
      <patternFill patternType="gray125"/>
    </fill>
    <fill>
      <patternFill patternType="solid">
        <fgColor indexed="1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2" tint="-0.499984740745262"/>
        <bgColor indexed="64"/>
      </patternFill>
    </fill>
    <fill>
      <patternFill patternType="solid">
        <fgColor rgb="FF07731C"/>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00CC99"/>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rgb="FF92D050"/>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top/>
      <bottom style="medium">
        <color theme="9"/>
      </bottom>
      <diagonal/>
    </border>
    <border>
      <left/>
      <right/>
      <top/>
      <bottom style="medium">
        <color theme="9"/>
      </bottom>
      <diagonal/>
    </border>
    <border>
      <left style="thin">
        <color indexed="64"/>
      </left>
      <right/>
      <top style="medium">
        <color theme="9"/>
      </top>
      <bottom style="thin">
        <color indexed="64"/>
      </bottom>
      <diagonal/>
    </border>
    <border>
      <left/>
      <right/>
      <top style="medium">
        <color theme="9"/>
      </top>
      <bottom style="thin">
        <color indexed="64"/>
      </bottom>
      <diagonal/>
    </border>
    <border>
      <left/>
      <right style="thin">
        <color indexed="64"/>
      </right>
      <top style="medium">
        <color theme="9"/>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theme="9" tint="0.39997558519241921"/>
      </top>
      <bottom style="medium">
        <color theme="9" tint="0.39997558519241921"/>
      </bottom>
      <diagonal/>
    </border>
    <border>
      <left/>
      <right style="medium">
        <color theme="9" tint="0.39997558519241921"/>
      </right>
      <top style="medium">
        <color theme="9" tint="0.39997558519241921"/>
      </top>
      <bottom style="medium">
        <color theme="9" tint="0.39997558519241921"/>
      </bottom>
      <diagonal/>
    </border>
    <border>
      <left style="thin">
        <color theme="1"/>
      </left>
      <right/>
      <top/>
      <bottom style="thin">
        <color theme="1"/>
      </bottom>
      <diagonal/>
    </border>
    <border>
      <left/>
      <right/>
      <top/>
      <bottom style="thin">
        <color theme="1"/>
      </bottom>
      <diagonal/>
    </border>
    <border>
      <left style="thin">
        <color theme="1"/>
      </left>
      <right style="thin">
        <color theme="1"/>
      </right>
      <top style="thin">
        <color theme="1"/>
      </top>
      <bottom style="thin">
        <color theme="1"/>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style="medium">
        <color theme="1"/>
      </bottom>
      <diagonal/>
    </border>
    <border>
      <left style="medium">
        <color theme="9"/>
      </left>
      <right/>
      <top/>
      <bottom style="medium">
        <color rgb="FF92D050"/>
      </bottom>
      <diagonal/>
    </border>
    <border>
      <left/>
      <right/>
      <top/>
      <bottom style="medium">
        <color rgb="FF92D050"/>
      </bottom>
      <diagonal/>
    </border>
    <border>
      <left style="medium">
        <color theme="9"/>
      </left>
      <right/>
      <top style="medium">
        <color rgb="FF92D050"/>
      </top>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style="thin">
        <color theme="1"/>
      </bottom>
      <diagonal/>
    </border>
    <border>
      <left style="medium">
        <color indexed="64"/>
      </left>
      <right/>
      <top style="medium">
        <color theme="9"/>
      </top>
      <bottom style="thin">
        <color indexed="64"/>
      </bottom>
      <diagonal/>
    </border>
    <border>
      <left style="medium">
        <color theme="9"/>
      </left>
      <right/>
      <top/>
      <bottom/>
      <diagonal/>
    </border>
    <border>
      <left/>
      <right style="medium">
        <color theme="9"/>
      </right>
      <top/>
      <bottom/>
      <diagonal/>
    </border>
    <border>
      <left style="thin">
        <color theme="9"/>
      </left>
      <right style="medium">
        <color theme="9"/>
      </right>
      <top/>
      <bottom/>
      <diagonal/>
    </border>
    <border>
      <left style="thin">
        <color rgb="FF92D050"/>
      </left>
      <right style="thin">
        <color rgb="FF92D050"/>
      </right>
      <top style="thin">
        <color rgb="FF92D050"/>
      </top>
      <bottom style="thin">
        <color rgb="FF92D050"/>
      </bottom>
      <diagonal/>
    </border>
    <border>
      <left style="thin">
        <color theme="1"/>
      </left>
      <right style="thin">
        <color theme="1"/>
      </right>
      <top style="thin">
        <color theme="1"/>
      </top>
      <bottom/>
      <diagonal/>
    </border>
    <border>
      <left style="thin">
        <color rgb="FF92D050"/>
      </left>
      <right style="thin">
        <color rgb="FF92D05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thick">
        <color auto="1"/>
      </top>
      <bottom/>
      <diagonal/>
    </border>
    <border>
      <left/>
      <right style="medium">
        <color indexed="64"/>
      </right>
      <top/>
      <bottom style="thick">
        <color auto="1"/>
      </bottom>
      <diagonal/>
    </border>
    <border>
      <left/>
      <right style="thick">
        <color auto="1"/>
      </right>
      <top style="medium">
        <color indexed="64"/>
      </top>
      <bottom/>
      <diagonal/>
    </border>
    <border>
      <left/>
      <right style="thick">
        <color auto="1"/>
      </right>
      <top/>
      <bottom style="medium">
        <color indexed="64"/>
      </bottom>
      <diagonal/>
    </border>
    <border>
      <left style="medium">
        <color indexed="64"/>
      </left>
      <right style="thick">
        <color auto="1"/>
      </right>
      <top style="thick">
        <color auto="1"/>
      </top>
      <bottom/>
      <diagonal/>
    </border>
    <border>
      <left style="medium">
        <color indexed="64"/>
      </left>
      <right style="thick">
        <color auto="1"/>
      </right>
      <top/>
      <bottom style="thick">
        <color auto="1"/>
      </bottom>
      <diagonal/>
    </border>
    <border>
      <left style="thin">
        <color indexed="64"/>
      </left>
      <right/>
      <top style="medium">
        <color theme="9"/>
      </top>
      <bottom style="medium">
        <color theme="9"/>
      </bottom>
      <diagonal/>
    </border>
    <border>
      <left/>
      <right style="thin">
        <color indexed="64"/>
      </right>
      <top style="medium">
        <color theme="9"/>
      </top>
      <bottom style="medium">
        <color theme="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7">
    <xf numFmtId="0" fontId="0" fillId="0" borderId="0" applyFill="0"/>
    <xf numFmtId="9" fontId="4" fillId="0" borderId="0" applyFont="0" applyFill="0" applyBorder="0" applyAlignment="0" applyProtection="0"/>
    <xf numFmtId="42"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43" fontId="3" fillId="0" borderId="0" applyFont="0" applyFill="0" applyBorder="0" applyAlignment="0" applyProtection="0"/>
    <xf numFmtId="44" fontId="9" fillId="0" borderId="0" applyFont="0" applyFill="0" applyBorder="0" applyAlignment="0" applyProtection="0"/>
    <xf numFmtId="164" fontId="17" fillId="0" borderId="0" applyFont="0" applyFill="0" applyBorder="0" applyAlignment="0" applyProtection="0"/>
    <xf numFmtId="0" fontId="3" fillId="0" borderId="0"/>
    <xf numFmtId="41" fontId="21"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cellStyleXfs>
  <cellXfs count="925">
    <xf numFmtId="0" fontId="0" fillId="0" borderId="0" xfId="0" applyFill="1"/>
    <xf numFmtId="0" fontId="5" fillId="7" borderId="1" xfId="0" applyFont="1" applyFill="1" applyBorder="1" applyAlignment="1">
      <alignment horizontal="left" vertical="top" wrapText="1"/>
    </xf>
    <xf numFmtId="0" fontId="14" fillId="7" borderId="1" xfId="0" applyFont="1" applyFill="1" applyBorder="1" applyAlignment="1">
      <alignment horizontal="left" vertical="top" wrapText="1"/>
    </xf>
    <xf numFmtId="0" fontId="15" fillId="17"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14" fillId="5" borderId="1" xfId="0" applyFont="1" applyFill="1" applyBorder="1" applyAlignment="1">
      <alignment horizontal="left" vertical="top" wrapText="1"/>
    </xf>
    <xf numFmtId="0" fontId="14" fillId="11" borderId="1" xfId="0" applyFont="1" applyFill="1" applyBorder="1" applyAlignment="1">
      <alignment horizontal="left" vertical="top" wrapText="1"/>
    </xf>
    <xf numFmtId="0" fontId="14" fillId="11" borderId="1" xfId="0" quotePrefix="1" applyFont="1" applyFill="1" applyBorder="1" applyAlignment="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4" fillId="15" borderId="1" xfId="0" applyFont="1" applyFill="1" applyBorder="1" applyAlignment="1">
      <alignment horizontal="left" vertical="top" wrapText="1"/>
    </xf>
    <xf numFmtId="0" fontId="14" fillId="27" borderId="1" xfId="0" applyFont="1" applyFill="1" applyBorder="1" applyAlignment="1">
      <alignment horizontal="left" vertical="top" wrapText="1"/>
    </xf>
    <xf numFmtId="0" fontId="14" fillId="25" borderId="1" xfId="0" applyFont="1" applyFill="1" applyBorder="1" applyAlignment="1">
      <alignment horizontal="left" vertical="top" wrapText="1"/>
    </xf>
    <xf numFmtId="0" fontId="10" fillId="7" borderId="1" xfId="0" applyFont="1" applyFill="1" applyBorder="1" applyAlignment="1">
      <alignment horizontal="left" vertical="top" wrapText="1"/>
    </xf>
    <xf numFmtId="0" fontId="15" fillId="7" borderId="1" xfId="0" applyFont="1" applyFill="1" applyBorder="1" applyAlignment="1">
      <alignment horizontal="left" vertical="top" wrapText="1"/>
    </xf>
    <xf numFmtId="0" fontId="14" fillId="29" borderId="1" xfId="0" applyFont="1" applyFill="1" applyBorder="1" applyAlignment="1">
      <alignment horizontal="left" vertical="top" wrapText="1"/>
    </xf>
    <xf numFmtId="0" fontId="25" fillId="0" borderId="0" xfId="0" applyFont="1" applyAlignment="1">
      <alignment horizontal="center" vertical="center" wrapText="1"/>
    </xf>
    <xf numFmtId="0" fontId="0" fillId="0" borderId="0" xfId="0" applyAlignment="1">
      <alignment vertical="top"/>
    </xf>
    <xf numFmtId="0" fontId="0" fillId="0" borderId="0" xfId="0"/>
    <xf numFmtId="0" fontId="0" fillId="0" borderId="0" xfId="0" applyAlignment="1">
      <alignment horizontal="center" vertical="center"/>
    </xf>
    <xf numFmtId="0" fontId="27" fillId="0" borderId="0" xfId="0" applyFont="1"/>
    <xf numFmtId="0" fontId="0" fillId="0" borderId="0" xfId="0" applyAlignment="1">
      <alignment vertical="center"/>
    </xf>
    <xf numFmtId="0" fontId="26" fillId="0" borderId="0" xfId="0" applyFont="1"/>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15" fillId="0" borderId="29" xfId="0" applyFont="1" applyBorder="1" applyAlignment="1">
      <alignment vertical="center"/>
    </xf>
    <xf numFmtId="0" fontId="15" fillId="0" borderId="30" xfId="0" applyFont="1" applyBorder="1" applyAlignment="1">
      <alignment vertical="center"/>
    </xf>
    <xf numFmtId="0" fontId="30" fillId="0" borderId="0" xfId="0" applyFont="1" applyAlignment="1">
      <alignment vertical="center" wrapText="1"/>
    </xf>
    <xf numFmtId="0" fontId="19" fillId="0" borderId="0" xfId="0" applyFont="1"/>
    <xf numFmtId="0" fontId="15" fillId="0" borderId="0" xfId="0" applyFont="1" applyAlignment="1">
      <alignment vertical="center"/>
    </xf>
    <xf numFmtId="0" fontId="31" fillId="32" borderId="0" xfId="0" applyFont="1" applyFill="1" applyAlignment="1">
      <alignment horizontal="center" vertical="center" wrapText="1"/>
    </xf>
    <xf numFmtId="0" fontId="33" fillId="0" borderId="0" xfId="0" applyFont="1"/>
    <xf numFmtId="0" fontId="34" fillId="32" borderId="1" xfId="0" applyFont="1" applyFill="1" applyBorder="1" applyAlignment="1">
      <alignment horizontal="center" vertical="center" wrapText="1"/>
    </xf>
    <xf numFmtId="0" fontId="34" fillId="32" borderId="2" xfId="0" applyFont="1" applyFill="1" applyBorder="1" applyAlignment="1">
      <alignment horizontal="center" vertical="center" wrapText="1"/>
    </xf>
    <xf numFmtId="0" fontId="34" fillId="32" borderId="21" xfId="0" applyFont="1" applyFill="1" applyBorder="1" applyAlignment="1">
      <alignment horizontal="center" vertical="center" wrapText="1"/>
    </xf>
    <xf numFmtId="0" fontId="34" fillId="32" borderId="34" xfId="0" applyFont="1" applyFill="1" applyBorder="1" applyAlignment="1">
      <alignment horizontal="center" vertical="center" wrapText="1"/>
    </xf>
    <xf numFmtId="0" fontId="35" fillId="0" borderId="0" xfId="0" applyFont="1" applyAlignment="1">
      <alignment vertical="center" wrapText="1"/>
    </xf>
    <xf numFmtId="0" fontId="36" fillId="0" borderId="0" xfId="0" applyFont="1" applyAlignment="1">
      <alignment horizontal="center" vertical="center" wrapText="1"/>
    </xf>
    <xf numFmtId="0" fontId="33" fillId="25" borderId="3" xfId="0" applyFont="1" applyFill="1" applyBorder="1" applyAlignment="1">
      <alignment horizontal="center" vertical="center" wrapText="1"/>
    </xf>
    <xf numFmtId="0" fontId="33" fillId="25" borderId="1" xfId="0" applyFont="1" applyFill="1" applyBorder="1" applyAlignment="1">
      <alignment horizontal="center" vertical="center" wrapText="1"/>
    </xf>
    <xf numFmtId="0" fontId="33" fillId="25" borderId="16" xfId="0" applyFont="1" applyFill="1" applyBorder="1" applyAlignment="1">
      <alignment horizontal="center" vertical="center" wrapText="1"/>
    </xf>
    <xf numFmtId="0" fontId="33" fillId="25" borderId="34" xfId="0" applyFont="1" applyFill="1" applyBorder="1" applyAlignment="1">
      <alignment horizontal="left" vertical="top" wrapText="1"/>
    </xf>
    <xf numFmtId="0" fontId="33" fillId="33" borderId="1" xfId="0" applyFont="1" applyFill="1" applyBorder="1" applyAlignment="1">
      <alignment horizontal="left" vertical="top" wrapText="1"/>
    </xf>
    <xf numFmtId="9" fontId="33" fillId="25" borderId="1" xfId="0" applyNumberFormat="1" applyFont="1" applyFill="1" applyBorder="1" applyAlignment="1">
      <alignment horizontal="left" vertical="top" wrapText="1"/>
    </xf>
    <xf numFmtId="0" fontId="33" fillId="25" borderId="16" xfId="0" applyFont="1" applyFill="1" applyBorder="1" applyAlignment="1">
      <alignment horizontal="left" vertical="top" wrapText="1"/>
    </xf>
    <xf numFmtId="0" fontId="33" fillId="25" borderId="15" xfId="0" applyFont="1" applyFill="1" applyBorder="1" applyAlignment="1">
      <alignment horizontal="left" vertical="top" wrapText="1"/>
    </xf>
    <xf numFmtId="0" fontId="33" fillId="25" borderId="0" xfId="0" applyFont="1" applyFill="1" applyAlignment="1">
      <alignment horizontal="left" vertical="center" wrapText="1"/>
    </xf>
    <xf numFmtId="0" fontId="0" fillId="25" borderId="0" xfId="0" applyFill="1" applyAlignment="1">
      <alignment vertical="center"/>
    </xf>
    <xf numFmtId="0" fontId="33" fillId="0" borderId="16" xfId="0" applyFont="1" applyBorder="1" applyAlignment="1">
      <alignment horizontal="center" vertical="center" wrapText="1"/>
    </xf>
    <xf numFmtId="0" fontId="33" fillId="0" borderId="34" xfId="0" applyFont="1" applyBorder="1" applyAlignment="1">
      <alignment horizontal="left" vertical="top" wrapText="1"/>
    </xf>
    <xf numFmtId="0" fontId="37" fillId="0" borderId="1" xfId="0" applyFont="1" applyBorder="1" applyAlignment="1">
      <alignment horizontal="left" vertical="top" wrapText="1"/>
    </xf>
    <xf numFmtId="9" fontId="37"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0" fontId="33" fillId="33" borderId="16" xfId="0" applyFont="1" applyFill="1" applyBorder="1" applyAlignment="1">
      <alignment horizontal="left" vertical="top" wrapText="1"/>
    </xf>
    <xf numFmtId="0" fontId="33" fillId="33" borderId="15" xfId="0" applyFont="1" applyFill="1" applyBorder="1" applyAlignment="1">
      <alignment horizontal="left" vertical="top" wrapText="1"/>
    </xf>
    <xf numFmtId="9" fontId="33" fillId="0" borderId="1" xfId="0" applyNumberFormat="1" applyFont="1" applyBorder="1" applyAlignment="1">
      <alignment horizontal="left" vertical="top" wrapText="1"/>
    </xf>
    <xf numFmtId="0" fontId="33" fillId="0" borderId="16" xfId="0" applyFont="1" applyBorder="1" applyAlignment="1">
      <alignment horizontal="left" vertical="top" wrapText="1"/>
    </xf>
    <xf numFmtId="0" fontId="33" fillId="0" borderId="15" xfId="0" applyFont="1" applyBorder="1" applyAlignment="1">
      <alignment horizontal="left" vertical="top" wrapText="1"/>
    </xf>
    <xf numFmtId="0" fontId="33" fillId="0" borderId="0" xfId="0" applyFont="1" applyAlignment="1">
      <alignment horizontal="left" vertical="center" wrapText="1"/>
    </xf>
    <xf numFmtId="0" fontId="33" fillId="0" borderId="0" xfId="0" applyFont="1" applyAlignment="1">
      <alignment vertical="center" wrapText="1"/>
    </xf>
    <xf numFmtId="10" fontId="33" fillId="25" borderId="1" xfId="0" applyNumberFormat="1" applyFont="1" applyFill="1" applyBorder="1" applyAlignment="1">
      <alignment horizontal="left" vertical="top" wrapText="1"/>
    </xf>
    <xf numFmtId="10" fontId="33" fillId="33" borderId="1" xfId="0" applyNumberFormat="1" applyFont="1" applyFill="1" applyBorder="1" applyAlignment="1">
      <alignment horizontal="left" vertical="top" wrapText="1"/>
    </xf>
    <xf numFmtId="0" fontId="33" fillId="33" borderId="0" xfId="0" applyFont="1" applyFill="1" applyAlignment="1">
      <alignment vertical="center" wrapText="1"/>
    </xf>
    <xf numFmtId="0" fontId="0" fillId="26" borderId="0" xfId="0" applyFill="1" applyAlignment="1">
      <alignment vertical="center"/>
    </xf>
    <xf numFmtId="0" fontId="33" fillId="25" borderId="0" xfId="0" applyFont="1" applyFill="1" applyAlignment="1">
      <alignment vertical="center" wrapText="1"/>
    </xf>
    <xf numFmtId="9" fontId="37" fillId="25" borderId="1" xfId="0" applyNumberFormat="1" applyFont="1" applyFill="1" applyBorder="1" applyAlignment="1">
      <alignment horizontal="left" vertical="top" wrapText="1"/>
    </xf>
    <xf numFmtId="0" fontId="37" fillId="33" borderId="16" xfId="0" applyFont="1" applyFill="1" applyBorder="1" applyAlignment="1">
      <alignment horizontal="left" vertical="top" wrapText="1"/>
    </xf>
    <xf numFmtId="9" fontId="37" fillId="33" borderId="1" xfId="0" applyNumberFormat="1" applyFont="1" applyFill="1" applyBorder="1" applyAlignment="1">
      <alignment horizontal="left" vertical="top" wrapText="1"/>
    </xf>
    <xf numFmtId="0" fontId="37" fillId="33" borderId="15" xfId="0" applyFont="1" applyFill="1" applyBorder="1" applyAlignment="1">
      <alignment horizontal="left" vertical="top" wrapText="1"/>
    </xf>
    <xf numFmtId="0" fontId="37" fillId="33" borderId="0" xfId="0" applyFont="1" applyFill="1" applyAlignment="1">
      <alignment vertical="center" wrapText="1"/>
    </xf>
    <xf numFmtId="0" fontId="37" fillId="25" borderId="16" xfId="0" applyFont="1" applyFill="1" applyBorder="1" applyAlignment="1">
      <alignment horizontal="left" vertical="top" wrapText="1"/>
    </xf>
    <xf numFmtId="0" fontId="37" fillId="25" borderId="15" xfId="0" applyFont="1" applyFill="1" applyBorder="1" applyAlignment="1">
      <alignment horizontal="left" vertical="top" wrapText="1"/>
    </xf>
    <xf numFmtId="0" fontId="37" fillId="25" borderId="0" xfId="0" applyFont="1" applyFill="1" applyAlignment="1">
      <alignment vertical="center" wrapText="1"/>
    </xf>
    <xf numFmtId="0" fontId="16" fillId="25" borderId="0" xfId="0" applyFont="1" applyFill="1" applyAlignment="1">
      <alignment vertical="center" wrapText="1"/>
    </xf>
    <xf numFmtId="0" fontId="33" fillId="26" borderId="1" xfId="0" applyFont="1" applyFill="1" applyBorder="1" applyAlignment="1">
      <alignment horizontal="center" vertical="center" wrapText="1"/>
    </xf>
    <xf numFmtId="9" fontId="33" fillId="33" borderId="1" xfId="0" applyNumberFormat="1" applyFont="1" applyFill="1" applyBorder="1" applyAlignment="1">
      <alignment horizontal="left" vertical="top" wrapText="1"/>
    </xf>
    <xf numFmtId="0" fontId="33" fillId="25" borderId="36" xfId="0" applyFont="1" applyFill="1" applyBorder="1" applyAlignment="1">
      <alignment horizontal="left" vertical="top" wrapText="1"/>
    </xf>
    <xf numFmtId="0" fontId="37" fillId="0" borderId="15" xfId="0" applyFont="1" applyBorder="1" applyAlignment="1">
      <alignment horizontal="left" vertical="top" wrapText="1"/>
    </xf>
    <xf numFmtId="0" fontId="0" fillId="25" borderId="0" xfId="0" applyFill="1"/>
    <xf numFmtId="169" fontId="33" fillId="25" borderId="1" xfId="0" applyNumberFormat="1" applyFont="1" applyFill="1" applyBorder="1" applyAlignment="1">
      <alignment horizontal="left" vertical="top" wrapText="1"/>
    </xf>
    <xf numFmtId="0" fontId="38" fillId="25" borderId="37" xfId="0" applyFont="1" applyFill="1" applyBorder="1" applyAlignment="1">
      <alignment horizontal="left" vertical="top" wrapText="1"/>
    </xf>
    <xf numFmtId="0" fontId="33" fillId="26" borderId="35" xfId="0" applyFont="1" applyFill="1" applyBorder="1" applyAlignment="1">
      <alignment horizontal="center" vertical="center" wrapText="1"/>
    </xf>
    <xf numFmtId="0" fontId="37" fillId="0" borderId="16" xfId="0" applyFont="1" applyBorder="1" applyAlignment="1">
      <alignment horizontal="left" vertical="top" wrapText="1"/>
    </xf>
    <xf numFmtId="0" fontId="33" fillId="25" borderId="0" xfId="0" applyFont="1" applyFill="1" applyAlignment="1">
      <alignment horizontal="left" vertical="top" wrapText="1"/>
    </xf>
    <xf numFmtId="0" fontId="33" fillId="25" borderId="38" xfId="0" applyFont="1" applyFill="1" applyBorder="1" applyAlignment="1">
      <alignment horizontal="left" vertical="top" wrapText="1"/>
    </xf>
    <xf numFmtId="0" fontId="33" fillId="33" borderId="2" xfId="0" applyFont="1" applyFill="1" applyBorder="1" applyAlignment="1">
      <alignment horizontal="left" vertical="top" wrapText="1"/>
    </xf>
    <xf numFmtId="0" fontId="37" fillId="25" borderId="2" xfId="0" applyFont="1" applyFill="1" applyBorder="1" applyAlignment="1">
      <alignment horizontal="left" vertical="top" wrapText="1"/>
    </xf>
    <xf numFmtId="9" fontId="33" fillId="25" borderId="2" xfId="0" applyNumberFormat="1" applyFont="1" applyFill="1" applyBorder="1" applyAlignment="1">
      <alignment horizontal="left" vertical="top" wrapText="1"/>
    </xf>
    <xf numFmtId="0" fontId="33" fillId="25" borderId="21" xfId="0" applyFont="1" applyFill="1" applyBorder="1" applyAlignment="1">
      <alignment horizontal="left" vertical="top" wrapText="1"/>
    </xf>
    <xf numFmtId="0" fontId="33" fillId="25" borderId="39" xfId="0" applyFont="1" applyFill="1" applyBorder="1" applyAlignment="1">
      <alignment horizontal="left" vertical="top" wrapText="1"/>
    </xf>
    <xf numFmtId="0" fontId="33"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xf numFmtId="0" fontId="40" fillId="0" borderId="0" xfId="0" applyFont="1" applyAlignment="1">
      <alignment vertical="top"/>
    </xf>
    <xf numFmtId="0" fontId="38" fillId="0" borderId="0" xfId="0" applyFont="1" applyAlignment="1">
      <alignment horizontal="left" vertical="top"/>
    </xf>
    <xf numFmtId="0" fontId="41" fillId="0" borderId="0" xfId="0" applyFont="1" applyAlignment="1">
      <alignment vertical="top"/>
    </xf>
    <xf numFmtId="0" fontId="43" fillId="0" borderId="0" xfId="0" applyFont="1" applyAlignment="1">
      <alignment vertical="top" wrapText="1"/>
    </xf>
    <xf numFmtId="0" fontId="45" fillId="25" borderId="0" xfId="0" applyFont="1" applyFill="1" applyAlignment="1">
      <alignment vertical="top" wrapText="1"/>
    </xf>
    <xf numFmtId="0" fontId="38" fillId="25" borderId="0" xfId="0" applyFont="1" applyFill="1" applyAlignment="1">
      <alignment horizontal="left" vertical="top"/>
    </xf>
    <xf numFmtId="0" fontId="46" fillId="32" borderId="44" xfId="0" applyFont="1" applyFill="1" applyBorder="1" applyAlignment="1">
      <alignment horizontal="center" vertical="center" wrapText="1"/>
    </xf>
    <xf numFmtId="0" fontId="47" fillId="25" borderId="0" xfId="0" applyFont="1" applyFill="1" applyAlignment="1">
      <alignment horizontal="center" vertical="center" wrapText="1"/>
    </xf>
    <xf numFmtId="0" fontId="47" fillId="0" borderId="0" xfId="0" applyFont="1" applyAlignment="1">
      <alignment horizontal="center" vertical="center" wrapText="1"/>
    </xf>
    <xf numFmtId="0" fontId="48" fillId="25" borderId="44" xfId="0" applyFont="1" applyFill="1" applyBorder="1" applyAlignment="1">
      <alignment horizontal="left" vertical="top" wrapText="1"/>
    </xf>
    <xf numFmtId="0" fontId="38" fillId="0" borderId="3" xfId="0" applyFont="1" applyBorder="1" applyAlignment="1">
      <alignment horizontal="left" vertical="top" wrapText="1"/>
    </xf>
    <xf numFmtId="169" fontId="38" fillId="0" borderId="3" xfId="1" applyNumberFormat="1" applyFont="1" applyBorder="1" applyAlignment="1">
      <alignment horizontal="left" vertical="top" wrapText="1"/>
    </xf>
    <xf numFmtId="9" fontId="38" fillId="0" borderId="3" xfId="0" applyNumberFormat="1" applyFont="1" applyBorder="1" applyAlignment="1">
      <alignment horizontal="left" vertical="top" wrapText="1"/>
    </xf>
    <xf numFmtId="9" fontId="38" fillId="33" borderId="3" xfId="0" applyNumberFormat="1" applyFont="1" applyFill="1" applyBorder="1" applyAlignment="1">
      <alignment horizontal="left" vertical="top" wrapText="1"/>
    </xf>
    <xf numFmtId="9" fontId="38" fillId="33" borderId="45" xfId="0" applyNumberFormat="1" applyFont="1" applyFill="1" applyBorder="1" applyAlignment="1">
      <alignment horizontal="left" vertical="top" wrapText="1"/>
    </xf>
    <xf numFmtId="9" fontId="38" fillId="25" borderId="1" xfId="0" applyNumberFormat="1" applyFont="1" applyFill="1" applyBorder="1" applyAlignment="1">
      <alignment horizontal="left" vertical="top" wrapText="1"/>
    </xf>
    <xf numFmtId="9" fontId="38" fillId="33" borderId="1" xfId="0" applyNumberFormat="1" applyFont="1" applyFill="1" applyBorder="1" applyAlignment="1">
      <alignment horizontal="left" vertical="top" wrapText="1"/>
    </xf>
    <xf numFmtId="9" fontId="38" fillId="33" borderId="46" xfId="0" applyNumberFormat="1" applyFont="1" applyFill="1" applyBorder="1" applyAlignment="1">
      <alignment horizontal="left" vertical="top" wrapText="1"/>
    </xf>
    <xf numFmtId="0" fontId="38" fillId="33" borderId="1" xfId="0" applyFont="1" applyFill="1" applyBorder="1" applyAlignment="1">
      <alignment horizontal="left" vertical="top" wrapText="1"/>
    </xf>
    <xf numFmtId="9" fontId="38" fillId="0" borderId="1" xfId="0" applyNumberFormat="1" applyFont="1" applyBorder="1" applyAlignment="1">
      <alignment horizontal="left" vertical="top" wrapText="1"/>
    </xf>
    <xf numFmtId="9" fontId="48" fillId="0" borderId="1" xfId="0" applyNumberFormat="1" applyFont="1" applyBorder="1" applyAlignment="1">
      <alignment horizontal="left" vertical="top" wrapText="1"/>
    </xf>
    <xf numFmtId="0" fontId="48" fillId="0" borderId="46" xfId="0" applyFont="1" applyBorder="1" applyAlignment="1">
      <alignment horizontal="left" vertical="top" wrapText="1"/>
    </xf>
    <xf numFmtId="9" fontId="38" fillId="25" borderId="46" xfId="0" applyNumberFormat="1" applyFont="1" applyFill="1" applyBorder="1" applyAlignment="1">
      <alignment horizontal="left" vertical="top" wrapText="1"/>
    </xf>
    <xf numFmtId="9" fontId="48" fillId="0" borderId="1" xfId="1" applyFont="1" applyFill="1" applyBorder="1" applyAlignment="1">
      <alignment horizontal="left" vertical="top" wrapText="1"/>
    </xf>
    <xf numFmtId="9" fontId="48" fillId="0" borderId="46" xfId="1" applyFont="1" applyFill="1" applyBorder="1" applyAlignment="1">
      <alignment horizontal="left" vertical="top" wrapText="1"/>
    </xf>
    <xf numFmtId="9" fontId="48" fillId="25" borderId="1" xfId="0" applyNumberFormat="1" applyFont="1" applyFill="1" applyBorder="1" applyAlignment="1">
      <alignment horizontal="left" vertical="top" wrapText="1"/>
    </xf>
    <xf numFmtId="9" fontId="53" fillId="25" borderId="1" xfId="0" applyNumberFormat="1" applyFont="1" applyFill="1" applyBorder="1" applyAlignment="1">
      <alignment horizontal="left" vertical="top" wrapText="1"/>
    </xf>
    <xf numFmtId="0" fontId="38" fillId="25" borderId="46" xfId="0" applyFont="1" applyFill="1" applyBorder="1" applyAlignment="1">
      <alignment horizontal="left" vertical="top" wrapText="1"/>
    </xf>
    <xf numFmtId="0" fontId="38" fillId="25" borderId="2" xfId="0" applyFont="1" applyFill="1" applyBorder="1" applyAlignment="1">
      <alignment horizontal="left" vertical="top" wrapText="1"/>
    </xf>
    <xf numFmtId="0" fontId="38" fillId="33" borderId="2" xfId="0" applyFont="1" applyFill="1" applyBorder="1" applyAlignment="1">
      <alignment horizontal="left" vertical="top" wrapText="1"/>
    </xf>
    <xf numFmtId="10" fontId="38" fillId="25" borderId="2" xfId="0" applyNumberFormat="1" applyFont="1" applyFill="1" applyBorder="1" applyAlignment="1">
      <alignment horizontal="left" vertical="top" wrapText="1"/>
    </xf>
    <xf numFmtId="0" fontId="38" fillId="25" borderId="47" xfId="0" applyFont="1" applyFill="1" applyBorder="1" applyAlignment="1">
      <alignment horizontal="left" vertical="top" wrapText="1"/>
    </xf>
    <xf numFmtId="0" fontId="38" fillId="0" borderId="0" xfId="0" applyFont="1" applyAlignment="1">
      <alignment horizontal="left" vertical="top" wrapText="1"/>
    </xf>
    <xf numFmtId="2" fontId="38" fillId="0" borderId="0" xfId="0" applyNumberFormat="1" applyFont="1" applyAlignment="1">
      <alignment horizontal="left" vertical="top"/>
    </xf>
    <xf numFmtId="0" fontId="54" fillId="0" borderId="23" xfId="0" applyFont="1" applyBorder="1" applyAlignment="1">
      <alignment vertical="top"/>
    </xf>
    <xf numFmtId="0" fontId="54" fillId="0" borderId="0" xfId="0" applyFont="1" applyAlignment="1">
      <alignment vertical="top"/>
    </xf>
    <xf numFmtId="0" fontId="54" fillId="0" borderId="0" xfId="0" applyFont="1" applyAlignment="1">
      <alignment horizontal="left" vertical="top"/>
    </xf>
    <xf numFmtId="0" fontId="0" fillId="0" borderId="0" xfId="0" applyAlignment="1">
      <alignment horizontal="left" vertical="top"/>
    </xf>
    <xf numFmtId="0" fontId="54" fillId="0" borderId="48" xfId="0" applyFont="1" applyBorder="1" applyAlignment="1">
      <alignment vertical="top"/>
    </xf>
    <xf numFmtId="0" fontId="55" fillId="0" borderId="0" xfId="0" applyFont="1" applyAlignment="1">
      <alignment vertical="top" wrapText="1"/>
    </xf>
    <xf numFmtId="0" fontId="55" fillId="0" borderId="0" xfId="0" applyFont="1" applyAlignment="1">
      <alignment horizontal="left" vertical="top" wrapText="1"/>
    </xf>
    <xf numFmtId="0" fontId="56" fillId="0" borderId="0" xfId="0" applyFont="1" applyAlignment="1">
      <alignment vertical="top" wrapText="1"/>
    </xf>
    <xf numFmtId="0" fontId="56" fillId="0" borderId="0" xfId="0" applyFont="1" applyAlignment="1">
      <alignment horizontal="left" vertical="top" wrapText="1"/>
    </xf>
    <xf numFmtId="0" fontId="57" fillId="32" borderId="0" xfId="0" applyFont="1" applyFill="1" applyAlignment="1">
      <alignment horizontal="left" vertical="top"/>
    </xf>
    <xf numFmtId="0" fontId="32" fillId="25" borderId="0" xfId="0" applyFont="1" applyFill="1" applyAlignment="1">
      <alignment vertical="top" wrapText="1"/>
    </xf>
    <xf numFmtId="0" fontId="57" fillId="25" borderId="0" xfId="0" applyFont="1" applyFill="1" applyAlignment="1">
      <alignment horizontal="left" vertical="top"/>
    </xf>
    <xf numFmtId="0" fontId="0" fillId="25" borderId="0" xfId="0" applyFill="1" applyAlignment="1">
      <alignment horizontal="left" vertical="top"/>
    </xf>
    <xf numFmtId="0" fontId="58" fillId="32" borderId="0" xfId="0" applyFont="1" applyFill="1" applyAlignment="1">
      <alignment horizontal="center" vertical="center"/>
    </xf>
    <xf numFmtId="0" fontId="58" fillId="32" borderId="1" xfId="0" applyFont="1" applyFill="1" applyBorder="1" applyAlignment="1">
      <alignment horizontal="center" vertical="center" wrapText="1"/>
    </xf>
    <xf numFmtId="0" fontId="58" fillId="32" borderId="16" xfId="0" applyFont="1" applyFill="1" applyBorder="1" applyAlignment="1">
      <alignment horizontal="center" vertical="center" wrapText="1"/>
    </xf>
    <xf numFmtId="0" fontId="58" fillId="32" borderId="34" xfId="0" applyFont="1" applyFill="1" applyBorder="1" applyAlignment="1">
      <alignment horizontal="center" vertical="center" wrapText="1"/>
    </xf>
    <xf numFmtId="0" fontId="59" fillId="32" borderId="1" xfId="0" applyFont="1" applyFill="1" applyBorder="1" applyAlignment="1">
      <alignment horizontal="center" vertical="center" wrapText="1"/>
    </xf>
    <xf numFmtId="0" fontId="58" fillId="32" borderId="1" xfId="0" applyFont="1" applyFill="1" applyBorder="1" applyAlignment="1">
      <alignment horizontal="center" vertical="center"/>
    </xf>
    <xf numFmtId="0" fontId="58" fillId="25" borderId="0" xfId="0" applyFont="1" applyFill="1" applyAlignment="1">
      <alignment horizontal="center" vertical="center"/>
    </xf>
    <xf numFmtId="0" fontId="58" fillId="25" borderId="0" xfId="0" applyFont="1" applyFill="1" applyAlignment="1">
      <alignment horizontal="center" vertical="center" wrapText="1"/>
    </xf>
    <xf numFmtId="0" fontId="59" fillId="25" borderId="0" xfId="0" applyFont="1" applyFill="1" applyAlignment="1">
      <alignment horizontal="center" vertical="center" wrapText="1"/>
    </xf>
    <xf numFmtId="0" fontId="60" fillId="25" borderId="0" xfId="0" applyFont="1" applyFill="1" applyAlignment="1">
      <alignment horizontal="center" vertical="center"/>
    </xf>
    <xf numFmtId="0" fontId="60" fillId="0" borderId="0" xfId="0" applyFont="1" applyAlignment="1">
      <alignment horizontal="center" vertical="center"/>
    </xf>
    <xf numFmtId="0" fontId="38" fillId="25" borderId="16" xfId="0" applyFont="1" applyFill="1" applyBorder="1" applyAlignment="1">
      <alignment horizontal="left" vertical="top" wrapText="1"/>
    </xf>
    <xf numFmtId="0" fontId="38" fillId="25" borderId="34" xfId="0" applyFont="1" applyFill="1" applyBorder="1" applyAlignment="1">
      <alignment horizontal="left" vertical="top" wrapText="1"/>
    </xf>
    <xf numFmtId="0" fontId="38" fillId="25" borderId="15" xfId="0" applyFont="1" applyFill="1" applyBorder="1" applyAlignment="1">
      <alignment horizontal="left" vertical="top" wrapText="1"/>
    </xf>
    <xf numFmtId="0" fontId="38" fillId="0" borderId="16" xfId="0" applyFont="1" applyBorder="1" applyAlignment="1">
      <alignment horizontal="left" vertical="top" wrapText="1"/>
    </xf>
    <xf numFmtId="0" fontId="38" fillId="0" borderId="34" xfId="0" applyFont="1" applyBorder="1" applyAlignment="1">
      <alignment horizontal="left" vertical="top" wrapText="1"/>
    </xf>
    <xf numFmtId="9" fontId="38" fillId="25" borderId="18" xfId="0" applyNumberFormat="1" applyFont="1" applyFill="1" applyBorder="1" applyAlignment="1">
      <alignment horizontal="left" vertical="top" wrapText="1"/>
    </xf>
    <xf numFmtId="0" fontId="38" fillId="25" borderId="51" xfId="0" applyFont="1" applyFill="1" applyBorder="1" applyAlignment="1">
      <alignment horizontal="left" vertical="top" wrapText="1"/>
    </xf>
    <xf numFmtId="9" fontId="48" fillId="0" borderId="18" xfId="0" applyNumberFormat="1" applyFont="1" applyBorder="1" applyAlignment="1">
      <alignment horizontal="left" vertical="top" wrapText="1"/>
    </xf>
    <xf numFmtId="0" fontId="48" fillId="0" borderId="51" xfId="0" applyFont="1" applyBorder="1" applyAlignment="1">
      <alignment horizontal="left" vertical="top" wrapText="1"/>
    </xf>
    <xf numFmtId="0" fontId="48" fillId="33" borderId="1" xfId="0" applyFont="1" applyFill="1" applyBorder="1" applyAlignment="1">
      <alignment horizontal="left" vertical="top" wrapText="1"/>
    </xf>
    <xf numFmtId="9" fontId="48" fillId="33" borderId="18" xfId="0" applyNumberFormat="1" applyFont="1" applyFill="1" applyBorder="1" applyAlignment="1">
      <alignment horizontal="left" vertical="top" wrapText="1"/>
    </xf>
    <xf numFmtId="0" fontId="48" fillId="33" borderId="51" xfId="0" applyFont="1" applyFill="1" applyBorder="1" applyAlignment="1">
      <alignment horizontal="left" vertical="top" wrapText="1"/>
    </xf>
    <xf numFmtId="9" fontId="48" fillId="25" borderId="18" xfId="0" applyNumberFormat="1" applyFont="1" applyFill="1" applyBorder="1" applyAlignment="1">
      <alignment horizontal="left" vertical="top" wrapText="1"/>
    </xf>
    <xf numFmtId="0" fontId="48" fillId="25" borderId="51" xfId="0" applyFont="1" applyFill="1" applyBorder="1" applyAlignment="1">
      <alignment horizontal="left" vertical="top" wrapText="1"/>
    </xf>
    <xf numFmtId="9" fontId="48" fillId="0" borderId="15" xfId="1" applyFont="1" applyFill="1" applyBorder="1" applyAlignment="1">
      <alignment horizontal="left" vertical="top" wrapText="1"/>
    </xf>
    <xf numFmtId="0" fontId="48" fillId="33" borderId="15" xfId="0" applyFont="1" applyFill="1" applyBorder="1" applyAlignment="1">
      <alignment horizontal="left" vertical="top" wrapText="1"/>
    </xf>
    <xf numFmtId="0" fontId="38" fillId="25" borderId="16" xfId="0" applyFont="1" applyFill="1" applyBorder="1" applyAlignment="1">
      <alignment horizontal="left" vertical="top"/>
    </xf>
    <xf numFmtId="9" fontId="38" fillId="25" borderId="15" xfId="0" applyNumberFormat="1" applyFont="1" applyFill="1" applyBorder="1" applyAlignment="1">
      <alignment horizontal="left" vertical="top" wrapText="1"/>
    </xf>
    <xf numFmtId="9" fontId="48" fillId="25" borderId="2" xfId="0" applyNumberFormat="1" applyFont="1" applyFill="1" applyBorder="1" applyAlignment="1">
      <alignment horizontal="left" vertical="top" wrapText="1"/>
    </xf>
    <xf numFmtId="9" fontId="38" fillId="25" borderId="2" xfId="0" applyNumberFormat="1" applyFont="1" applyFill="1" applyBorder="1" applyAlignment="1">
      <alignment horizontal="left" vertical="top" wrapText="1"/>
    </xf>
    <xf numFmtId="9" fontId="38" fillId="25" borderId="13" xfId="0" applyNumberFormat="1" applyFont="1" applyFill="1" applyBorder="1" applyAlignment="1">
      <alignment horizontal="left" vertical="top" wrapText="1"/>
    </xf>
    <xf numFmtId="0" fontId="27" fillId="0" borderId="0" xfId="0" applyFont="1"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0" fontId="22" fillId="26" borderId="1" xfId="0" applyFont="1" applyFill="1" applyBorder="1" applyAlignment="1">
      <alignment horizontal="center" vertical="top" wrapText="1"/>
    </xf>
    <xf numFmtId="0" fontId="22" fillId="26" borderId="11" xfId="0" applyFont="1" applyFill="1" applyBorder="1" applyAlignment="1">
      <alignment horizontal="center" vertical="top" wrapText="1"/>
    </xf>
    <xf numFmtId="0" fontId="0" fillId="0" borderId="1" xfId="0" applyBorder="1" applyAlignment="1">
      <alignment horizontal="left" vertical="top"/>
    </xf>
    <xf numFmtId="9" fontId="0" fillId="0" borderId="1" xfId="1" applyFont="1" applyBorder="1" applyAlignment="1">
      <alignment horizontal="left" vertical="top"/>
    </xf>
    <xf numFmtId="0" fontId="0" fillId="0" borderId="1" xfId="0" applyBorder="1" applyAlignment="1">
      <alignment horizontal="left"/>
    </xf>
    <xf numFmtId="0" fontId="36" fillId="0" borderId="34" xfId="0" applyFont="1" applyBorder="1" applyAlignment="1">
      <alignment horizontal="center" vertical="center" wrapText="1"/>
    </xf>
    <xf numFmtId="0" fontId="36" fillId="0" borderId="1" xfId="0" applyFont="1" applyBorder="1" applyAlignment="1">
      <alignment horizontal="center" vertical="center" wrapText="1"/>
    </xf>
    <xf numFmtId="0" fontId="0" fillId="0" borderId="34" xfId="0" applyBorder="1" applyAlignment="1">
      <alignment vertical="top"/>
    </xf>
    <xf numFmtId="9" fontId="0" fillId="0" borderId="15" xfId="1" applyFont="1" applyBorder="1" applyAlignment="1">
      <alignment horizontal="left" vertical="top"/>
    </xf>
    <xf numFmtId="0" fontId="0" fillId="0" borderId="12" xfId="0" applyBorder="1" applyAlignment="1">
      <alignment vertical="top"/>
    </xf>
    <xf numFmtId="0" fontId="0" fillId="0" borderId="13" xfId="0" applyBorder="1" applyAlignment="1">
      <alignment horizontal="left" vertical="top"/>
    </xf>
    <xf numFmtId="9" fontId="0" fillId="0" borderId="14" xfId="1" applyFont="1" applyBorder="1" applyAlignment="1">
      <alignment horizontal="left" vertical="top"/>
    </xf>
    <xf numFmtId="0" fontId="43" fillId="26" borderId="1" xfId="0" applyFont="1" applyFill="1" applyBorder="1" applyAlignment="1">
      <alignment horizontal="left" vertical="top" wrapText="1"/>
    </xf>
    <xf numFmtId="0" fontId="22" fillId="26" borderId="1" xfId="0" applyFont="1" applyFill="1" applyBorder="1" applyAlignment="1">
      <alignment horizontal="left"/>
    </xf>
    <xf numFmtId="9" fontId="22" fillId="26" borderId="1" xfId="1" applyFont="1" applyFill="1" applyBorder="1" applyAlignment="1">
      <alignment horizontal="left"/>
    </xf>
    <xf numFmtId="0" fontId="0" fillId="0" borderId="0" xfId="0" applyAlignment="1">
      <alignment wrapText="1"/>
    </xf>
    <xf numFmtId="0" fontId="20" fillId="0" borderId="0" xfId="0" applyFont="1"/>
    <xf numFmtId="0" fontId="38" fillId="25" borderId="38" xfId="0" applyFont="1" applyFill="1" applyBorder="1" applyAlignment="1">
      <alignment horizontal="left" vertical="top" wrapText="1"/>
    </xf>
    <xf numFmtId="9" fontId="38" fillId="25" borderId="39" xfId="0" applyNumberFormat="1" applyFont="1" applyFill="1" applyBorder="1" applyAlignment="1">
      <alignment horizontal="left" vertical="top" wrapText="1"/>
    </xf>
    <xf numFmtId="0" fontId="48" fillId="25" borderId="13" xfId="0" applyFont="1" applyFill="1" applyBorder="1" applyAlignment="1">
      <alignment horizontal="left" vertical="top" wrapText="1"/>
    </xf>
    <xf numFmtId="9" fontId="48" fillId="25" borderId="13" xfId="0" applyNumberFormat="1" applyFont="1" applyFill="1" applyBorder="1" applyAlignment="1">
      <alignment horizontal="left" vertical="top" wrapText="1"/>
    </xf>
    <xf numFmtId="0" fontId="14" fillId="9" borderId="1" xfId="0" applyFont="1" applyFill="1" applyBorder="1" applyAlignment="1">
      <alignment horizontal="left" vertical="top" wrapText="1"/>
    </xf>
    <xf numFmtId="0" fontId="14" fillId="10" borderId="1" xfId="0" applyFont="1" applyFill="1" applyBorder="1" applyAlignment="1">
      <alignment horizontal="left" vertical="top" wrapText="1"/>
    </xf>
    <xf numFmtId="9" fontId="38" fillId="25" borderId="1" xfId="0" applyNumberFormat="1" applyFont="1" applyFill="1" applyBorder="1" applyAlignment="1">
      <alignment horizontal="left" vertical="top"/>
    </xf>
    <xf numFmtId="0" fontId="48" fillId="25" borderId="46" xfId="0" applyFont="1" applyFill="1" applyBorder="1" applyAlignment="1">
      <alignment horizontal="left" vertical="top" wrapText="1"/>
    </xf>
    <xf numFmtId="0" fontId="38" fillId="15" borderId="1" xfId="0" applyFont="1" applyFill="1" applyBorder="1" applyAlignment="1">
      <alignment horizontal="left" vertical="top" wrapText="1"/>
    </xf>
    <xf numFmtId="9" fontId="38" fillId="15" borderId="1" xfId="0" applyNumberFormat="1" applyFont="1" applyFill="1" applyBorder="1" applyAlignment="1">
      <alignment horizontal="left" vertical="top" wrapText="1"/>
    </xf>
    <xf numFmtId="49" fontId="38" fillId="25" borderId="1" xfId="14" applyNumberFormat="1" applyFont="1" applyFill="1" applyBorder="1" applyAlignment="1">
      <alignment horizontal="left" vertical="top" wrapText="1"/>
    </xf>
    <xf numFmtId="0" fontId="38" fillId="25" borderId="46" xfId="0" applyFont="1" applyFill="1" applyBorder="1" applyAlignment="1">
      <alignment horizontal="left" vertical="top"/>
    </xf>
    <xf numFmtId="0" fontId="37" fillId="0" borderId="36" xfId="0" applyFont="1" applyBorder="1" applyAlignment="1">
      <alignment horizontal="left" vertical="top" wrapText="1"/>
    </xf>
    <xf numFmtId="9" fontId="48" fillId="25" borderId="44" xfId="0" applyNumberFormat="1" applyFont="1" applyFill="1" applyBorder="1" applyAlignment="1">
      <alignment horizontal="left" vertical="top" wrapText="1"/>
    </xf>
    <xf numFmtId="9" fontId="38" fillId="25" borderId="1" xfId="0" applyNumberFormat="1" applyFont="1" applyFill="1" applyBorder="1" applyAlignment="1">
      <alignment vertical="top" wrapText="1"/>
    </xf>
    <xf numFmtId="0" fontId="48" fillId="15" borderId="44" xfId="0" applyFont="1" applyFill="1" applyBorder="1" applyAlignment="1">
      <alignment horizontal="left" vertical="top" wrapText="1"/>
    </xf>
    <xf numFmtId="0" fontId="38" fillId="25" borderId="44" xfId="0" applyFont="1" applyFill="1" applyBorder="1" applyAlignment="1">
      <alignment horizontal="left" vertical="top" wrapText="1"/>
    </xf>
    <xf numFmtId="9" fontId="38" fillId="25" borderId="1" xfId="1" applyFont="1" applyFill="1" applyBorder="1" applyAlignment="1">
      <alignment horizontal="left" vertical="top" wrapText="1"/>
    </xf>
    <xf numFmtId="0" fontId="37" fillId="15" borderId="1" xfId="0" applyFont="1" applyFill="1" applyBorder="1" applyAlignment="1">
      <alignment horizontal="left" vertical="top" wrapText="1"/>
    </xf>
    <xf numFmtId="0" fontId="33" fillId="15" borderId="1" xfId="0" applyFont="1" applyFill="1" applyBorder="1" applyAlignment="1">
      <alignment horizontal="left" vertical="top" wrapText="1"/>
    </xf>
    <xf numFmtId="9" fontId="38" fillId="0" borderId="1" xfId="1" applyFont="1" applyBorder="1" applyAlignment="1">
      <alignment horizontal="left" vertical="top" wrapText="1"/>
    </xf>
    <xf numFmtId="0" fontId="3" fillId="0" borderId="1" xfId="0" applyFont="1" applyBorder="1" applyAlignment="1">
      <alignment horizontal="left" vertical="top" wrapText="1"/>
    </xf>
    <xf numFmtId="9" fontId="0" fillId="0" borderId="1" xfId="0" applyNumberFormat="1" applyBorder="1" applyAlignment="1">
      <alignment horizontal="left" vertical="top"/>
    </xf>
    <xf numFmtId="9" fontId="38" fillId="0" borderId="1" xfId="0" applyNumberFormat="1" applyFont="1" applyBorder="1" applyAlignment="1">
      <alignment horizontal="left" vertical="top"/>
    </xf>
    <xf numFmtId="9" fontId="3" fillId="0" borderId="1" xfId="1" applyFont="1" applyBorder="1" applyAlignment="1">
      <alignment horizontal="left" vertical="top"/>
    </xf>
    <xf numFmtId="9" fontId="48" fillId="25" borderId="59" xfId="0" applyNumberFormat="1" applyFont="1" applyFill="1" applyBorder="1" applyAlignment="1">
      <alignment horizontal="left" vertical="top" wrapText="1"/>
    </xf>
    <xf numFmtId="0" fontId="3" fillId="0" borderId="3" xfId="0" applyFont="1" applyBorder="1" applyAlignment="1">
      <alignment horizontal="left" vertical="top" wrapText="1"/>
    </xf>
    <xf numFmtId="0" fontId="38" fillId="10" borderId="58" xfId="0" applyFont="1" applyFill="1" applyBorder="1" applyAlignment="1">
      <alignment horizontal="center" vertical="top" wrapText="1"/>
    </xf>
    <xf numFmtId="0" fontId="39" fillId="10" borderId="58" xfId="0" applyFont="1" applyFill="1" applyBorder="1" applyAlignment="1">
      <alignment horizontal="left" vertical="top" wrapText="1"/>
    </xf>
    <xf numFmtId="9" fontId="39" fillId="10" borderId="58" xfId="0" applyNumberFormat="1" applyFont="1" applyFill="1" applyBorder="1" applyAlignment="1">
      <alignment horizontal="left" vertical="top" wrapText="1"/>
    </xf>
    <xf numFmtId="0" fontId="39" fillId="10" borderId="58" xfId="0" applyFont="1" applyFill="1" applyBorder="1" applyAlignment="1">
      <alignment horizontal="left" vertical="top"/>
    </xf>
    <xf numFmtId="9" fontId="39" fillId="10" borderId="57" xfId="1" applyFont="1" applyFill="1" applyBorder="1" applyAlignment="1">
      <alignment horizontal="left" vertical="top"/>
    </xf>
    <xf numFmtId="9" fontId="39" fillId="10" borderId="25" xfId="1" applyFont="1" applyFill="1" applyBorder="1" applyAlignment="1">
      <alignment horizontal="left" vertical="top"/>
    </xf>
    <xf numFmtId="9" fontId="0" fillId="0" borderId="3" xfId="0" applyNumberFormat="1" applyBorder="1" applyAlignment="1">
      <alignment horizontal="left" vertical="top"/>
    </xf>
    <xf numFmtId="0" fontId="3" fillId="0" borderId="0" xfId="0" applyFont="1"/>
    <xf numFmtId="0" fontId="3" fillId="26" borderId="1" xfId="0" applyFont="1" applyFill="1" applyBorder="1"/>
    <xf numFmtId="0" fontId="0" fillId="0" borderId="60" xfId="0" applyBorder="1"/>
    <xf numFmtId="0" fontId="3" fillId="0" borderId="1" xfId="0" applyFont="1" applyBorder="1"/>
    <xf numFmtId="0" fontId="3" fillId="0" borderId="1" xfId="0" applyFont="1" applyBorder="1" applyAlignment="1">
      <alignment horizontal="left"/>
    </xf>
    <xf numFmtId="0" fontId="20" fillId="0" borderId="1" xfId="0" applyFont="1" applyBorder="1" applyAlignment="1">
      <alignment horizontal="left"/>
    </xf>
    <xf numFmtId="0" fontId="36" fillId="0" borderId="15" xfId="0" applyFont="1" applyBorder="1" applyAlignment="1">
      <alignment horizontal="center" vertical="center" wrapText="1"/>
    </xf>
    <xf numFmtId="0" fontId="0" fillId="0" borderId="15" xfId="0" applyBorder="1" applyAlignment="1">
      <alignment horizontal="left" vertical="top"/>
    </xf>
    <xf numFmtId="0" fontId="0" fillId="0" borderId="14" xfId="0" applyBorder="1" applyAlignment="1">
      <alignment horizontal="left" vertical="top"/>
    </xf>
    <xf numFmtId="0" fontId="3" fillId="26" borderId="0" xfId="0" applyFont="1" applyFill="1"/>
    <xf numFmtId="0" fontId="5" fillId="18" borderId="1" xfId="0" applyFont="1" applyFill="1" applyBorder="1" applyAlignment="1">
      <alignment horizontal="left" vertical="top" wrapText="1"/>
    </xf>
    <xf numFmtId="0" fontId="15" fillId="27" borderId="1" xfId="0" applyFont="1" applyFill="1" applyBorder="1" applyAlignment="1">
      <alignment horizontal="left" vertical="top" wrapText="1"/>
    </xf>
    <xf numFmtId="0" fontId="15" fillId="4" borderId="1" xfId="0" applyFont="1" applyFill="1" applyBorder="1" applyAlignment="1">
      <alignment horizontal="left" vertical="top" wrapText="1"/>
    </xf>
    <xf numFmtId="0" fontId="14" fillId="4" borderId="1" xfId="3" applyFont="1" applyFill="1" applyBorder="1" applyAlignment="1">
      <alignment horizontal="left" vertical="top" wrapText="1"/>
    </xf>
    <xf numFmtId="0" fontId="14" fillId="28" borderId="1" xfId="0" applyFont="1" applyFill="1" applyBorder="1" applyAlignment="1">
      <alignment horizontal="left" vertical="top" wrapText="1"/>
    </xf>
    <xf numFmtId="0" fontId="14" fillId="35" borderId="1" xfId="0" applyFont="1" applyFill="1" applyBorder="1" applyAlignment="1">
      <alignment horizontal="left" vertical="top" wrapText="1"/>
    </xf>
    <xf numFmtId="0" fontId="13" fillId="25" borderId="0" xfId="0" applyFont="1" applyFill="1" applyAlignment="1">
      <alignment horizontal="left" vertical="top" wrapText="1"/>
    </xf>
    <xf numFmtId="0" fontId="5" fillId="28" borderId="1" xfId="0" applyFont="1" applyFill="1" applyBorder="1" applyAlignment="1">
      <alignment horizontal="left" vertical="top" wrapText="1"/>
    </xf>
    <xf numFmtId="0" fontId="5" fillId="15" borderId="1" xfId="0" applyFont="1" applyFill="1" applyBorder="1" applyAlignment="1">
      <alignment horizontal="left" vertical="top" wrapText="1"/>
    </xf>
    <xf numFmtId="0" fontId="14" fillId="21" borderId="1" xfId="0" applyFont="1" applyFill="1" applyBorder="1" applyAlignment="1">
      <alignment horizontal="left" vertical="top" wrapText="1"/>
    </xf>
    <xf numFmtId="0" fontId="15" fillId="27" borderId="4" xfId="0" applyFont="1" applyFill="1" applyBorder="1" applyAlignment="1">
      <alignment horizontal="left" vertical="top" wrapText="1"/>
    </xf>
    <xf numFmtId="0" fontId="18" fillId="15" borderId="1" xfId="0" applyFont="1" applyFill="1" applyBorder="1" applyAlignment="1" applyProtection="1">
      <alignment horizontal="left" vertical="top" wrapText="1"/>
      <protection locked="0"/>
    </xf>
    <xf numFmtId="0" fontId="18" fillId="23" borderId="1" xfId="0" applyFont="1" applyFill="1" applyBorder="1" applyAlignment="1" applyProtection="1">
      <alignment horizontal="left" vertical="top" wrapText="1"/>
      <protection locked="0"/>
    </xf>
    <xf numFmtId="165" fontId="14" fillId="25" borderId="1" xfId="0" applyNumberFormat="1" applyFont="1" applyFill="1" applyBorder="1" applyAlignment="1">
      <alignment horizontal="left" vertical="top" wrapText="1"/>
    </xf>
    <xf numFmtId="0" fontId="5" fillId="23" borderId="1" xfId="0" applyFont="1" applyFill="1" applyBorder="1" applyAlignment="1">
      <alignment horizontal="left" vertical="top" wrapText="1"/>
    </xf>
    <xf numFmtId="0" fontId="5" fillId="21"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14" fillId="14" borderId="2" xfId="0" applyFont="1" applyFill="1" applyBorder="1" applyAlignment="1">
      <alignment horizontal="left" vertical="top" wrapText="1"/>
    </xf>
    <xf numFmtId="0" fontId="0" fillId="0" borderId="0" xfId="0" applyFill="1" applyAlignment="1">
      <alignment horizontal="left" vertical="top" wrapText="1"/>
    </xf>
    <xf numFmtId="9" fontId="0" fillId="0" borderId="0" xfId="1" applyFont="1" applyFill="1" applyAlignment="1">
      <alignment horizontal="left" vertical="top" wrapText="1"/>
    </xf>
    <xf numFmtId="0" fontId="6" fillId="0" borderId="0" xfId="0" applyFont="1" applyFill="1" applyAlignment="1">
      <alignment horizontal="left" vertical="top" wrapText="1"/>
    </xf>
    <xf numFmtId="2" fontId="0" fillId="0" borderId="0" xfId="0" applyNumberFormat="1" applyFill="1" applyAlignment="1">
      <alignment horizontal="left" vertical="top" wrapText="1"/>
    </xf>
    <xf numFmtId="0" fontId="0" fillId="0" borderId="0" xfId="0" applyAlignment="1">
      <alignment vertical="top" wrapText="1"/>
    </xf>
    <xf numFmtId="0" fontId="15" fillId="6" borderId="1" xfId="0" applyFont="1" applyFill="1" applyBorder="1" applyAlignment="1">
      <alignment horizontal="left" vertical="top" wrapText="1"/>
    </xf>
    <xf numFmtId="0" fontId="18" fillId="25" borderId="1" xfId="0" applyFont="1" applyFill="1" applyBorder="1" applyAlignment="1">
      <alignment horizontal="left" vertical="top" wrapText="1"/>
    </xf>
    <xf numFmtId="0" fontId="61" fillId="4" borderId="1" xfId="0" applyFont="1" applyFill="1" applyBorder="1" applyAlignment="1">
      <alignment horizontal="left" vertical="top" wrapText="1"/>
    </xf>
    <xf numFmtId="0" fontId="18" fillId="12" borderId="1" xfId="0" applyFont="1" applyFill="1" applyBorder="1" applyAlignment="1">
      <alignment horizontal="left" vertical="top" wrapText="1"/>
    </xf>
    <xf numFmtId="0" fontId="15" fillId="12" borderId="1" xfId="0" applyFont="1" applyFill="1" applyBorder="1" applyAlignment="1">
      <alignment horizontal="left" vertical="top" wrapText="1"/>
    </xf>
    <xf numFmtId="167" fontId="18" fillId="25" borderId="1" xfId="0" applyNumberFormat="1" applyFont="1" applyFill="1" applyBorder="1" applyAlignment="1">
      <alignment horizontal="left" vertical="top" wrapText="1"/>
    </xf>
    <xf numFmtId="0" fontId="18" fillId="25" borderId="1" xfId="0" applyFont="1" applyFill="1" applyBorder="1" applyAlignment="1" applyProtection="1">
      <alignment horizontal="left" vertical="top" wrapText="1"/>
      <protection locked="0"/>
    </xf>
    <xf numFmtId="0" fontId="5" fillId="0" borderId="1" xfId="4" applyFont="1" applyBorder="1" applyAlignment="1">
      <alignment horizontal="left" vertical="top" wrapText="1"/>
    </xf>
    <xf numFmtId="0" fontId="5" fillId="0" borderId="2" xfId="4" applyFont="1" applyBorder="1" applyAlignment="1">
      <alignment horizontal="left" vertical="top" wrapText="1"/>
    </xf>
    <xf numFmtId="0" fontId="5" fillId="0" borderId="4" xfId="4" applyFont="1" applyBorder="1" applyAlignment="1">
      <alignment horizontal="left" vertical="top" wrapText="1"/>
    </xf>
    <xf numFmtId="0" fontId="5" fillId="0" borderId="3" xfId="4" applyFont="1" applyBorder="1" applyAlignment="1">
      <alignment horizontal="left" vertical="top" wrapText="1"/>
    </xf>
    <xf numFmtId="165" fontId="14" fillId="0" borderId="1" xfId="0" applyNumberFormat="1" applyFont="1" applyFill="1" applyBorder="1" applyAlignment="1">
      <alignment horizontal="left" vertical="top" wrapText="1"/>
    </xf>
    <xf numFmtId="10" fontId="14" fillId="0" borderId="1" xfId="1" applyNumberFormat="1" applyFont="1" applyFill="1" applyBorder="1" applyAlignment="1">
      <alignment horizontal="left" vertical="top" wrapText="1"/>
    </xf>
    <xf numFmtId="9" fontId="5" fillId="0" borderId="1" xfId="1" applyFont="1" applyFill="1" applyBorder="1" applyAlignment="1">
      <alignment horizontal="left" vertical="top" wrapText="1"/>
    </xf>
    <xf numFmtId="9" fontId="14" fillId="0" borderId="1" xfId="1" applyFont="1" applyFill="1" applyBorder="1" applyAlignment="1">
      <alignment horizontal="left" vertical="top" wrapText="1"/>
    </xf>
    <xf numFmtId="2" fontId="14"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0" xfId="0" applyFont="1" applyFill="1" applyAlignment="1">
      <alignment horizontal="left" vertical="top" wrapText="1"/>
    </xf>
    <xf numFmtId="10" fontId="14" fillId="0" borderId="0" xfId="1" applyNumberFormat="1" applyFont="1" applyFill="1" applyAlignment="1">
      <alignment horizontal="left" vertical="top" wrapText="1"/>
    </xf>
    <xf numFmtId="0" fontId="14" fillId="25" borderId="0" xfId="0" applyFont="1" applyFill="1" applyAlignment="1">
      <alignment horizontal="left" vertical="top" wrapText="1"/>
    </xf>
    <xf numFmtId="9" fontId="15" fillId="0" borderId="1" xfId="1" applyFont="1" applyFill="1" applyBorder="1" applyAlignment="1">
      <alignment horizontal="left" vertical="top" wrapText="1"/>
    </xf>
    <xf numFmtId="169" fontId="5" fillId="0" borderId="1" xfId="1" applyNumberFormat="1" applyFont="1" applyFill="1" applyBorder="1" applyAlignment="1">
      <alignment horizontal="left" vertical="top" wrapText="1"/>
    </xf>
    <xf numFmtId="169" fontId="14" fillId="0" borderId="1" xfId="1" applyNumberFormat="1" applyFont="1" applyFill="1" applyBorder="1" applyAlignment="1">
      <alignment horizontal="left" vertical="top" wrapText="1"/>
    </xf>
    <xf numFmtId="43" fontId="5" fillId="0" borderId="9" xfId="0" applyNumberFormat="1" applyFont="1" applyFill="1" applyBorder="1" applyAlignment="1">
      <alignment horizontal="left" vertical="top" wrapText="1"/>
    </xf>
    <xf numFmtId="166" fontId="5" fillId="0" borderId="10" xfId="0" applyNumberFormat="1" applyFont="1" applyFill="1" applyBorder="1" applyAlignment="1">
      <alignment horizontal="left" vertical="top" wrapText="1"/>
    </xf>
    <xf numFmtId="9" fontId="10" fillId="0" borderId="1" xfId="1" applyFont="1" applyFill="1" applyBorder="1" applyAlignment="1">
      <alignment horizontal="left" vertical="top" wrapText="1"/>
    </xf>
    <xf numFmtId="9" fontId="5" fillId="34" borderId="1" xfId="1" applyFont="1" applyFill="1" applyBorder="1" applyAlignment="1">
      <alignment horizontal="left" vertical="top" wrapText="1"/>
    </xf>
    <xf numFmtId="167" fontId="14" fillId="0" borderId="0" xfId="0" applyNumberFormat="1" applyFont="1" applyFill="1" applyAlignment="1">
      <alignment horizontal="left" vertical="top" wrapText="1"/>
    </xf>
    <xf numFmtId="14" fontId="18" fillId="0" borderId="1" xfId="6" applyNumberFormat="1" applyFont="1" applyBorder="1" applyAlignment="1" applyProtection="1">
      <alignment horizontal="left" vertical="top" wrapText="1"/>
      <protection locked="0"/>
    </xf>
    <xf numFmtId="0" fontId="14" fillId="0" borderId="3" xfId="0" applyFont="1" applyFill="1" applyBorder="1" applyAlignment="1">
      <alignment horizontal="left" vertical="top" wrapText="1"/>
    </xf>
    <xf numFmtId="2" fontId="14" fillId="0" borderId="3" xfId="0" applyNumberFormat="1" applyFont="1" applyFill="1" applyBorder="1" applyAlignment="1">
      <alignment horizontal="left" vertical="top" wrapText="1"/>
    </xf>
    <xf numFmtId="0" fontId="5" fillId="0" borderId="0" xfId="0" applyFont="1" applyFill="1" applyAlignment="1">
      <alignment horizontal="left" vertical="top" wrapText="1"/>
    </xf>
    <xf numFmtId="0" fontId="5" fillId="25" borderId="0" xfId="0" applyFont="1" applyFill="1" applyAlignment="1">
      <alignment horizontal="left" vertical="top" wrapText="1"/>
    </xf>
    <xf numFmtId="2" fontId="14" fillId="0" borderId="0" xfId="0" applyNumberFormat="1" applyFont="1" applyFill="1" applyAlignment="1">
      <alignment horizontal="left" vertical="top" wrapText="1"/>
    </xf>
    <xf numFmtId="0" fontId="15" fillId="18" borderId="1" xfId="0" applyFont="1" applyFill="1" applyBorder="1" applyAlignment="1">
      <alignment horizontal="left" vertical="top" wrapText="1"/>
    </xf>
    <xf numFmtId="0" fontId="14" fillId="4" borderId="1" xfId="0" applyFont="1" applyFill="1" applyBorder="1" applyAlignment="1">
      <alignment horizontal="left" vertical="top" wrapText="1"/>
    </xf>
    <xf numFmtId="0" fontId="14" fillId="23" borderId="1" xfId="0" applyFont="1" applyFill="1" applyBorder="1" applyAlignment="1">
      <alignment horizontal="left" vertical="top" wrapText="1"/>
    </xf>
    <xf numFmtId="0" fontId="5" fillId="3" borderId="1" xfId="0" applyFont="1" applyFill="1" applyBorder="1" applyAlignment="1">
      <alignment horizontal="left" vertical="top" wrapText="1"/>
    </xf>
    <xf numFmtId="10" fontId="0" fillId="0" borderId="0" xfId="1" applyNumberFormat="1" applyFont="1" applyFill="1" applyAlignment="1">
      <alignment horizontal="left" vertical="top" wrapText="1"/>
    </xf>
    <xf numFmtId="0" fontId="33" fillId="25" borderId="7" xfId="0" applyFont="1" applyFill="1" applyBorder="1" applyAlignment="1">
      <alignment vertical="top" wrapText="1"/>
    </xf>
    <xf numFmtId="0" fontId="33" fillId="25" borderId="1" xfId="0" applyFont="1" applyFill="1" applyBorder="1" applyAlignment="1">
      <alignment vertical="top" wrapText="1"/>
    </xf>
    <xf numFmtId="9" fontId="48" fillId="25" borderId="1" xfId="1" applyFont="1" applyFill="1" applyBorder="1" applyAlignment="1">
      <alignment horizontal="left" vertical="top" wrapText="1"/>
    </xf>
    <xf numFmtId="9" fontId="48" fillId="33" borderId="46" xfId="0" applyNumberFormat="1" applyFont="1" applyFill="1" applyBorder="1" applyAlignment="1">
      <alignment horizontal="left" vertical="top" wrapText="1"/>
    </xf>
    <xf numFmtId="0" fontId="34" fillId="32" borderId="16" xfId="0" applyFont="1" applyFill="1" applyBorder="1" applyAlignment="1">
      <alignment horizontal="center" vertical="center" wrapText="1"/>
    </xf>
    <xf numFmtId="0" fontId="48" fillId="0" borderId="1" xfId="0" applyFont="1" applyBorder="1" applyAlignment="1">
      <alignment vertical="top" wrapText="1"/>
    </xf>
    <xf numFmtId="165" fontId="71" fillId="0"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5" fillId="11" borderId="1" xfId="0" applyFont="1" applyFill="1" applyBorder="1" applyAlignment="1">
      <alignment horizontal="left" vertical="top" wrapText="1"/>
    </xf>
    <xf numFmtId="0" fontId="5" fillId="14" borderId="1" xfId="0" applyFont="1" applyFill="1" applyBorder="1" applyAlignment="1">
      <alignment horizontal="left" vertical="top" wrapText="1"/>
    </xf>
    <xf numFmtId="0" fontId="11" fillId="23" borderId="1" xfId="0" applyFont="1" applyFill="1" applyBorder="1" applyAlignment="1" applyProtection="1">
      <alignment horizontal="left" vertical="top" wrapText="1"/>
      <protection locked="0"/>
    </xf>
    <xf numFmtId="0" fontId="6" fillId="0" borderId="1" xfId="0" applyFont="1" applyFill="1" applyBorder="1" applyAlignment="1">
      <alignment horizontal="left" vertical="top" wrapText="1"/>
    </xf>
    <xf numFmtId="167" fontId="15" fillId="25" borderId="1" xfId="11" applyNumberFormat="1" applyFont="1" applyFill="1" applyBorder="1" applyAlignment="1">
      <alignment horizontal="left" vertical="top" wrapText="1"/>
    </xf>
    <xf numFmtId="168" fontId="15" fillId="25" borderId="1" xfId="11" applyNumberFormat="1" applyFont="1" applyFill="1" applyBorder="1" applyAlignment="1">
      <alignment horizontal="left" vertical="top" wrapText="1"/>
    </xf>
    <xf numFmtId="167" fontId="18" fillId="25" borderId="15" xfId="11" applyNumberFormat="1" applyFont="1" applyFill="1" applyBorder="1" applyAlignment="1">
      <alignment horizontal="left" vertical="top" wrapText="1"/>
    </xf>
    <xf numFmtId="167" fontId="18" fillId="25" borderId="16" xfId="11" applyNumberFormat="1" applyFont="1" applyFill="1" applyBorder="1" applyAlignment="1">
      <alignment horizontal="left" vertical="top" wrapText="1"/>
    </xf>
    <xf numFmtId="167" fontId="18" fillId="25" borderId="1" xfId="11" applyNumberFormat="1" applyFont="1" applyFill="1" applyBorder="1" applyAlignment="1">
      <alignment horizontal="left" vertical="top" wrapText="1"/>
    </xf>
    <xf numFmtId="44" fontId="18" fillId="25" borderId="1" xfId="11" applyFont="1" applyFill="1" applyBorder="1" applyAlignment="1">
      <alignment horizontal="left" vertical="top" wrapText="1"/>
    </xf>
    <xf numFmtId="167" fontId="15" fillId="25" borderId="1" xfId="12" applyNumberFormat="1" applyFont="1" applyFill="1" applyBorder="1" applyAlignment="1">
      <alignment horizontal="left" vertical="top" wrapText="1"/>
    </xf>
    <xf numFmtId="14" fontId="71" fillId="0" borderId="1" xfId="0" applyNumberFormat="1" applyFont="1" applyFill="1" applyBorder="1" applyAlignment="1">
      <alignment horizontal="left" vertical="top" wrapText="1"/>
    </xf>
    <xf numFmtId="6" fontId="14" fillId="36" borderId="1" xfId="0" applyNumberFormat="1" applyFont="1" applyFill="1" applyBorder="1" applyAlignment="1">
      <alignment horizontal="left" vertical="top" wrapText="1"/>
    </xf>
    <xf numFmtId="6" fontId="14" fillId="36" borderId="18" xfId="0" applyNumberFormat="1" applyFont="1" applyFill="1" applyBorder="1" applyAlignment="1">
      <alignment horizontal="left" vertical="top" wrapText="1"/>
    </xf>
    <xf numFmtId="6" fontId="14" fillId="25" borderId="1" xfId="0" applyNumberFormat="1" applyFont="1" applyFill="1" applyBorder="1" applyAlignment="1">
      <alignment horizontal="left" vertical="top" wrapText="1"/>
    </xf>
    <xf numFmtId="170" fontId="14" fillId="25" borderId="1" xfId="0" applyNumberFormat="1" applyFont="1" applyFill="1" applyBorder="1" applyAlignment="1">
      <alignment horizontal="left" vertical="top" wrapText="1"/>
    </xf>
    <xf numFmtId="170" fontId="15" fillId="25" borderId="1" xfId="10" applyNumberFormat="1" applyFont="1" applyFill="1" applyBorder="1" applyAlignment="1">
      <alignment horizontal="left" vertical="top" wrapText="1"/>
    </xf>
    <xf numFmtId="170" fontId="14" fillId="25" borderId="1" xfId="11" applyNumberFormat="1" applyFont="1" applyFill="1" applyBorder="1" applyAlignment="1">
      <alignment horizontal="left" vertical="top" wrapText="1"/>
    </xf>
    <xf numFmtId="167" fontId="14" fillId="25" borderId="1" xfId="11" applyNumberFormat="1" applyFont="1" applyFill="1" applyBorder="1" applyAlignment="1">
      <alignment horizontal="left" vertical="top" wrapText="1"/>
    </xf>
    <xf numFmtId="14" fontId="71" fillId="0" borderId="8" xfId="0" applyNumberFormat="1" applyFont="1" applyFill="1" applyBorder="1" applyAlignment="1">
      <alignment horizontal="left" vertical="top" wrapText="1"/>
    </xf>
    <xf numFmtId="0" fontId="70" fillId="0" borderId="0" xfId="0" applyFont="1" applyFill="1" applyAlignment="1">
      <alignment horizontal="left" vertical="top" wrapText="1"/>
    </xf>
    <xf numFmtId="0" fontId="72" fillId="0" borderId="0" xfId="0" applyFont="1" applyFill="1" applyAlignment="1">
      <alignment horizontal="left" vertical="top" wrapText="1"/>
    </xf>
    <xf numFmtId="10" fontId="63" fillId="2" borderId="1" xfId="1" applyNumberFormat="1" applyFont="1" applyFill="1" applyBorder="1" applyAlignment="1">
      <alignment horizontal="left" vertical="top" wrapText="1"/>
    </xf>
    <xf numFmtId="2" fontId="63" fillId="2" borderId="1" xfId="0" applyNumberFormat="1" applyFont="1" applyFill="1" applyBorder="1" applyAlignment="1">
      <alignment horizontal="left" vertical="top" wrapText="1"/>
    </xf>
    <xf numFmtId="0" fontId="63" fillId="2" borderId="4" xfId="0" applyFont="1" applyFill="1" applyBorder="1" applyAlignment="1">
      <alignment horizontal="left" vertical="top" wrapText="1"/>
    </xf>
    <xf numFmtId="0" fontId="63" fillId="2" borderId="4" xfId="0" applyFont="1" applyFill="1" applyBorder="1" applyAlignment="1">
      <alignment horizontal="left" vertical="top"/>
    </xf>
    <xf numFmtId="0" fontId="76" fillId="2" borderId="2" xfId="0" applyFont="1" applyFill="1" applyBorder="1" applyAlignment="1">
      <alignment horizontal="left" vertical="top" wrapText="1"/>
    </xf>
    <xf numFmtId="2" fontId="79" fillId="0" borderId="0" xfId="0" applyNumberFormat="1" applyFont="1" applyFill="1" applyAlignment="1">
      <alignment horizontal="left" vertical="top" wrapText="1"/>
    </xf>
    <xf numFmtId="0" fontId="79" fillId="0" borderId="0" xfId="0" applyFont="1" applyFill="1" applyAlignment="1">
      <alignment horizontal="left" vertical="top" wrapText="1"/>
    </xf>
    <xf numFmtId="2" fontId="3" fillId="0" borderId="0" xfId="0" applyNumberFormat="1" applyFont="1" applyFill="1" applyAlignment="1">
      <alignment horizontal="left" vertical="top" wrapText="1"/>
    </xf>
    <xf numFmtId="0" fontId="76" fillId="2" borderId="1" xfId="0" applyFont="1" applyFill="1" applyBorder="1" applyAlignment="1">
      <alignment horizontal="left" vertical="top" wrapText="1"/>
    </xf>
    <xf numFmtId="167" fontId="14" fillId="0" borderId="1" xfId="1" applyNumberFormat="1" applyFont="1" applyFill="1" applyBorder="1" applyAlignment="1">
      <alignment horizontal="left" vertical="top" wrapText="1"/>
    </xf>
    <xf numFmtId="9" fontId="14" fillId="0" borderId="3" xfId="1" applyFont="1" applyFill="1" applyBorder="1" applyAlignment="1">
      <alignment horizontal="left" vertical="top" wrapText="1"/>
    </xf>
    <xf numFmtId="0" fontId="14" fillId="0" borderId="1" xfId="1" applyNumberFormat="1" applyFont="1" applyFill="1" applyBorder="1" applyAlignment="1">
      <alignment horizontal="left" vertical="top" wrapText="1"/>
    </xf>
    <xf numFmtId="0" fontId="14" fillId="0" borderId="3" xfId="1" applyNumberFormat="1" applyFont="1" applyFill="1" applyBorder="1" applyAlignment="1">
      <alignment horizontal="left" vertical="top" wrapText="1"/>
    </xf>
    <xf numFmtId="0" fontId="82" fillId="0" borderId="1" xfId="15" applyNumberFormat="1" applyFill="1" applyBorder="1" applyAlignment="1">
      <alignment horizontal="left" vertical="top" wrapText="1"/>
    </xf>
    <xf numFmtId="9" fontId="14" fillId="13" borderId="1" xfId="1" applyFont="1" applyFill="1" applyBorder="1" applyAlignment="1">
      <alignment horizontal="left" vertical="top" wrapText="1"/>
    </xf>
    <xf numFmtId="9" fontId="14" fillId="25" borderId="1" xfId="1" applyFont="1" applyFill="1" applyBorder="1" applyAlignment="1">
      <alignment horizontal="left" vertical="top" wrapText="1"/>
    </xf>
    <xf numFmtId="167" fontId="14" fillId="3" borderId="1" xfId="11" applyNumberFormat="1" applyFont="1" applyFill="1" applyBorder="1" applyAlignment="1">
      <alignment horizontal="left" vertical="top" wrapText="1"/>
    </xf>
    <xf numFmtId="168" fontId="15" fillId="3" borderId="1" xfId="11" applyNumberFormat="1" applyFont="1" applyFill="1" applyBorder="1" applyAlignment="1">
      <alignment horizontal="left" vertical="top" wrapText="1"/>
    </xf>
    <xf numFmtId="167" fontId="15" fillId="3" borderId="1" xfId="12" applyNumberFormat="1" applyFont="1" applyFill="1" applyBorder="1" applyAlignment="1">
      <alignment horizontal="left" vertical="top" wrapText="1"/>
    </xf>
    <xf numFmtId="168" fontId="15" fillId="27" borderId="1" xfId="11" applyNumberFormat="1" applyFont="1" applyFill="1" applyBorder="1" applyAlignment="1">
      <alignment horizontal="left" vertical="top" wrapText="1"/>
    </xf>
    <xf numFmtId="44" fontId="14" fillId="0" borderId="1" xfId="11" applyFont="1" applyFill="1" applyBorder="1" applyAlignment="1">
      <alignment horizontal="left" vertical="top" wrapText="1"/>
    </xf>
    <xf numFmtId="167" fontId="14" fillId="0" borderId="1" xfId="11" applyNumberFormat="1" applyFont="1" applyFill="1" applyBorder="1" applyAlignment="1">
      <alignment horizontal="left" vertical="top" wrapText="1"/>
    </xf>
    <xf numFmtId="44" fontId="14" fillId="25" borderId="1" xfId="11" applyFont="1" applyFill="1" applyBorder="1" applyAlignment="1">
      <alignment horizontal="left" vertical="top" wrapText="1"/>
    </xf>
    <xf numFmtId="167" fontId="14" fillId="25" borderId="1" xfId="0" applyNumberFormat="1" applyFont="1" applyFill="1" applyBorder="1" applyAlignment="1">
      <alignment horizontal="left" vertical="top" wrapText="1"/>
    </xf>
    <xf numFmtId="0" fontId="5" fillId="23" borderId="2" xfId="0" applyFont="1" applyFill="1" applyBorder="1" applyAlignment="1">
      <alignment horizontal="center" vertical="top" wrapText="1"/>
    </xf>
    <xf numFmtId="0" fontId="14" fillId="0" borderId="3" xfId="0" applyFont="1" applyFill="1" applyBorder="1" applyAlignment="1">
      <alignment horizontal="center" vertical="top" wrapText="1"/>
    </xf>
    <xf numFmtId="6" fontId="14" fillId="25" borderId="2" xfId="0" applyNumberFormat="1" applyFont="1" applyFill="1" applyBorder="1" applyAlignment="1">
      <alignment horizontal="left" vertical="top" wrapText="1"/>
    </xf>
    <xf numFmtId="6" fontId="14" fillId="25" borderId="0" xfId="0" applyNumberFormat="1" applyFont="1" applyFill="1" applyAlignment="1">
      <alignment horizontal="left" vertical="top" wrapText="1"/>
    </xf>
    <xf numFmtId="167" fontId="18" fillId="9" borderId="1" xfId="11" applyNumberFormat="1" applyFont="1" applyFill="1" applyBorder="1" applyAlignment="1">
      <alignment horizontal="left" vertical="top" wrapText="1"/>
    </xf>
    <xf numFmtId="0" fontId="14" fillId="4" borderId="3" xfId="0" applyFont="1" applyFill="1" applyBorder="1" applyAlignment="1">
      <alignment vertical="top" wrapText="1"/>
    </xf>
    <xf numFmtId="0" fontId="14" fillId="4" borderId="1" xfId="0" applyFont="1" applyFill="1" applyBorder="1" applyAlignment="1">
      <alignment vertical="top" wrapText="1"/>
    </xf>
    <xf numFmtId="0" fontId="34" fillId="32" borderId="3" xfId="0" applyFont="1" applyFill="1" applyBorder="1" applyAlignment="1">
      <alignment horizontal="center" vertical="center" wrapText="1"/>
    </xf>
    <xf numFmtId="0" fontId="34" fillId="32" borderId="0" xfId="0" applyFont="1" applyFill="1" applyAlignment="1">
      <alignment horizontal="center" vertical="center" wrapText="1"/>
    </xf>
    <xf numFmtId="9" fontId="14" fillId="9" borderId="1" xfId="1" applyFont="1" applyFill="1" applyBorder="1" applyAlignment="1">
      <alignment horizontal="left" vertical="top" wrapText="1"/>
    </xf>
    <xf numFmtId="0" fontId="82" fillId="0" borderId="0" xfId="15"/>
    <xf numFmtId="170" fontId="15" fillId="37" borderId="1" xfId="10" applyNumberFormat="1" applyFont="1" applyFill="1" applyBorder="1" applyAlignment="1">
      <alignment horizontal="left" vertical="top" wrapText="1"/>
    </xf>
    <xf numFmtId="0" fontId="11" fillId="23" borderId="2" xfId="0" applyFont="1" applyFill="1" applyBorder="1" applyAlignment="1" applyProtection="1">
      <alignment vertical="top" wrapText="1"/>
      <protection locked="0"/>
    </xf>
    <xf numFmtId="0" fontId="18" fillId="23" borderId="1" xfId="0" applyFont="1" applyFill="1" applyBorder="1" applyAlignment="1" applyProtection="1">
      <alignment vertical="top" wrapText="1"/>
      <protection locked="0"/>
    </xf>
    <xf numFmtId="0" fontId="13" fillId="0" borderId="1" xfId="1" applyNumberFormat="1" applyFont="1" applyFill="1" applyBorder="1" applyAlignment="1">
      <alignment horizontal="left" vertical="top" wrapText="1"/>
    </xf>
    <xf numFmtId="0" fontId="82" fillId="0" borderId="2" xfId="16" applyNumberFormat="1" applyFill="1" applyBorder="1" applyAlignment="1">
      <alignment horizontal="left" vertical="top" wrapText="1"/>
    </xf>
    <xf numFmtId="9" fontId="14" fillId="25" borderId="2" xfId="1" applyFont="1" applyFill="1" applyBorder="1" applyAlignment="1">
      <alignment horizontal="left" vertical="top" wrapText="1"/>
    </xf>
    <xf numFmtId="9" fontId="14" fillId="25" borderId="3" xfId="1" applyFont="1" applyFill="1" applyBorder="1" applyAlignment="1">
      <alignment horizontal="left" vertical="top" wrapText="1"/>
    </xf>
    <xf numFmtId="0" fontId="3" fillId="0" borderId="1" xfId="0" applyFont="1" applyFill="1" applyBorder="1" applyAlignment="1">
      <alignment horizontal="left" vertical="top" wrapText="1"/>
    </xf>
    <xf numFmtId="0" fontId="82" fillId="0" borderId="1" xfId="16" applyNumberFormat="1" applyFill="1" applyBorder="1" applyAlignment="1">
      <alignment horizontal="left" vertical="top" wrapText="1"/>
    </xf>
    <xf numFmtId="2" fontId="82" fillId="0" borderId="1" xfId="16" applyNumberFormat="1" applyFill="1" applyBorder="1" applyAlignment="1">
      <alignment horizontal="left" vertical="top" wrapText="1"/>
    </xf>
    <xf numFmtId="0" fontId="5" fillId="0" borderId="1" xfId="1" applyNumberFormat="1" applyFont="1" applyFill="1" applyBorder="1" applyAlignment="1">
      <alignment horizontal="left" vertical="top" wrapText="1"/>
    </xf>
    <xf numFmtId="0" fontId="82" fillId="0" borderId="0" xfId="16" applyFill="1" applyAlignment="1">
      <alignment horizontal="left" wrapText="1"/>
    </xf>
    <xf numFmtId="0" fontId="82" fillId="0" borderId="82" xfId="16" applyFill="1" applyBorder="1" applyAlignment="1">
      <alignment horizontal="left" vertical="center" wrapText="1"/>
    </xf>
    <xf numFmtId="0" fontId="82" fillId="0" borderId="83" xfId="16" applyFill="1" applyBorder="1" applyAlignment="1">
      <alignment horizontal="left" vertical="center" wrapText="1"/>
    </xf>
    <xf numFmtId="0" fontId="18" fillId="25" borderId="2" xfId="0" applyFont="1" applyFill="1" applyBorder="1" applyAlignment="1" applyProtection="1">
      <alignment horizontal="left" vertical="top" wrapText="1"/>
      <protection locked="0"/>
    </xf>
    <xf numFmtId="10" fontId="5" fillId="0" borderId="9" xfId="0" applyNumberFormat="1" applyFont="1" applyFill="1" applyBorder="1" applyAlignment="1">
      <alignment horizontal="left" vertical="top" wrapText="1"/>
    </xf>
    <xf numFmtId="9" fontId="5" fillId="0" borderId="10" xfId="1" applyFont="1" applyFill="1" applyBorder="1" applyAlignment="1">
      <alignment horizontal="left" vertical="top" wrapText="1"/>
    </xf>
    <xf numFmtId="10" fontId="5" fillId="0" borderId="9" xfId="1" applyNumberFormat="1" applyFont="1" applyFill="1" applyBorder="1" applyAlignment="1">
      <alignment horizontal="left" vertical="top" wrapText="1"/>
    </xf>
    <xf numFmtId="9" fontId="37" fillId="17" borderId="1" xfId="0" applyNumberFormat="1" applyFont="1" applyFill="1" applyBorder="1" applyAlignment="1">
      <alignment horizontal="left" vertical="top" wrapText="1"/>
    </xf>
    <xf numFmtId="9" fontId="0" fillId="0" borderId="0" xfId="1" applyFont="1"/>
    <xf numFmtId="169" fontId="22" fillId="26" borderId="1" xfId="1" applyNumberFormat="1" applyFont="1" applyFill="1" applyBorder="1" applyAlignment="1">
      <alignment horizontal="left"/>
    </xf>
    <xf numFmtId="9" fontId="33" fillId="38" borderId="1" xfId="0" applyNumberFormat="1" applyFont="1" applyFill="1" applyBorder="1" applyAlignment="1">
      <alignment horizontal="left" vertical="top" wrapText="1"/>
    </xf>
    <xf numFmtId="9" fontId="33" fillId="38" borderId="2" xfId="0" applyNumberFormat="1" applyFont="1" applyFill="1" applyBorder="1" applyAlignment="1">
      <alignment horizontal="left" vertical="top" wrapText="1"/>
    </xf>
    <xf numFmtId="9" fontId="48" fillId="38" borderId="44" xfId="0" applyNumberFormat="1" applyFont="1" applyFill="1" applyBorder="1" applyAlignment="1">
      <alignment horizontal="left" vertical="top" wrapText="1"/>
    </xf>
    <xf numFmtId="9" fontId="38" fillId="38" borderId="1" xfId="0" applyNumberFormat="1" applyFont="1" applyFill="1" applyBorder="1" applyAlignment="1">
      <alignment horizontal="left" vertical="top" wrapText="1"/>
    </xf>
    <xf numFmtId="9" fontId="48" fillId="38" borderId="2" xfId="0" applyNumberFormat="1" applyFont="1" applyFill="1" applyBorder="1" applyAlignment="1">
      <alignment horizontal="left" vertical="top" wrapText="1"/>
    </xf>
    <xf numFmtId="9" fontId="38" fillId="25" borderId="3" xfId="0" applyNumberFormat="1" applyFont="1" applyFill="1" applyBorder="1" applyAlignment="1">
      <alignment horizontal="left" vertical="top" wrapText="1"/>
    </xf>
    <xf numFmtId="9" fontId="33" fillId="16" borderId="1" xfId="0" applyNumberFormat="1" applyFont="1" applyFill="1" applyBorder="1" applyAlignment="1">
      <alignment horizontal="left" vertical="top" wrapText="1"/>
    </xf>
    <xf numFmtId="0" fontId="0" fillId="0" borderId="1" xfId="0" applyBorder="1" applyAlignment="1">
      <alignment horizontal="left" vertical="top" wrapText="1"/>
    </xf>
    <xf numFmtId="9" fontId="0" fillId="0" borderId="1" xfId="1" applyFont="1" applyBorder="1"/>
    <xf numFmtId="9" fontId="0" fillId="0" borderId="1" xfId="0" applyNumberFormat="1" applyBorder="1" applyAlignment="1">
      <alignment horizontal="left" vertical="top" wrapText="1"/>
    </xf>
    <xf numFmtId="0" fontId="0" fillId="0" borderId="1" xfId="11" applyNumberFormat="1" applyFont="1" applyBorder="1"/>
    <xf numFmtId="0" fontId="0" fillId="0" borderId="1" xfId="0" applyBorder="1" applyAlignment="1">
      <alignment wrapText="1"/>
    </xf>
    <xf numFmtId="9" fontId="0" fillId="0" borderId="1" xfId="1" applyFont="1" applyBorder="1" applyAlignment="1">
      <alignment wrapText="1"/>
    </xf>
    <xf numFmtId="9" fontId="0" fillId="0" borderId="1" xfId="0" applyNumberFormat="1" applyBorder="1"/>
    <xf numFmtId="0" fontId="3" fillId="26" borderId="1" xfId="0" applyFont="1" applyFill="1" applyBorder="1" applyAlignment="1">
      <alignment horizontal="left" vertical="top" wrapText="1"/>
    </xf>
    <xf numFmtId="0" fontId="0" fillId="26" borderId="1" xfId="0" applyFill="1" applyBorder="1"/>
    <xf numFmtId="169" fontId="0" fillId="26" borderId="1" xfId="1" applyNumberFormat="1" applyFont="1" applyFill="1" applyBorder="1"/>
    <xf numFmtId="0" fontId="14" fillId="21" borderId="3" xfId="0"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5" fillId="15" borderId="2" xfId="0" applyFont="1" applyFill="1" applyBorder="1" applyAlignment="1">
      <alignment horizontal="left" vertical="top" wrapText="1"/>
    </xf>
    <xf numFmtId="0" fontId="14" fillId="15" borderId="2" xfId="0" applyFont="1" applyFill="1" applyBorder="1" applyAlignment="1">
      <alignment horizontal="left"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0" fontId="5" fillId="15" borderId="4" xfId="0" applyFont="1" applyFill="1" applyBorder="1" applyAlignment="1">
      <alignment horizontal="left" vertical="top" wrapText="1"/>
    </xf>
    <xf numFmtId="0" fontId="5" fillId="23" borderId="4" xfId="0" applyFont="1" applyFill="1" applyBorder="1" applyAlignment="1">
      <alignment horizontal="left" vertical="top" wrapText="1"/>
    </xf>
    <xf numFmtId="0" fontId="14" fillId="4" borderId="2" xfId="0" applyFont="1" applyFill="1" applyBorder="1" applyAlignment="1">
      <alignment horizontal="left" vertical="top" wrapText="1"/>
    </xf>
    <xf numFmtId="0" fontId="5" fillId="5" borderId="2"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18" borderId="2"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0" borderId="19"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8" borderId="2" xfId="0" applyFont="1" applyFill="1" applyBorder="1" applyAlignment="1">
      <alignment horizontal="left" vertical="top" wrapText="1"/>
    </xf>
    <xf numFmtId="0" fontId="14" fillId="18" borderId="3" xfId="0" applyFont="1" applyFill="1" applyBorder="1" applyAlignment="1">
      <alignment horizontal="left" vertical="top" wrapText="1"/>
    </xf>
    <xf numFmtId="0" fontId="14" fillId="7" borderId="3" xfId="0" applyFont="1" applyFill="1" applyBorder="1" applyAlignment="1">
      <alignment horizontal="left" vertical="top" wrapText="1"/>
    </xf>
    <xf numFmtId="0" fontId="10" fillId="4" borderId="1"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4" borderId="1" xfId="0" applyFont="1" applyFill="1" applyBorder="1" applyAlignment="1">
      <alignment horizontal="left" vertical="top" wrapText="1"/>
    </xf>
    <xf numFmtId="0" fontId="14" fillId="23"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13" borderId="1"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0" borderId="2" xfId="0" applyFont="1" applyFill="1" applyBorder="1" applyAlignment="1">
      <alignment horizontal="left" vertical="top" wrapText="1"/>
    </xf>
    <xf numFmtId="0" fontId="63" fillId="2" borderId="1" xfId="0" applyFont="1" applyFill="1" applyBorder="1" applyAlignment="1">
      <alignment horizontal="left" vertical="top" wrapText="1"/>
    </xf>
    <xf numFmtId="0" fontId="69" fillId="2" borderId="1" xfId="0"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3" xfId="0" applyFont="1" applyFill="1" applyBorder="1" applyAlignment="1">
      <alignment horizontal="left" vertical="top" wrapText="1"/>
    </xf>
    <xf numFmtId="0" fontId="14" fillId="13" borderId="3"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11" fillId="23" borderId="2" xfId="0" applyFont="1" applyFill="1" applyBorder="1" applyAlignment="1" applyProtection="1">
      <alignment horizontal="left" vertical="top" wrapText="1"/>
      <protection locked="0"/>
    </xf>
    <xf numFmtId="0" fontId="18" fillId="23" borderId="4"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14" fillId="18" borderId="1" xfId="0" applyFont="1" applyFill="1" applyBorder="1" applyAlignment="1">
      <alignment horizontal="left" vertical="top" wrapText="1"/>
    </xf>
    <xf numFmtId="0" fontId="5" fillId="35" borderId="1" xfId="0" applyFont="1" applyFill="1" applyBorder="1" applyAlignment="1">
      <alignment horizontal="left" vertical="top" wrapText="1"/>
    </xf>
    <xf numFmtId="0" fontId="5" fillId="35" borderId="2" xfId="0" applyFont="1" applyFill="1" applyBorder="1" applyAlignment="1">
      <alignment horizontal="left" vertical="top" wrapText="1"/>
    </xf>
    <xf numFmtId="0" fontId="33" fillId="25" borderId="1"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7" fillId="25" borderId="1" xfId="0" applyFont="1" applyFill="1" applyBorder="1" applyAlignment="1">
      <alignment horizontal="left" vertical="top" wrapText="1"/>
    </xf>
    <xf numFmtId="0" fontId="32" fillId="32" borderId="3"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0" borderId="1" xfId="0" applyFont="1" applyBorder="1" applyAlignment="1">
      <alignment horizontal="left"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5" fillId="25" borderId="0" xfId="0" applyFont="1" applyFill="1" applyAlignment="1">
      <alignment horizontal="left" vertical="top"/>
    </xf>
    <xf numFmtId="0" fontId="48" fillId="0" borderId="1" xfId="0" applyFont="1" applyBorder="1" applyAlignment="1">
      <alignment horizontal="left" vertical="top" wrapText="1"/>
    </xf>
    <xf numFmtId="0" fontId="38" fillId="10" borderId="0" xfId="0" applyFont="1" applyFill="1" applyAlignment="1">
      <alignment horizontal="center" vertical="top"/>
    </xf>
    <xf numFmtId="0" fontId="38" fillId="25" borderId="1" xfId="0" applyFont="1" applyFill="1" applyBorder="1" applyAlignment="1">
      <alignment horizontal="left" vertical="top"/>
    </xf>
    <xf numFmtId="0" fontId="11" fillId="15" borderId="2" xfId="0" applyFont="1" applyFill="1" applyBorder="1" applyAlignment="1" applyProtection="1">
      <alignment horizontal="left" vertical="top" wrapText="1"/>
      <protection locked="0"/>
    </xf>
    <xf numFmtId="0" fontId="14" fillId="7" borderId="4" xfId="0" applyFont="1" applyFill="1" applyBorder="1" applyAlignment="1">
      <alignment horizontal="left" vertical="top" wrapText="1"/>
    </xf>
    <xf numFmtId="0" fontId="14" fillId="18" borderId="3" xfId="0" applyFont="1" applyFill="1" applyBorder="1" applyAlignment="1">
      <alignment horizontal="left" vertical="top"/>
    </xf>
    <xf numFmtId="0" fontId="14" fillId="28" borderId="3" xfId="0" applyFont="1" applyFill="1" applyBorder="1" applyAlignment="1">
      <alignment horizontal="left" vertical="top" wrapText="1"/>
    </xf>
    <xf numFmtId="0" fontId="81" fillId="0" borderId="0" xfId="0" applyFont="1" applyAlignment="1">
      <alignment horizontal="left" vertical="top" wrapText="1"/>
    </xf>
    <xf numFmtId="0" fontId="82" fillId="0" borderId="1" xfId="15" applyFill="1" applyBorder="1" applyAlignment="1">
      <alignment horizontal="left" vertical="top" wrapText="1"/>
    </xf>
    <xf numFmtId="0" fontId="15" fillId="15" borderId="1" xfId="0" applyFont="1" applyFill="1" applyBorder="1" applyAlignment="1">
      <alignment horizontal="left" vertical="top" wrapText="1"/>
    </xf>
    <xf numFmtId="0" fontId="14" fillId="39" borderId="1" xfId="0" applyFont="1" applyFill="1" applyBorder="1" applyAlignment="1">
      <alignment horizontal="left" vertical="top" wrapText="1"/>
    </xf>
    <xf numFmtId="0" fontId="5" fillId="28" borderId="2" xfId="0" applyFont="1" applyFill="1" applyBorder="1" applyAlignment="1">
      <alignment vertical="top" wrapText="1"/>
    </xf>
    <xf numFmtId="167" fontId="18" fillId="40" borderId="1" xfId="11" applyNumberFormat="1" applyFont="1" applyFill="1" applyBorder="1" applyAlignment="1">
      <alignment horizontal="left" vertical="top" wrapText="1"/>
    </xf>
    <xf numFmtId="0" fontId="82" fillId="0" borderId="84" xfId="16" applyFill="1" applyBorder="1" applyAlignment="1">
      <alignment horizontal="left" vertical="center" wrapText="1"/>
    </xf>
    <xf numFmtId="0" fontId="82" fillId="0" borderId="5" xfId="16" applyNumberFormat="1" applyFill="1" applyBorder="1" applyAlignment="1">
      <alignment horizontal="left" vertical="top" wrapText="1"/>
    </xf>
    <xf numFmtId="0" fontId="14" fillId="4" borderId="4" xfId="0" applyFont="1" applyFill="1" applyBorder="1" applyAlignment="1">
      <alignment horizontal="left" vertical="top" wrapText="1"/>
    </xf>
    <xf numFmtId="0" fontId="10" fillId="4" borderId="4" xfId="0" applyFont="1" applyFill="1" applyBorder="1" applyAlignment="1">
      <alignment horizontal="left" vertical="top" wrapText="1"/>
    </xf>
    <xf numFmtId="0" fontId="14" fillId="6" borderId="4" xfId="3" applyFont="1" applyFill="1" applyBorder="1" applyAlignment="1">
      <alignment horizontal="left" vertical="top" wrapText="1"/>
    </xf>
    <xf numFmtId="0" fontId="14" fillId="3" borderId="1"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35" borderId="3" xfId="0" applyFont="1" applyFill="1" applyBorder="1" applyAlignment="1">
      <alignment horizontal="left" vertical="top" wrapText="1"/>
    </xf>
    <xf numFmtId="0" fontId="14" fillId="12" borderId="1" xfId="0" applyFont="1" applyFill="1" applyBorder="1" applyAlignment="1">
      <alignment horizontal="left" vertical="top" wrapText="1"/>
    </xf>
    <xf numFmtId="9" fontId="14" fillId="0" borderId="1" xfId="1" applyNumberFormat="1" applyFont="1" applyFill="1" applyBorder="1" applyAlignment="1">
      <alignment horizontal="left" vertical="top" wrapText="1"/>
    </xf>
    <xf numFmtId="0" fontId="14" fillId="0" borderId="1" xfId="0" applyFont="1" applyFill="1" applyBorder="1" applyAlignment="1">
      <alignment horizontal="left" vertical="center" wrapText="1"/>
    </xf>
    <xf numFmtId="165" fontId="14" fillId="27" borderId="1" xfId="0" applyNumberFormat="1" applyFont="1" applyFill="1" applyBorder="1" applyAlignment="1">
      <alignment horizontal="left" vertical="top" wrapText="1"/>
    </xf>
    <xf numFmtId="167" fontId="14" fillId="17" borderId="1" xfId="11" applyNumberFormat="1" applyFont="1" applyFill="1" applyBorder="1" applyAlignment="1">
      <alignment horizontal="left" vertical="top"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top" wrapText="1"/>
    </xf>
    <xf numFmtId="0" fontId="14" fillId="4" borderId="2" xfId="0" applyFont="1" applyFill="1" applyBorder="1" applyAlignment="1">
      <alignment horizontal="left" vertical="top" wrapText="1"/>
    </xf>
    <xf numFmtId="0" fontId="14" fillId="3" borderId="1" xfId="0" applyFont="1" applyFill="1" applyBorder="1" applyAlignment="1">
      <alignment horizontal="left" vertical="top" wrapText="1"/>
    </xf>
    <xf numFmtId="0" fontId="5" fillId="28" borderId="2" xfId="0" applyFont="1" applyFill="1" applyBorder="1" applyAlignment="1">
      <alignment horizontal="left" vertical="top" wrapText="1"/>
    </xf>
    <xf numFmtId="0" fontId="5" fillId="28" borderId="3" xfId="0" applyFont="1" applyFill="1" applyBorder="1" applyAlignment="1">
      <alignment horizontal="left" vertical="top" wrapText="1"/>
    </xf>
    <xf numFmtId="0" fontId="33" fillId="25" borderId="1" xfId="0" applyFont="1" applyFill="1" applyBorder="1" applyAlignment="1">
      <alignment horizontal="left" vertical="top" wrapText="1"/>
    </xf>
    <xf numFmtId="0" fontId="39" fillId="0" borderId="1" xfId="0" applyFont="1" applyBorder="1" applyAlignment="1">
      <alignment horizontal="left" vertical="top" wrapText="1"/>
    </xf>
    <xf numFmtId="0" fontId="33" fillId="37" borderId="1" xfId="0" applyFont="1" applyFill="1" applyBorder="1" applyAlignment="1">
      <alignment horizontal="left" vertical="top" wrapText="1"/>
    </xf>
    <xf numFmtId="0" fontId="14" fillId="28" borderId="4" xfId="0" applyFont="1" applyFill="1" applyBorder="1" applyAlignment="1">
      <alignment horizontal="left" vertical="top" wrapText="1"/>
    </xf>
    <xf numFmtId="0" fontId="37" fillId="37" borderId="1" xfId="0" applyFont="1" applyFill="1" applyBorder="1" applyAlignment="1">
      <alignment horizontal="left" vertical="top" wrapText="1"/>
    </xf>
    <xf numFmtId="0" fontId="83" fillId="25" borderId="1" xfId="0" applyFont="1" applyFill="1" applyBorder="1" applyAlignment="1">
      <alignment horizontal="left" vertical="top" wrapText="1"/>
    </xf>
    <xf numFmtId="167" fontId="18" fillId="25" borderId="0" xfId="11" applyNumberFormat="1" applyFont="1" applyFill="1" applyBorder="1" applyAlignment="1">
      <alignment horizontal="left" vertical="top" wrapText="1"/>
    </xf>
    <xf numFmtId="0" fontId="49" fillId="25" borderId="44" xfId="0" applyFont="1" applyFill="1" applyBorder="1" applyAlignment="1">
      <alignment horizontal="left" vertical="top" wrapText="1"/>
    </xf>
    <xf numFmtId="0" fontId="49" fillId="25" borderId="1" xfId="0" applyFont="1" applyFill="1" applyBorder="1" applyAlignment="1">
      <alignment horizontal="left" vertical="top" wrapText="1"/>
    </xf>
    <xf numFmtId="9" fontId="43" fillId="25" borderId="1" xfId="0" applyNumberFormat="1" applyFont="1" applyFill="1" applyBorder="1" applyAlignment="1">
      <alignment horizontal="left" vertical="top" wrapText="1"/>
    </xf>
    <xf numFmtId="165" fontId="14" fillId="15" borderId="3" xfId="0" applyNumberFormat="1" applyFont="1" applyFill="1" applyBorder="1" applyAlignment="1">
      <alignment horizontal="left" vertical="top" wrapText="1"/>
    </xf>
    <xf numFmtId="0" fontId="37" fillId="25" borderId="1" xfId="0" applyFont="1" applyFill="1" applyBorder="1" applyAlignment="1">
      <alignment horizontal="left" vertical="top" wrapText="1"/>
    </xf>
    <xf numFmtId="0" fontId="33" fillId="25" borderId="1" xfId="0" applyFont="1" applyFill="1" applyBorder="1" applyAlignment="1">
      <alignment horizontal="left" vertical="top" wrapText="1"/>
    </xf>
    <xf numFmtId="0" fontId="38" fillId="25" borderId="1" xfId="0" applyFont="1" applyFill="1" applyBorder="1" applyAlignment="1">
      <alignment horizontal="left" vertical="top" wrapText="1"/>
    </xf>
    <xf numFmtId="9" fontId="38" fillId="37" borderId="1" xfId="0" applyNumberFormat="1" applyFont="1" applyFill="1" applyBorder="1" applyAlignment="1">
      <alignment horizontal="left" vertical="top" wrapText="1"/>
    </xf>
    <xf numFmtId="0" fontId="37" fillId="38" borderId="1" xfId="0" applyFont="1" applyFill="1" applyBorder="1" applyAlignment="1">
      <alignment horizontal="left" vertical="top" wrapText="1"/>
    </xf>
    <xf numFmtId="0" fontId="38" fillId="37" borderId="44" xfId="0" applyFont="1" applyFill="1" applyBorder="1" applyAlignment="1">
      <alignment horizontal="left" vertical="top" wrapText="1"/>
    </xf>
    <xf numFmtId="0" fontId="48" fillId="37" borderId="44" xfId="0" applyFont="1" applyFill="1" applyBorder="1" applyAlignment="1">
      <alignment horizontal="left" vertical="top" wrapText="1"/>
    </xf>
    <xf numFmtId="9" fontId="48" fillId="37" borderId="44" xfId="0" applyNumberFormat="1" applyFont="1" applyFill="1" applyBorder="1" applyAlignment="1">
      <alignment horizontal="left" vertical="top" wrapText="1"/>
    </xf>
    <xf numFmtId="0" fontId="38" fillId="37" borderId="0" xfId="0" applyFont="1" applyFill="1" applyAlignment="1">
      <alignment horizontal="left" vertical="top"/>
    </xf>
    <xf numFmtId="0" fontId="33" fillId="37" borderId="1" xfId="0" applyFont="1" applyFill="1" applyBorder="1" applyAlignment="1">
      <alignment horizontal="center" vertical="center" wrapText="1"/>
    </xf>
    <xf numFmtId="0" fontId="33" fillId="37" borderId="16" xfId="0" applyFont="1" applyFill="1" applyBorder="1" applyAlignment="1">
      <alignment horizontal="center" vertical="center" wrapText="1"/>
    </xf>
    <xf numFmtId="0" fontId="33" fillId="37" borderId="34" xfId="0" applyFont="1" applyFill="1" applyBorder="1" applyAlignment="1">
      <alignment horizontal="left" vertical="top" wrapText="1"/>
    </xf>
    <xf numFmtId="9" fontId="37" fillId="37" borderId="1" xfId="0" applyNumberFormat="1" applyFont="1" applyFill="1" applyBorder="1" applyAlignment="1">
      <alignment horizontal="left" vertical="top" wrapText="1"/>
    </xf>
    <xf numFmtId="9" fontId="33" fillId="37" borderId="1" xfId="0" applyNumberFormat="1" applyFont="1" applyFill="1" applyBorder="1" applyAlignment="1">
      <alignment horizontal="left" vertical="top" wrapText="1"/>
    </xf>
    <xf numFmtId="0" fontId="33" fillId="37" borderId="16" xfId="0" applyFont="1" applyFill="1" applyBorder="1" applyAlignment="1">
      <alignment horizontal="left" vertical="top" wrapText="1"/>
    </xf>
    <xf numFmtId="0" fontId="33" fillId="37" borderId="15" xfId="0" applyFont="1" applyFill="1" applyBorder="1" applyAlignment="1">
      <alignment horizontal="left" vertical="top" wrapText="1"/>
    </xf>
    <xf numFmtId="0" fontId="33" fillId="37" borderId="0" xfId="0" applyFont="1" applyFill="1" applyAlignment="1">
      <alignment horizontal="left" vertical="center" wrapText="1"/>
    </xf>
    <xf numFmtId="0" fontId="33" fillId="37" borderId="0" xfId="0" applyFont="1" applyFill="1"/>
    <xf numFmtId="0" fontId="0" fillId="37" borderId="0" xfId="0" applyFill="1"/>
    <xf numFmtId="0" fontId="0" fillId="37" borderId="0" xfId="0" applyFill="1" applyAlignment="1">
      <alignment vertical="center"/>
    </xf>
    <xf numFmtId="9" fontId="48" fillId="16" borderId="44" xfId="0" applyNumberFormat="1" applyFont="1" applyFill="1" applyBorder="1" applyAlignment="1">
      <alignment horizontal="left" vertical="top" wrapText="1"/>
    </xf>
    <xf numFmtId="9" fontId="38" fillId="0" borderId="3" xfId="1" applyFont="1" applyBorder="1" applyAlignment="1">
      <alignment horizontal="left" vertical="top" wrapText="1"/>
    </xf>
    <xf numFmtId="0" fontId="5" fillId="19" borderId="2" xfId="0" applyFont="1" applyFill="1" applyBorder="1" applyAlignment="1">
      <alignment horizontal="left" vertical="top" wrapText="1"/>
    </xf>
    <xf numFmtId="0" fontId="5" fillId="19" borderId="4" xfId="0" applyFont="1" applyFill="1" applyBorder="1" applyAlignment="1">
      <alignment horizontal="left" vertical="top" wrapText="1"/>
    </xf>
    <xf numFmtId="0" fontId="5" fillId="15" borderId="2" xfId="0" applyFont="1" applyFill="1" applyBorder="1" applyAlignment="1">
      <alignment horizontal="left" vertical="top" wrapText="1"/>
    </xf>
    <xf numFmtId="0" fontId="5" fillId="15" borderId="3" xfId="0" applyFont="1" applyFill="1" applyBorder="1" applyAlignment="1">
      <alignment horizontal="left" vertical="top" wrapText="1"/>
    </xf>
    <xf numFmtId="0" fontId="5" fillId="15" borderId="4" xfId="0" applyFont="1" applyFill="1" applyBorder="1" applyAlignment="1">
      <alignment horizontal="left" vertical="top" wrapText="1"/>
    </xf>
    <xf numFmtId="0" fontId="5" fillId="30" borderId="4" xfId="0" applyFont="1" applyFill="1" applyBorder="1" applyAlignment="1">
      <alignment horizontal="left" vertical="top" wrapText="1"/>
    </xf>
    <xf numFmtId="0" fontId="5" fillId="28" borderId="2" xfId="0" applyFont="1" applyFill="1" applyBorder="1" applyAlignment="1">
      <alignment horizontal="left" vertical="top" wrapText="1"/>
    </xf>
    <xf numFmtId="0" fontId="5" fillId="28" borderId="3" xfId="0" applyFont="1" applyFill="1" applyBorder="1" applyAlignment="1">
      <alignment horizontal="left" vertical="top" wrapText="1"/>
    </xf>
    <xf numFmtId="0" fontId="5" fillId="21" borderId="2" xfId="0" applyFont="1" applyFill="1" applyBorder="1" applyAlignment="1">
      <alignment horizontal="center" vertical="top" wrapText="1"/>
    </xf>
    <xf numFmtId="0" fontId="5" fillId="21" borderId="3" xfId="0" applyFont="1" applyFill="1" applyBorder="1" applyAlignment="1">
      <alignment horizontal="center" vertical="top" wrapText="1"/>
    </xf>
    <xf numFmtId="0" fontId="5" fillId="21" borderId="2" xfId="0" applyFont="1" applyFill="1" applyBorder="1" applyAlignment="1">
      <alignment horizontal="left" vertical="top" wrapText="1"/>
    </xf>
    <xf numFmtId="0" fontId="5" fillId="21" borderId="4" xfId="0" applyFont="1" applyFill="1" applyBorder="1" applyAlignment="1">
      <alignment horizontal="left" vertical="top" wrapText="1"/>
    </xf>
    <xf numFmtId="0" fontId="5" fillId="21" borderId="3" xfId="0" applyFont="1" applyFill="1" applyBorder="1" applyAlignment="1">
      <alignment horizontal="left" vertical="top" wrapText="1"/>
    </xf>
    <xf numFmtId="0" fontId="14" fillId="27" borderId="2"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3" xfId="0" applyFont="1" applyFill="1" applyBorder="1" applyAlignment="1">
      <alignment horizontal="left" vertical="top" wrapText="1"/>
    </xf>
    <xf numFmtId="0" fontId="5" fillId="23" borderId="2" xfId="0" applyFont="1" applyFill="1" applyBorder="1" applyAlignment="1">
      <alignment horizontal="left" vertical="top" wrapText="1"/>
    </xf>
    <xf numFmtId="0" fontId="5" fillId="23" borderId="4" xfId="0" applyFont="1" applyFill="1" applyBorder="1" applyAlignment="1">
      <alignment horizontal="left" vertical="top" wrapText="1"/>
    </xf>
    <xf numFmtId="165" fontId="14" fillId="25" borderId="2" xfId="0" applyNumberFormat="1" applyFont="1" applyFill="1" applyBorder="1" applyAlignment="1">
      <alignment horizontal="left" vertical="top" wrapText="1"/>
    </xf>
    <xf numFmtId="165" fontId="14" fillId="25" borderId="4" xfId="0" applyNumberFormat="1"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14" fillId="15"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15" borderId="3" xfId="0" applyFont="1" applyFill="1" applyBorder="1" applyAlignment="1">
      <alignment horizontal="left" vertical="top" wrapText="1"/>
    </xf>
    <xf numFmtId="0" fontId="11" fillId="15" borderId="2" xfId="0" applyFont="1" applyFill="1" applyBorder="1" applyAlignment="1" applyProtection="1">
      <alignment horizontal="left" vertical="top" wrapText="1"/>
      <protection locked="0"/>
    </xf>
    <xf numFmtId="0" fontId="11" fillId="15" borderId="4" xfId="0" applyFont="1" applyFill="1" applyBorder="1" applyAlignment="1" applyProtection="1">
      <alignment horizontal="left" vertical="top" wrapText="1"/>
      <protection locked="0"/>
    </xf>
    <xf numFmtId="0" fontId="11" fillId="15" borderId="3" xfId="0" applyFont="1" applyFill="1" applyBorder="1" applyAlignment="1" applyProtection="1">
      <alignment horizontal="left" vertical="top" wrapText="1"/>
      <protection locked="0"/>
    </xf>
    <xf numFmtId="0" fontId="14" fillId="21" borderId="2" xfId="0" applyFont="1" applyFill="1" applyBorder="1" applyAlignment="1">
      <alignment horizontal="center" vertical="top" wrapText="1"/>
    </xf>
    <xf numFmtId="0" fontId="14" fillId="21" borderId="4" xfId="0" applyFont="1" applyFill="1" applyBorder="1" applyAlignment="1">
      <alignment horizontal="center" vertical="top" wrapText="1"/>
    </xf>
    <xf numFmtId="0" fontId="14" fillId="0" borderId="2"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3" xfId="0" applyFont="1" applyFill="1" applyBorder="1" applyAlignment="1">
      <alignment horizontal="left" vertical="top" wrapText="1"/>
    </xf>
    <xf numFmtId="0" fontId="82" fillId="0" borderId="2" xfId="15" applyFill="1" applyBorder="1" applyAlignment="1">
      <alignment horizontal="left" vertical="top" wrapText="1"/>
    </xf>
    <xf numFmtId="0" fontId="82" fillId="0" borderId="4" xfId="15" applyFill="1" applyBorder="1" applyAlignment="1">
      <alignment horizontal="left" vertical="top" wrapText="1"/>
    </xf>
    <xf numFmtId="0" fontId="82" fillId="0" borderId="3" xfId="15" applyFill="1" applyBorder="1" applyAlignment="1">
      <alignment horizontal="left" vertical="top" wrapText="1"/>
    </xf>
    <xf numFmtId="0" fontId="14" fillId="13" borderId="2" xfId="0" applyFont="1" applyFill="1" applyBorder="1" applyAlignment="1">
      <alignment horizontal="left" vertical="top" wrapText="1"/>
    </xf>
    <xf numFmtId="0" fontId="14" fillId="13" borderId="4" xfId="0" applyFont="1" applyFill="1" applyBorder="1" applyAlignment="1">
      <alignment horizontal="left" vertical="top" wrapText="1"/>
    </xf>
    <xf numFmtId="0" fontId="14" fillId="13" borderId="3" xfId="0" applyFont="1" applyFill="1" applyBorder="1" applyAlignment="1">
      <alignment horizontal="left" vertical="top" wrapText="1"/>
    </xf>
    <xf numFmtId="9" fontId="14" fillId="0" borderId="16" xfId="1" applyFont="1" applyFill="1" applyBorder="1" applyAlignment="1">
      <alignment horizontal="center" vertical="top" wrapText="1"/>
    </xf>
    <xf numFmtId="9" fontId="14" fillId="0" borderId="17" xfId="1" applyFont="1" applyFill="1" applyBorder="1" applyAlignment="1">
      <alignment horizontal="center" vertical="top" wrapText="1"/>
    </xf>
    <xf numFmtId="0" fontId="18" fillId="15" borderId="2" xfId="0" applyFont="1" applyFill="1" applyBorder="1" applyAlignment="1" applyProtection="1">
      <alignment horizontal="center" vertical="top" wrapText="1"/>
      <protection locked="0"/>
    </xf>
    <xf numFmtId="0" fontId="18" fillId="15" borderId="4" xfId="0" applyFont="1" applyFill="1" applyBorder="1" applyAlignment="1" applyProtection="1">
      <alignment horizontal="center" vertical="top" wrapText="1"/>
      <protection locked="0"/>
    </xf>
    <xf numFmtId="0" fontId="18" fillId="15" borderId="3" xfId="0" applyFont="1" applyFill="1" applyBorder="1" applyAlignment="1" applyProtection="1">
      <alignment horizontal="center" vertical="top" wrapText="1"/>
      <protection locked="0"/>
    </xf>
    <xf numFmtId="0" fontId="15" fillId="4" borderId="2" xfId="0" applyFont="1" applyFill="1" applyBorder="1" applyAlignment="1">
      <alignment horizontal="left" vertical="top" wrapText="1"/>
    </xf>
    <xf numFmtId="0" fontId="15" fillId="4" borderId="4" xfId="0" applyFont="1" applyFill="1" applyBorder="1" applyAlignment="1">
      <alignment horizontal="left" vertical="top" wrapText="1"/>
    </xf>
    <xf numFmtId="0" fontId="5" fillId="18" borderId="2" xfId="0" applyFont="1" applyFill="1" applyBorder="1" applyAlignment="1">
      <alignment horizontal="left" vertical="top" wrapText="1"/>
    </xf>
    <xf numFmtId="0" fontId="5" fillId="18" borderId="3" xfId="0" applyFont="1" applyFill="1" applyBorder="1" applyAlignment="1">
      <alignment horizontal="left" vertical="top" wrapText="1"/>
    </xf>
    <xf numFmtId="0" fontId="14" fillId="21" borderId="2" xfId="0" applyFont="1" applyFill="1" applyBorder="1" applyAlignment="1">
      <alignment horizontal="left" vertical="top" wrapText="1"/>
    </xf>
    <xf numFmtId="0" fontId="14" fillId="21" borderId="4"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2"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3" xfId="0" applyFont="1" applyFill="1" applyBorder="1" applyAlignment="1">
      <alignment horizontal="center" vertical="top" wrapText="1"/>
    </xf>
    <xf numFmtId="0" fontId="18" fillId="23" borderId="2"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5" fillId="4" borderId="2"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4" borderId="3" xfId="0" applyFont="1" applyFill="1" applyBorder="1" applyAlignment="1">
      <alignment horizontal="left" vertical="top" wrapText="1"/>
    </xf>
    <xf numFmtId="0" fontId="11" fillId="23" borderId="2" xfId="0" applyFont="1" applyFill="1" applyBorder="1" applyAlignment="1" applyProtection="1">
      <alignment horizontal="left" vertical="top" wrapText="1"/>
      <protection locked="0"/>
    </xf>
    <xf numFmtId="0" fontId="11" fillId="23" borderId="3" xfId="0" applyFont="1" applyFill="1" applyBorder="1" applyAlignment="1" applyProtection="1">
      <alignment horizontal="left" vertical="top" wrapText="1"/>
      <protection locked="0"/>
    </xf>
    <xf numFmtId="0" fontId="14" fillId="21" borderId="3" xfId="0" applyFont="1" applyFill="1" applyBorder="1" applyAlignment="1">
      <alignment horizontal="left" vertical="top" wrapText="1"/>
    </xf>
    <xf numFmtId="0" fontId="14" fillId="4" borderId="2" xfId="0" applyFont="1" applyFill="1" applyBorder="1" applyAlignment="1">
      <alignment horizontal="left" vertical="top" wrapText="1"/>
    </xf>
    <xf numFmtId="0" fontId="14" fillId="4" borderId="4" xfId="0" applyFont="1" applyFill="1" applyBorder="1" applyAlignment="1">
      <alignment horizontal="left" vertical="top" wrapText="1"/>
    </xf>
    <xf numFmtId="0" fontId="14" fillId="4" borderId="3" xfId="0" applyFont="1" applyFill="1" applyBorder="1" applyAlignment="1">
      <alignment horizontal="left" vertical="top" wrapText="1"/>
    </xf>
    <xf numFmtId="0" fontId="14" fillId="18" borderId="2" xfId="0" applyFont="1" applyFill="1" applyBorder="1" applyAlignment="1">
      <alignment horizontal="left" vertical="top" wrapText="1"/>
    </xf>
    <xf numFmtId="0" fontId="14" fillId="18" borderId="4" xfId="0" applyFont="1" applyFill="1" applyBorder="1" applyAlignment="1">
      <alignment horizontal="left" vertical="top" wrapText="1"/>
    </xf>
    <xf numFmtId="0" fontId="14" fillId="18" borderId="3" xfId="0" applyFont="1" applyFill="1" applyBorder="1" applyAlignment="1">
      <alignment horizontal="left" vertical="top" wrapText="1"/>
    </xf>
    <xf numFmtId="0" fontId="14" fillId="18" borderId="1"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5" fillId="18" borderId="4" xfId="0" applyFont="1" applyFill="1" applyBorder="1" applyAlignment="1">
      <alignment horizontal="left" vertical="top" wrapText="1"/>
    </xf>
    <xf numFmtId="0" fontId="14" fillId="14" borderId="2" xfId="0" applyFont="1" applyFill="1" applyBorder="1" applyAlignment="1">
      <alignment horizontal="center" vertical="top" wrapText="1"/>
    </xf>
    <xf numFmtId="0" fontId="14" fillId="14" borderId="3" xfId="0" applyFont="1" applyFill="1" applyBorder="1" applyAlignment="1">
      <alignment horizontal="center" vertical="top" wrapText="1"/>
    </xf>
    <xf numFmtId="0" fontId="5" fillId="14" borderId="2" xfId="0" applyFont="1" applyFill="1" applyBorder="1" applyAlignment="1">
      <alignment horizontal="center" vertical="top" wrapText="1"/>
    </xf>
    <xf numFmtId="0" fontId="5" fillId="14" borderId="3" xfId="0" applyFont="1" applyFill="1" applyBorder="1" applyAlignment="1">
      <alignment horizontal="center" vertical="top" wrapText="1"/>
    </xf>
    <xf numFmtId="0" fontId="5" fillId="21" borderId="4" xfId="0" applyFont="1" applyFill="1" applyBorder="1" applyAlignment="1">
      <alignment horizontal="center"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170" fontId="15" fillId="25" borderId="2" xfId="10" applyNumberFormat="1" applyFont="1" applyFill="1" applyBorder="1" applyAlignment="1">
      <alignment horizontal="center" vertical="top" wrapText="1"/>
    </xf>
    <xf numFmtId="170" fontId="15" fillId="25" borderId="4" xfId="10" applyNumberFormat="1" applyFont="1" applyFill="1" applyBorder="1" applyAlignment="1">
      <alignment horizontal="center" vertical="top" wrapText="1"/>
    </xf>
    <xf numFmtId="170" fontId="15" fillId="25" borderId="3" xfId="10" applyNumberFormat="1" applyFont="1" applyFill="1" applyBorder="1" applyAlignment="1">
      <alignment horizontal="center" vertical="top" wrapText="1"/>
    </xf>
    <xf numFmtId="0" fontId="81" fillId="0" borderId="78" xfId="0" applyFont="1" applyBorder="1" applyAlignment="1">
      <alignment horizontal="left" vertical="top" wrapText="1"/>
    </xf>
    <xf numFmtId="0" fontId="81" fillId="0" borderId="79" xfId="0" applyFont="1" applyBorder="1" applyAlignment="1">
      <alignment horizontal="left" vertical="top" wrapText="1"/>
    </xf>
    <xf numFmtId="0" fontId="63" fillId="2" borderId="1" xfId="0" applyFont="1" applyFill="1" applyBorder="1" applyAlignment="1">
      <alignment horizontal="left" vertical="top" wrapText="1"/>
    </xf>
    <xf numFmtId="0" fontId="8" fillId="0" borderId="64" xfId="0" applyFont="1" applyBorder="1" applyAlignment="1">
      <alignment horizontal="left" vertical="top" wrapText="1"/>
    </xf>
    <xf numFmtId="0" fontId="8" fillId="0" borderId="65" xfId="0" applyFont="1" applyBorder="1" applyAlignment="1">
      <alignment horizontal="left" vertical="top" wrapText="1"/>
    </xf>
    <xf numFmtId="0" fontId="8" fillId="0" borderId="76" xfId="0" applyFont="1" applyBorder="1" applyAlignment="1">
      <alignment horizontal="left" vertical="top" wrapText="1"/>
    </xf>
    <xf numFmtId="0" fontId="8" fillId="0" borderId="10" xfId="0" applyFont="1" applyBorder="1" applyAlignment="1">
      <alignment horizontal="left" vertical="top" wrapText="1"/>
    </xf>
    <xf numFmtId="0" fontId="8" fillId="0" borderId="67" xfId="0" applyFont="1" applyBorder="1" applyAlignment="1">
      <alignment horizontal="left" vertical="top" wrapText="1"/>
    </xf>
    <xf numFmtId="0" fontId="8" fillId="0" borderId="77" xfId="0" applyFont="1" applyBorder="1" applyAlignment="1">
      <alignment horizontal="left" vertical="top" wrapText="1"/>
    </xf>
    <xf numFmtId="0" fontId="5" fillId="13" borderId="2" xfId="0" applyFont="1" applyFill="1" applyBorder="1" applyAlignment="1">
      <alignment horizontal="left" vertical="top" wrapText="1"/>
    </xf>
    <xf numFmtId="0" fontId="5" fillId="13" borderId="4" xfId="0" applyFont="1" applyFill="1" applyBorder="1" applyAlignment="1">
      <alignment horizontal="left" vertical="top" wrapText="1"/>
    </xf>
    <xf numFmtId="0" fontId="5" fillId="13" borderId="3"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4" xfId="0" applyFont="1" applyFill="1" applyBorder="1" applyAlignment="1">
      <alignment horizontal="left" vertical="top" wrapText="1"/>
    </xf>
    <xf numFmtId="0" fontId="5" fillId="16" borderId="4" xfId="0" applyFont="1" applyFill="1" applyBorder="1" applyAlignment="1">
      <alignment horizontal="left" vertical="top" wrapText="1"/>
    </xf>
    <xf numFmtId="0" fontId="5" fillId="16" borderId="3" xfId="0" applyFont="1" applyFill="1" applyBorder="1" applyAlignment="1">
      <alignment horizontal="left" vertical="top" wrapText="1"/>
    </xf>
    <xf numFmtId="0" fontId="5" fillId="20" borderId="2" xfId="0" applyFont="1" applyFill="1" applyBorder="1" applyAlignment="1">
      <alignment horizontal="left" vertical="top" wrapText="1"/>
    </xf>
    <xf numFmtId="0" fontId="5" fillId="20" borderId="4" xfId="0" applyFont="1" applyFill="1" applyBorder="1" applyAlignment="1">
      <alignment horizontal="left" vertical="top" wrapText="1"/>
    </xf>
    <xf numFmtId="0" fontId="5" fillId="20" borderId="3" xfId="0" applyFont="1" applyFill="1" applyBorder="1" applyAlignment="1">
      <alignment horizontal="left" vertical="top" wrapText="1"/>
    </xf>
    <xf numFmtId="0" fontId="66" fillId="0" borderId="1"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left" vertical="top" wrapText="1"/>
    </xf>
    <xf numFmtId="0" fontId="8" fillId="0" borderId="68" xfId="0" applyFont="1" applyBorder="1" applyAlignment="1">
      <alignment horizontal="left" vertical="top" wrapText="1"/>
    </xf>
    <xf numFmtId="0" fontId="8" fillId="0" borderId="74" xfId="0" applyFont="1" applyBorder="1" applyAlignment="1">
      <alignment horizontal="left" vertical="top" wrapText="1"/>
    </xf>
    <xf numFmtId="0" fontId="8" fillId="0" borderId="71" xfId="0" applyFont="1" applyBorder="1" applyAlignment="1">
      <alignment horizontal="left" vertical="top" wrapText="1"/>
    </xf>
    <xf numFmtId="0" fontId="8" fillId="0" borderId="75" xfId="0" applyFont="1" applyBorder="1" applyAlignment="1">
      <alignment horizontal="left" vertical="top" wrapText="1"/>
    </xf>
    <xf numFmtId="0" fontId="67" fillId="0" borderId="7" xfId="0" applyFont="1" applyFill="1" applyBorder="1" applyAlignment="1">
      <alignment horizontal="left" vertical="top" wrapText="1"/>
    </xf>
    <xf numFmtId="0" fontId="67" fillId="0" borderId="6" xfId="0" applyFont="1" applyFill="1" applyBorder="1" applyAlignment="1">
      <alignment horizontal="left" vertical="top" wrapText="1"/>
    </xf>
    <xf numFmtId="0" fontId="67" fillId="0" borderId="5" xfId="0" applyFont="1" applyFill="1" applyBorder="1" applyAlignment="1">
      <alignment horizontal="left" vertical="top" wrapText="1"/>
    </xf>
    <xf numFmtId="0" fontId="8" fillId="0" borderId="69" xfId="0" applyFont="1" applyBorder="1" applyAlignment="1">
      <alignment horizontal="left" vertical="top" wrapText="1"/>
    </xf>
    <xf numFmtId="0" fontId="8" fillId="0" borderId="70" xfId="0" applyFont="1" applyBorder="1" applyAlignment="1">
      <alignment horizontal="left" vertical="top" wrapText="1"/>
    </xf>
    <xf numFmtId="0" fontId="8" fillId="0" borderId="72" xfId="0" applyFont="1" applyBorder="1" applyAlignment="1">
      <alignment horizontal="left" vertical="top" wrapText="1"/>
    </xf>
    <xf numFmtId="0" fontId="8" fillId="0" borderId="73" xfId="0" applyFont="1" applyBorder="1" applyAlignment="1">
      <alignment horizontal="left" vertical="top" wrapText="1"/>
    </xf>
    <xf numFmtId="0" fontId="65" fillId="0" borderId="16" xfId="0" applyFont="1" applyFill="1" applyBorder="1" applyAlignment="1">
      <alignment horizontal="left" vertical="top" wrapText="1"/>
    </xf>
    <xf numFmtId="0" fontId="65" fillId="0" borderId="17" xfId="0" applyFont="1" applyFill="1" applyBorder="1" applyAlignment="1">
      <alignment horizontal="left" vertical="top" wrapText="1"/>
    </xf>
    <xf numFmtId="0" fontId="65" fillId="0" borderId="18" xfId="0" applyFont="1" applyFill="1" applyBorder="1" applyAlignment="1">
      <alignment horizontal="left" vertical="top" wrapText="1"/>
    </xf>
    <xf numFmtId="0" fontId="8" fillId="0" borderId="66" xfId="0" applyFont="1" applyBorder="1" applyAlignment="1">
      <alignment horizontal="left" vertical="top" wrapText="1"/>
    </xf>
    <xf numFmtId="0" fontId="8" fillId="0" borderId="8" xfId="0" applyFont="1" applyBorder="1" applyAlignment="1">
      <alignment horizontal="left" vertical="top" wrapText="1"/>
    </xf>
    <xf numFmtId="0" fontId="14" fillId="6" borderId="2" xfId="3" applyFont="1" applyFill="1" applyBorder="1" applyAlignment="1">
      <alignment horizontal="center" vertical="top" wrapText="1"/>
    </xf>
    <xf numFmtId="0" fontId="14" fillId="6" borderId="4" xfId="3" applyFont="1" applyFill="1" applyBorder="1" applyAlignment="1">
      <alignment horizontal="center" vertical="top" wrapText="1"/>
    </xf>
    <xf numFmtId="0" fontId="14" fillId="6" borderId="3" xfId="3" applyFont="1" applyFill="1" applyBorder="1" applyAlignment="1">
      <alignment horizontal="center" vertical="top" wrapText="1"/>
    </xf>
    <xf numFmtId="0" fontId="15" fillId="7" borderId="2" xfId="0" applyFont="1" applyFill="1" applyBorder="1" applyAlignment="1">
      <alignment horizontal="center" vertical="top" wrapText="1"/>
    </xf>
    <xf numFmtId="0" fontId="15" fillId="7" borderId="4" xfId="0" applyFont="1" applyFill="1" applyBorder="1" applyAlignment="1">
      <alignment horizontal="center" vertical="top" wrapText="1"/>
    </xf>
    <xf numFmtId="0" fontId="15" fillId="7" borderId="3" xfId="0" applyFont="1" applyFill="1" applyBorder="1" applyAlignment="1">
      <alignment horizontal="center" vertical="top" wrapText="1"/>
    </xf>
    <xf numFmtId="0" fontId="14" fillId="11" borderId="2" xfId="0" applyFont="1" applyFill="1" applyBorder="1" applyAlignment="1">
      <alignment horizontal="left" vertical="top" wrapText="1"/>
    </xf>
    <xf numFmtId="0" fontId="14" fillId="11" borderId="4" xfId="0" applyFont="1" applyFill="1" applyBorder="1" applyAlignment="1">
      <alignment horizontal="left" vertical="top" wrapText="1"/>
    </xf>
    <xf numFmtId="0" fontId="14" fillId="11" borderId="3" xfId="0" applyFont="1" applyFill="1" applyBorder="1" applyAlignment="1">
      <alignment horizontal="left" vertical="top" wrapText="1"/>
    </xf>
    <xf numFmtId="0" fontId="14" fillId="6" borderId="2" xfId="3" applyFont="1" applyFill="1" applyBorder="1" applyAlignment="1">
      <alignment horizontal="left" vertical="top" wrapText="1"/>
    </xf>
    <xf numFmtId="0" fontId="14" fillId="6" borderId="4" xfId="3" applyFont="1" applyFill="1" applyBorder="1" applyAlignment="1">
      <alignment horizontal="left" vertical="top" wrapText="1"/>
    </xf>
    <xf numFmtId="0" fontId="14" fillId="23" borderId="2" xfId="0" applyFont="1" applyFill="1" applyBorder="1" applyAlignment="1">
      <alignment horizontal="left" vertical="top" wrapText="1"/>
    </xf>
    <xf numFmtId="0" fontId="14" fillId="23" borderId="4" xfId="0" applyFont="1" applyFill="1" applyBorder="1" applyAlignment="1">
      <alignment horizontal="left" vertical="top" wrapText="1"/>
    </xf>
    <xf numFmtId="0" fontId="14" fillId="23" borderId="3" xfId="0" applyFont="1" applyFill="1" applyBorder="1" applyAlignment="1">
      <alignment horizontal="left" vertical="top" wrapText="1"/>
    </xf>
    <xf numFmtId="0" fontId="62" fillId="22" borderId="1" xfId="0" applyFont="1" applyFill="1" applyBorder="1" applyAlignment="1">
      <alignment horizontal="left" vertical="top" wrapText="1"/>
    </xf>
    <xf numFmtId="0" fontId="68" fillId="2" borderId="1" xfId="0" applyFont="1" applyFill="1" applyBorder="1" applyAlignment="1">
      <alignment horizontal="left" vertical="top" wrapText="1"/>
    </xf>
    <xf numFmtId="0" fontId="69" fillId="2" borderId="1" xfId="0"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3" xfId="0" applyFont="1" applyFill="1" applyBorder="1" applyAlignment="1">
      <alignment horizontal="left" vertical="top" wrapText="1"/>
    </xf>
    <xf numFmtId="0" fontId="63" fillId="2" borderId="2" xfId="0" applyFont="1" applyFill="1" applyBorder="1" applyAlignment="1">
      <alignment horizontal="left" vertical="top"/>
    </xf>
    <xf numFmtId="0" fontId="63" fillId="2" borderId="3" xfId="0" applyFont="1" applyFill="1" applyBorder="1" applyAlignment="1">
      <alignment horizontal="left" vertical="top"/>
    </xf>
    <xf numFmtId="0" fontId="15" fillId="3" borderId="4"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3" xfId="0" applyFont="1" applyFill="1" applyBorder="1" applyAlignment="1">
      <alignment horizontal="left" vertical="top" wrapText="1"/>
    </xf>
    <xf numFmtId="0" fontId="5" fillId="11" borderId="2" xfId="0" applyFont="1" applyFill="1" applyBorder="1" applyAlignment="1">
      <alignment horizontal="left" vertical="top" wrapText="1"/>
    </xf>
    <xf numFmtId="0" fontId="5" fillId="11" borderId="4" xfId="0" applyFont="1" applyFill="1" applyBorder="1" applyAlignment="1">
      <alignment horizontal="left" vertical="top" wrapText="1"/>
    </xf>
    <xf numFmtId="0" fontId="5" fillId="11" borderId="3"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4" xfId="0" applyFont="1" applyFill="1" applyBorder="1" applyAlignment="1">
      <alignment horizontal="left" vertical="top" wrapText="1"/>
    </xf>
    <xf numFmtId="0" fontId="5" fillId="14" borderId="3" xfId="0" applyFont="1" applyFill="1" applyBorder="1" applyAlignment="1">
      <alignment horizontal="left" vertical="top" wrapText="1"/>
    </xf>
    <xf numFmtId="0" fontId="5" fillId="19" borderId="3" xfId="0" applyFont="1" applyFill="1" applyBorder="1" applyAlignment="1">
      <alignment horizontal="left" vertical="top" wrapText="1"/>
    </xf>
    <xf numFmtId="0" fontId="15" fillId="6" borderId="2" xfId="0" applyFont="1" applyFill="1" applyBorder="1" applyAlignment="1">
      <alignment horizontal="left" vertical="top" wrapText="1"/>
    </xf>
    <xf numFmtId="0" fontId="15" fillId="6" borderId="4" xfId="0" applyFont="1" applyFill="1" applyBorder="1" applyAlignment="1">
      <alignment horizontal="left" vertical="top" wrapText="1"/>
    </xf>
    <xf numFmtId="0" fontId="15" fillId="6" borderId="3" xfId="0" applyFont="1" applyFill="1" applyBorder="1" applyAlignment="1">
      <alignment horizontal="left" vertical="top" wrapText="1"/>
    </xf>
    <xf numFmtId="0" fontId="5" fillId="13" borderId="1" xfId="0" applyFont="1" applyFill="1" applyBorder="1" applyAlignment="1">
      <alignment horizontal="left" vertical="top" wrapText="1"/>
    </xf>
    <xf numFmtId="0" fontId="5" fillId="16"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8" borderId="4" xfId="0" applyFont="1" applyFill="1" applyBorder="1" applyAlignment="1">
      <alignment horizontal="left" vertical="top" wrapText="1"/>
    </xf>
    <xf numFmtId="0" fontId="5" fillId="8" borderId="3"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7" borderId="4" xfId="0" applyFont="1" applyFill="1" applyBorder="1" applyAlignment="1">
      <alignment horizontal="left" vertical="top" wrapText="1"/>
    </xf>
    <xf numFmtId="0" fontId="14" fillId="7" borderId="3" xfId="0" applyFont="1" applyFill="1" applyBorder="1" applyAlignment="1">
      <alignment horizontal="left" vertical="top" wrapText="1"/>
    </xf>
    <xf numFmtId="0" fontId="15" fillId="17" borderId="2" xfId="0" applyFont="1" applyFill="1" applyBorder="1" applyAlignment="1">
      <alignment horizontal="left" vertical="top" wrapText="1"/>
    </xf>
    <xf numFmtId="0" fontId="15" fillId="17" borderId="4" xfId="0" applyFont="1" applyFill="1" applyBorder="1" applyAlignment="1">
      <alignment horizontal="left" vertical="top" wrapText="1"/>
    </xf>
    <xf numFmtId="0" fontId="15" fillId="17" borderId="3" xfId="0" applyFont="1" applyFill="1" applyBorder="1" applyAlignment="1">
      <alignment horizontal="left" vertical="top" wrapText="1"/>
    </xf>
    <xf numFmtId="0" fontId="15" fillId="27" borderId="2" xfId="0" applyFont="1" applyFill="1" applyBorder="1" applyAlignment="1">
      <alignment horizontal="left" vertical="top" wrapText="1"/>
    </xf>
    <xf numFmtId="0" fontId="15" fillId="27" borderId="3" xfId="0" applyFont="1" applyFill="1" applyBorder="1" applyAlignment="1">
      <alignment horizontal="left" vertical="top" wrapText="1"/>
    </xf>
    <xf numFmtId="0" fontId="14" fillId="6" borderId="2" xfId="0" applyFont="1" applyFill="1" applyBorder="1" applyAlignment="1">
      <alignment horizontal="left" vertical="top" wrapText="1"/>
    </xf>
    <xf numFmtId="0" fontId="14" fillId="6" borderId="4" xfId="0" applyFont="1" applyFill="1" applyBorder="1" applyAlignment="1">
      <alignment horizontal="left" vertical="top" wrapText="1"/>
    </xf>
    <xf numFmtId="0" fontId="14" fillId="6" borderId="3" xfId="0" applyFont="1" applyFill="1" applyBorder="1" applyAlignment="1">
      <alignment horizontal="left" vertical="top" wrapText="1"/>
    </xf>
    <xf numFmtId="0" fontId="5" fillId="7" borderId="2" xfId="0" applyFont="1" applyFill="1" applyBorder="1" applyAlignment="1">
      <alignment horizontal="left" vertical="top" wrapText="1"/>
    </xf>
    <xf numFmtId="0" fontId="5" fillId="7" borderId="4" xfId="0" applyFont="1" applyFill="1" applyBorder="1" applyAlignment="1">
      <alignment horizontal="left" vertical="top" wrapText="1"/>
    </xf>
    <xf numFmtId="0" fontId="5" fillId="7" borderId="3"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0" borderId="2" xfId="0" applyFont="1" applyFill="1" applyBorder="1" applyAlignment="1">
      <alignment horizontal="left" vertical="top" wrapText="1"/>
    </xf>
    <xf numFmtId="0" fontId="14" fillId="10" borderId="3" xfId="0" applyFont="1" applyFill="1" applyBorder="1" applyAlignment="1">
      <alignment horizontal="left" vertical="top" wrapText="1"/>
    </xf>
    <xf numFmtId="0" fontId="14" fillId="4" borderId="2" xfId="3" applyFont="1" applyFill="1" applyBorder="1" applyAlignment="1">
      <alignment horizontal="left" vertical="top" wrapText="1"/>
    </xf>
    <xf numFmtId="0" fontId="14" fillId="4" borderId="4" xfId="3" applyFont="1" applyFill="1" applyBorder="1" applyAlignment="1">
      <alignment horizontal="left" vertical="top" wrapText="1"/>
    </xf>
    <xf numFmtId="0" fontId="14" fillId="4" borderId="3" xfId="3"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4" xfId="0" applyFont="1" applyFill="1" applyBorder="1" applyAlignment="1">
      <alignment horizontal="left" vertical="top" wrapText="1"/>
    </xf>
    <xf numFmtId="0" fontId="14" fillId="12" borderId="3" xfId="0" applyFont="1" applyFill="1" applyBorder="1" applyAlignment="1">
      <alignment horizontal="left" vertical="top" wrapText="1"/>
    </xf>
    <xf numFmtId="0" fontId="10" fillId="4" borderId="2" xfId="0" applyFont="1" applyFill="1" applyBorder="1" applyAlignment="1">
      <alignment horizontal="left" vertical="top" wrapText="1"/>
    </xf>
    <xf numFmtId="0" fontId="10" fillId="4" borderId="4" xfId="0" applyFont="1" applyFill="1" applyBorder="1" applyAlignment="1">
      <alignment horizontal="left" vertical="top" wrapText="1"/>
    </xf>
    <xf numFmtId="0" fontId="10" fillId="4" borderId="3" xfId="0" applyFont="1" applyFill="1" applyBorder="1" applyAlignment="1">
      <alignment horizontal="left" vertical="top" wrapText="1"/>
    </xf>
    <xf numFmtId="0" fontId="5" fillId="3" borderId="2"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3" xfId="0" applyFont="1" applyFill="1" applyBorder="1" applyAlignment="1">
      <alignment horizontal="center" vertical="top" wrapText="1"/>
    </xf>
    <xf numFmtId="0" fontId="64" fillId="0" borderId="16" xfId="0" applyFont="1" applyFill="1" applyBorder="1" applyAlignment="1">
      <alignment horizontal="left" vertical="top" wrapText="1"/>
    </xf>
    <xf numFmtId="0" fontId="64" fillId="0" borderId="17" xfId="0" applyFont="1" applyFill="1" applyBorder="1" applyAlignment="1">
      <alignment horizontal="left" vertical="top" wrapText="1"/>
    </xf>
    <xf numFmtId="0" fontId="64" fillId="0" borderId="18" xfId="0" applyFont="1" applyFill="1" applyBorder="1" applyAlignment="1">
      <alignment horizontal="left" vertical="top" wrapText="1"/>
    </xf>
    <xf numFmtId="0" fontId="14" fillId="29" borderId="2" xfId="0" applyFont="1" applyFill="1" applyBorder="1" applyAlignment="1">
      <alignment horizontal="left" vertical="top" wrapText="1"/>
    </xf>
    <xf numFmtId="0" fontId="14" fillId="29" borderId="4" xfId="0" applyFont="1" applyFill="1" applyBorder="1" applyAlignment="1">
      <alignment horizontal="left" vertical="top" wrapText="1"/>
    </xf>
    <xf numFmtId="0" fontId="14" fillId="29" borderId="3" xfId="0" applyFont="1" applyFill="1" applyBorder="1" applyAlignment="1">
      <alignment horizontal="left" vertical="top" wrapText="1"/>
    </xf>
    <xf numFmtId="0" fontId="5" fillId="27" borderId="2" xfId="0" applyFont="1" applyFill="1" applyBorder="1" applyAlignment="1">
      <alignment horizontal="left" vertical="top" wrapText="1"/>
    </xf>
    <xf numFmtId="0" fontId="5" fillId="27" borderId="4" xfId="0" applyFont="1" applyFill="1" applyBorder="1" applyAlignment="1">
      <alignment horizontal="left" vertical="top" wrapText="1"/>
    </xf>
    <xf numFmtId="0" fontId="5" fillId="27" borderId="3"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35" borderId="4" xfId="0" applyFont="1" applyFill="1" applyBorder="1" applyAlignment="1">
      <alignment horizontal="left" vertical="top" wrapText="1"/>
    </xf>
    <xf numFmtId="0" fontId="14" fillId="35" borderId="3"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3" borderId="3" xfId="0" applyFont="1" applyFill="1" applyBorder="1" applyAlignment="1">
      <alignment horizontal="left" vertical="top" wrapText="1"/>
    </xf>
    <xf numFmtId="0" fontId="15" fillId="3" borderId="2" xfId="0" applyFont="1" applyFill="1" applyBorder="1" applyAlignment="1">
      <alignment horizontal="center" vertical="top" wrapText="1"/>
    </xf>
    <xf numFmtId="0" fontId="15" fillId="3" borderId="4" xfId="0" applyFont="1" applyFill="1" applyBorder="1" applyAlignment="1">
      <alignment horizontal="center" vertical="top" wrapText="1"/>
    </xf>
    <xf numFmtId="0" fontId="5" fillId="12" borderId="2" xfId="0" applyFont="1" applyFill="1" applyBorder="1" applyAlignment="1">
      <alignment horizontal="left" vertical="top" wrapText="1"/>
    </xf>
    <xf numFmtId="0" fontId="5" fillId="12" borderId="4" xfId="0" applyFont="1" applyFill="1" applyBorder="1" applyAlignment="1">
      <alignment horizontal="left" vertical="top" wrapText="1"/>
    </xf>
    <xf numFmtId="0" fontId="5" fillId="12" borderId="3" xfId="0" applyFont="1" applyFill="1" applyBorder="1" applyAlignment="1">
      <alignment horizontal="left" vertical="top" wrapText="1"/>
    </xf>
    <xf numFmtId="0" fontId="5" fillId="29" borderId="2" xfId="0" applyFont="1" applyFill="1" applyBorder="1" applyAlignment="1">
      <alignment horizontal="left" vertical="top" wrapText="1"/>
    </xf>
    <xf numFmtId="0" fontId="5" fillId="29" borderId="4" xfId="0" applyFont="1" applyFill="1" applyBorder="1" applyAlignment="1">
      <alignment horizontal="left" vertical="top" wrapText="1"/>
    </xf>
    <xf numFmtId="0" fontId="5" fillId="29" borderId="3" xfId="0" applyFont="1" applyFill="1" applyBorder="1" applyAlignment="1">
      <alignment horizontal="left" vertical="top" wrapText="1"/>
    </xf>
    <xf numFmtId="0" fontId="14" fillId="0" borderId="21" xfId="0" applyFont="1" applyFill="1" applyBorder="1" applyAlignment="1">
      <alignment horizontal="left" vertical="top" wrapText="1"/>
    </xf>
    <xf numFmtId="0" fontId="14" fillId="0" borderId="19" xfId="0" applyFont="1" applyFill="1" applyBorder="1" applyAlignment="1">
      <alignment horizontal="left" vertical="top" wrapText="1"/>
    </xf>
    <xf numFmtId="0" fontId="5" fillId="35" borderId="1" xfId="0" applyFont="1" applyFill="1" applyBorder="1" applyAlignment="1">
      <alignment horizontal="left" vertical="top" wrapText="1"/>
    </xf>
    <xf numFmtId="0" fontId="5" fillId="31" borderId="2" xfId="0" applyFont="1" applyFill="1" applyBorder="1" applyAlignment="1">
      <alignment horizontal="left" vertical="top" wrapText="1"/>
    </xf>
    <xf numFmtId="0" fontId="5" fillId="31" borderId="4" xfId="0" applyFont="1" applyFill="1" applyBorder="1" applyAlignment="1">
      <alignment horizontal="left" vertical="top" wrapText="1"/>
    </xf>
    <xf numFmtId="0" fontId="5" fillId="31" borderId="3" xfId="0" applyFont="1" applyFill="1" applyBorder="1" applyAlignment="1">
      <alignment horizontal="left" vertical="top" wrapText="1"/>
    </xf>
    <xf numFmtId="0" fontId="5" fillId="24" borderId="1" xfId="0" applyFont="1" applyFill="1" applyBorder="1" applyAlignment="1">
      <alignment horizontal="left" vertical="top" wrapText="1"/>
    </xf>
    <xf numFmtId="0" fontId="5" fillId="35" borderId="2" xfId="0" applyFont="1" applyFill="1" applyBorder="1" applyAlignment="1">
      <alignment horizontal="left" vertical="top" wrapText="1"/>
    </xf>
    <xf numFmtId="0" fontId="5" fillId="35" borderId="4" xfId="0" applyFont="1" applyFill="1" applyBorder="1" applyAlignment="1">
      <alignment horizontal="left" vertical="top" wrapText="1"/>
    </xf>
    <xf numFmtId="0" fontId="5" fillId="35" borderId="3" xfId="0" applyFont="1" applyFill="1" applyBorder="1" applyAlignment="1">
      <alignment horizontal="left" vertical="top" wrapText="1"/>
    </xf>
    <xf numFmtId="0" fontId="10" fillId="15" borderId="2"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4" borderId="1" xfId="0" applyFont="1" applyFill="1" applyBorder="1" applyAlignment="1">
      <alignment horizontal="left" vertical="top" wrapText="1"/>
    </xf>
    <xf numFmtId="0" fontId="5" fillId="0" borderId="19" xfId="0" applyFont="1" applyFill="1" applyBorder="1" applyAlignment="1">
      <alignment horizontal="left" vertical="top" wrapText="1"/>
    </xf>
    <xf numFmtId="0" fontId="14" fillId="18" borderId="2" xfId="0" applyFont="1" applyFill="1" applyBorder="1" applyAlignment="1">
      <alignment horizontal="left" vertical="top"/>
    </xf>
    <xf numFmtId="0" fontId="14" fillId="18" borderId="4" xfId="0" applyFont="1" applyFill="1" applyBorder="1" applyAlignment="1">
      <alignment horizontal="left" vertical="top"/>
    </xf>
    <xf numFmtId="0" fontId="14" fillId="18" borderId="3" xfId="0" applyFont="1" applyFill="1" applyBorder="1" applyAlignment="1">
      <alignment horizontal="left" vertical="top"/>
    </xf>
    <xf numFmtId="0" fontId="10" fillId="7" borderId="2" xfId="0" applyFont="1" applyFill="1" applyBorder="1" applyAlignment="1">
      <alignment horizontal="left" vertical="top" wrapText="1"/>
    </xf>
    <xf numFmtId="0" fontId="10" fillId="7" borderId="4" xfId="0" applyFont="1" applyFill="1" applyBorder="1" applyAlignment="1">
      <alignment horizontal="left" vertical="top" wrapText="1"/>
    </xf>
    <xf numFmtId="0" fontId="10" fillId="7" borderId="3" xfId="0" applyFont="1" applyFill="1" applyBorder="1" applyAlignment="1">
      <alignment horizontal="left" vertical="top" wrapText="1"/>
    </xf>
    <xf numFmtId="0" fontId="15" fillId="7" borderId="2" xfId="0" applyFont="1" applyFill="1" applyBorder="1" applyAlignment="1">
      <alignment horizontal="left" vertical="top" wrapText="1"/>
    </xf>
    <xf numFmtId="0" fontId="15" fillId="7" borderId="4" xfId="0" applyFont="1" applyFill="1" applyBorder="1" applyAlignment="1">
      <alignment horizontal="left" vertical="top" wrapText="1"/>
    </xf>
    <xf numFmtId="0" fontId="15" fillId="7" borderId="3" xfId="0" applyFont="1" applyFill="1" applyBorder="1" applyAlignment="1">
      <alignment horizontal="left" vertical="top" wrapText="1"/>
    </xf>
    <xf numFmtId="0" fontId="5" fillId="18" borderId="2" xfId="0" applyFont="1" applyFill="1" applyBorder="1" applyAlignment="1">
      <alignment horizontal="center" vertical="top" wrapText="1"/>
    </xf>
    <xf numFmtId="0" fontId="5" fillId="18" borderId="4" xfId="0" applyFont="1" applyFill="1" applyBorder="1" applyAlignment="1">
      <alignment horizontal="center" vertical="top" wrapText="1"/>
    </xf>
    <xf numFmtId="0" fontId="5" fillId="18" borderId="3" xfId="0" applyFont="1" applyFill="1" applyBorder="1" applyAlignment="1">
      <alignment horizontal="center" vertical="top" wrapText="1"/>
    </xf>
    <xf numFmtId="0" fontId="5" fillId="4" borderId="1" xfId="0" applyFont="1" applyFill="1" applyBorder="1" applyAlignment="1">
      <alignment horizontal="left" vertical="top" wrapText="1"/>
    </xf>
    <xf numFmtId="0" fontId="5" fillId="7" borderId="2" xfId="0" applyFont="1" applyFill="1" applyBorder="1" applyAlignment="1">
      <alignment horizontal="center" vertical="top" wrapText="1"/>
    </xf>
    <xf numFmtId="0" fontId="5" fillId="7" borderId="4" xfId="0" applyFont="1" applyFill="1" applyBorder="1" applyAlignment="1">
      <alignment horizontal="center" vertical="top" wrapText="1"/>
    </xf>
    <xf numFmtId="0" fontId="5" fillId="7" borderId="3" xfId="0" applyFont="1" applyFill="1" applyBorder="1" applyAlignment="1">
      <alignment horizontal="center" vertical="top" wrapText="1"/>
    </xf>
    <xf numFmtId="0" fontId="14" fillId="7" borderId="2" xfId="0" applyFont="1" applyFill="1" applyBorder="1" applyAlignment="1">
      <alignment horizontal="center" vertical="top" wrapText="1"/>
    </xf>
    <xf numFmtId="0" fontId="14" fillId="7" borderId="4" xfId="0" applyFont="1" applyFill="1" applyBorder="1" applyAlignment="1">
      <alignment horizontal="center" vertical="top" wrapText="1"/>
    </xf>
    <xf numFmtId="0" fontId="14" fillId="7" borderId="3" xfId="0" applyFont="1" applyFill="1" applyBorder="1" applyAlignment="1">
      <alignment horizontal="center" vertical="top" wrapText="1"/>
    </xf>
    <xf numFmtId="0" fontId="14" fillId="5" borderId="2" xfId="0" applyFont="1" applyFill="1" applyBorder="1" applyAlignment="1">
      <alignment horizontal="left" vertical="top" wrapText="1"/>
    </xf>
    <xf numFmtId="0" fontId="14" fillId="5" borderId="4" xfId="0" applyFont="1" applyFill="1" applyBorder="1" applyAlignment="1">
      <alignment horizontal="left" vertical="top" wrapText="1"/>
    </xf>
    <xf numFmtId="0" fontId="14" fillId="5" borderId="3" xfId="0" applyFont="1" applyFill="1" applyBorder="1" applyAlignment="1">
      <alignment horizontal="left" vertical="top" wrapText="1"/>
    </xf>
    <xf numFmtId="0" fontId="10" fillId="6" borderId="2" xfId="0" applyFont="1" applyFill="1" applyBorder="1" applyAlignment="1">
      <alignment horizontal="center" vertical="top" wrapText="1"/>
    </xf>
    <xf numFmtId="0" fontId="10" fillId="6" borderId="4" xfId="0" applyFont="1" applyFill="1" applyBorder="1" applyAlignment="1">
      <alignment horizontal="center" vertical="top" wrapText="1"/>
    </xf>
    <xf numFmtId="0" fontId="10" fillId="6" borderId="2" xfId="0" applyFont="1" applyFill="1" applyBorder="1" applyAlignment="1">
      <alignment horizontal="left" vertical="top" wrapText="1"/>
    </xf>
    <xf numFmtId="0" fontId="10" fillId="6" borderId="4" xfId="0" applyFont="1" applyFill="1" applyBorder="1" applyAlignment="1">
      <alignment horizontal="left" vertical="top" wrapText="1"/>
    </xf>
    <xf numFmtId="0" fontId="10" fillId="6" borderId="3" xfId="0" applyFont="1" applyFill="1" applyBorder="1" applyAlignment="1">
      <alignment horizontal="left" vertical="top" wrapText="1"/>
    </xf>
    <xf numFmtId="0" fontId="10" fillId="6" borderId="3" xfId="0" applyFont="1" applyFill="1" applyBorder="1" applyAlignment="1">
      <alignment horizontal="center" vertical="top" wrapText="1"/>
    </xf>
    <xf numFmtId="0" fontId="5" fillId="26" borderId="2" xfId="0" applyFont="1" applyFill="1" applyBorder="1" applyAlignment="1">
      <alignment horizontal="left" vertical="top" wrapText="1"/>
    </xf>
    <xf numFmtId="0" fontId="5" fillId="26" borderId="4" xfId="0" applyFont="1" applyFill="1" applyBorder="1" applyAlignment="1">
      <alignment horizontal="left" vertical="top" wrapText="1"/>
    </xf>
    <xf numFmtId="0" fontId="5" fillId="26" borderId="3" xfId="0" applyFont="1" applyFill="1" applyBorder="1" applyAlignment="1">
      <alignment horizontal="left" vertical="top" wrapText="1"/>
    </xf>
    <xf numFmtId="0" fontId="15" fillId="6" borderId="2" xfId="0" applyFont="1" applyFill="1" applyBorder="1" applyAlignment="1">
      <alignment horizontal="center" vertical="top" wrapText="1"/>
    </xf>
    <xf numFmtId="0" fontId="15" fillId="6" borderId="4" xfId="0" applyFont="1" applyFill="1" applyBorder="1" applyAlignment="1">
      <alignment horizontal="center" vertical="top" wrapText="1"/>
    </xf>
    <xf numFmtId="0" fontId="15" fillId="6" borderId="3" xfId="0" applyFont="1" applyFill="1" applyBorder="1" applyAlignment="1">
      <alignment horizontal="center" vertical="top" wrapText="1"/>
    </xf>
    <xf numFmtId="0" fontId="5" fillId="6" borderId="2" xfId="0" applyFont="1" applyFill="1" applyBorder="1" applyAlignment="1">
      <alignment horizontal="center" vertical="top" wrapText="1"/>
    </xf>
    <xf numFmtId="0" fontId="5" fillId="6" borderId="4" xfId="0" applyFont="1" applyFill="1" applyBorder="1" applyAlignment="1">
      <alignment horizontal="center" vertical="top" wrapText="1"/>
    </xf>
    <xf numFmtId="0" fontId="5" fillId="23" borderId="3" xfId="0" applyFont="1" applyFill="1" applyBorder="1" applyAlignment="1">
      <alignment horizontal="left" vertical="top" wrapText="1"/>
    </xf>
    <xf numFmtId="0" fontId="10" fillId="4" borderId="2" xfId="0" applyFont="1" applyFill="1" applyBorder="1" applyAlignment="1">
      <alignment horizontal="center" vertical="top" wrapText="1"/>
    </xf>
    <xf numFmtId="0" fontId="10" fillId="4" borderId="3" xfId="0" applyFont="1" applyFill="1" applyBorder="1" applyAlignment="1">
      <alignment horizontal="center" vertical="top" wrapText="1"/>
    </xf>
    <xf numFmtId="0" fontId="15" fillId="3" borderId="1" xfId="0" applyFont="1" applyFill="1" applyBorder="1" applyAlignment="1">
      <alignment horizontal="left" vertical="top" wrapText="1"/>
    </xf>
    <xf numFmtId="0" fontId="5" fillId="24" borderId="2" xfId="0" applyFont="1" applyFill="1" applyBorder="1" applyAlignment="1">
      <alignment horizontal="center" vertical="top" wrapText="1"/>
    </xf>
    <xf numFmtId="0" fontId="5" fillId="24" borderId="4" xfId="0" applyFont="1" applyFill="1" applyBorder="1" applyAlignment="1">
      <alignment horizontal="center" vertical="top" wrapText="1"/>
    </xf>
    <xf numFmtId="0" fontId="5" fillId="6" borderId="4" xfId="0" applyFont="1" applyFill="1" applyBorder="1" applyAlignment="1">
      <alignment horizontal="left" vertical="top" wrapText="1"/>
    </xf>
    <xf numFmtId="0" fontId="63" fillId="2" borderId="2" xfId="0" applyFont="1" applyFill="1" applyBorder="1" applyAlignment="1">
      <alignment horizontal="center" vertical="top" wrapText="1"/>
    </xf>
    <xf numFmtId="0" fontId="63" fillId="2" borderId="3" xfId="0" applyFont="1" applyFill="1" applyBorder="1" applyAlignment="1">
      <alignment horizontal="center" vertical="top" wrapText="1"/>
    </xf>
    <xf numFmtId="0" fontId="14" fillId="21" borderId="3" xfId="0" applyFont="1" applyFill="1" applyBorder="1" applyAlignment="1">
      <alignment horizontal="center" vertical="top" wrapText="1"/>
    </xf>
    <xf numFmtId="0" fontId="14" fillId="6" borderId="3" xfId="3" applyFont="1" applyFill="1" applyBorder="1" applyAlignment="1">
      <alignment horizontal="left" vertical="top" wrapText="1"/>
    </xf>
    <xf numFmtId="0" fontId="5" fillId="29" borderId="2" xfId="0" applyFont="1" applyFill="1" applyBorder="1" applyAlignment="1">
      <alignment horizontal="center" vertical="top" wrapText="1"/>
    </xf>
    <xf numFmtId="0" fontId="5" fillId="29" borderId="4" xfId="0" applyFont="1" applyFill="1" applyBorder="1" applyAlignment="1">
      <alignment horizontal="center" vertical="top" wrapText="1"/>
    </xf>
    <xf numFmtId="0" fontId="5" fillId="29" borderId="3" xfId="0" applyFont="1" applyFill="1" applyBorder="1" applyAlignment="1">
      <alignment horizontal="center" vertical="top" wrapText="1"/>
    </xf>
    <xf numFmtId="0" fontId="14" fillId="13" borderId="1" xfId="0" applyFont="1" applyFill="1" applyBorder="1" applyAlignment="1">
      <alignment horizontal="left" vertical="top" wrapText="1"/>
    </xf>
    <xf numFmtId="0" fontId="5" fillId="19" borderId="1" xfId="0" applyFont="1" applyFill="1" applyBorder="1" applyAlignment="1">
      <alignment horizontal="center" vertical="top" wrapText="1"/>
    </xf>
    <xf numFmtId="0" fontId="5" fillId="5" borderId="1" xfId="0" applyFont="1" applyFill="1" applyBorder="1" applyAlignment="1">
      <alignment horizontal="center" vertical="top" wrapText="1"/>
    </xf>
    <xf numFmtId="0" fontId="11" fillId="23" borderId="4" xfId="0" applyFont="1" applyFill="1" applyBorder="1" applyAlignment="1" applyProtection="1">
      <alignment horizontal="left" vertical="top" wrapText="1"/>
      <protection locked="0"/>
    </xf>
    <xf numFmtId="0" fontId="5" fillId="8" borderId="2" xfId="0" applyFont="1" applyFill="1" applyBorder="1" applyAlignment="1">
      <alignment horizontal="center" vertical="top" wrapText="1"/>
    </xf>
    <xf numFmtId="0" fontId="5" fillId="8" borderId="4" xfId="0" applyFont="1" applyFill="1" applyBorder="1" applyAlignment="1">
      <alignment horizontal="center" vertical="top" wrapText="1"/>
    </xf>
    <xf numFmtId="0" fontId="5" fillId="8" borderId="3" xfId="0" applyFont="1" applyFill="1" applyBorder="1" applyAlignment="1">
      <alignment horizontal="center" vertical="top" wrapText="1"/>
    </xf>
    <xf numFmtId="0" fontId="0" fillId="0" borderId="1" xfId="0" applyBorder="1" applyAlignment="1">
      <alignment horizontal="center" vertical="top" wrapText="1"/>
    </xf>
    <xf numFmtId="0" fontId="22" fillId="11" borderId="1" xfId="0" applyFont="1" applyFill="1" applyBorder="1" applyAlignment="1">
      <alignment horizontal="center" vertical="center" wrapText="1"/>
    </xf>
    <xf numFmtId="0" fontId="22" fillId="11" borderId="52" xfId="0" applyFont="1" applyFill="1" applyBorder="1" applyAlignment="1">
      <alignment horizontal="center" vertical="center" wrapText="1"/>
    </xf>
    <xf numFmtId="0" fontId="22" fillId="11" borderId="0" xfId="0" applyFont="1" applyFill="1" applyAlignment="1">
      <alignment horizontal="center" vertical="center" wrapText="1"/>
    </xf>
    <xf numFmtId="0" fontId="22" fillId="11" borderId="61" xfId="0" applyFont="1" applyFill="1" applyBorder="1" applyAlignment="1">
      <alignment horizontal="center" vertical="center" wrapText="1"/>
    </xf>
    <xf numFmtId="0" fontId="22" fillId="11" borderId="62" xfId="0" applyFont="1" applyFill="1" applyBorder="1" applyAlignment="1">
      <alignment horizontal="center" vertical="center" wrapText="1"/>
    </xf>
    <xf numFmtId="0" fontId="22" fillId="11" borderId="63" xfId="0" applyFont="1" applyFill="1" applyBorder="1" applyAlignment="1">
      <alignment horizontal="center" vertical="center" wrapText="1"/>
    </xf>
    <xf numFmtId="0" fontId="0" fillId="0" borderId="1" xfId="0" applyBorder="1" applyAlignment="1">
      <alignment horizontal="center" vertical="center"/>
    </xf>
    <xf numFmtId="0" fontId="28" fillId="0" borderId="27" xfId="0" applyFont="1" applyBorder="1" applyAlignment="1">
      <alignment horizontal="center" vertical="center" wrapText="1"/>
    </xf>
    <xf numFmtId="0" fontId="29" fillId="0" borderId="27" xfId="0" applyFont="1" applyBorder="1" applyAlignment="1">
      <alignment horizontal="left" vertical="center" wrapText="1"/>
    </xf>
    <xf numFmtId="0" fontId="10" fillId="0" borderId="30" xfId="0" applyFont="1" applyBorder="1" applyAlignment="1">
      <alignment horizontal="left" vertical="center"/>
    </xf>
    <xf numFmtId="0" fontId="32" fillId="32" borderId="3" xfId="0" applyFont="1" applyFill="1" applyBorder="1" applyAlignment="1">
      <alignment horizontal="center" vertical="top" wrapText="1"/>
    </xf>
    <xf numFmtId="0" fontId="73" fillId="25" borderId="31" xfId="0" applyFont="1" applyFill="1" applyBorder="1" applyAlignment="1">
      <alignment horizontal="left" vertical="top" wrapText="1"/>
    </xf>
    <xf numFmtId="0" fontId="32" fillId="25" borderId="32" xfId="0" applyFont="1" applyFill="1" applyBorder="1" applyAlignment="1">
      <alignment horizontal="left" vertical="top"/>
    </xf>
    <xf numFmtId="0" fontId="32" fillId="25" borderId="33" xfId="0" applyFont="1" applyFill="1" applyBorder="1" applyAlignment="1">
      <alignment horizontal="left" vertical="top"/>
    </xf>
    <xf numFmtId="0" fontId="10" fillId="0" borderId="24" xfId="0" applyFont="1" applyBorder="1" applyAlignment="1">
      <alignment horizontal="center" vertical="center"/>
    </xf>
    <xf numFmtId="0" fontId="37" fillId="25" borderId="1" xfId="0" applyFont="1" applyFill="1" applyBorder="1" applyAlignment="1">
      <alignment horizontal="left" vertical="top" wrapText="1"/>
    </xf>
    <xf numFmtId="0" fontId="33" fillId="0" borderId="2" xfId="0" applyFont="1" applyBorder="1" applyAlignment="1">
      <alignment horizontal="center" vertical="center" wrapText="1"/>
    </xf>
    <xf numFmtId="0" fontId="33" fillId="26" borderId="4"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0" borderId="3" xfId="0" applyFont="1" applyBorder="1" applyAlignment="1">
      <alignment horizontal="center" vertical="center" wrapText="1"/>
    </xf>
    <xf numFmtId="0" fontId="33" fillId="25" borderId="1" xfId="0" applyFont="1" applyFill="1" applyBorder="1" applyAlignment="1">
      <alignment horizontal="left" vertical="top"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3" xfId="0" applyFont="1" applyBorder="1" applyAlignment="1">
      <alignment horizontal="center" vertical="center" wrapText="1"/>
    </xf>
    <xf numFmtId="0" fontId="78" fillId="0" borderId="78" xfId="0" applyFont="1" applyBorder="1" applyAlignment="1">
      <alignment horizontal="left" vertical="top" wrapText="1"/>
    </xf>
    <xf numFmtId="0" fontId="78" fillId="0" borderId="79" xfId="0" applyFont="1" applyBorder="1" applyAlignment="1">
      <alignment horizontal="left" vertical="top" wrapText="1"/>
    </xf>
    <xf numFmtId="0" fontId="74" fillId="25" borderId="17" xfId="0" applyFont="1" applyFill="1" applyBorder="1" applyAlignment="1">
      <alignment horizontal="left" vertical="top" wrapText="1"/>
    </xf>
    <xf numFmtId="0" fontId="75" fillId="25" borderId="17" xfId="0" applyFont="1" applyFill="1" applyBorder="1" applyAlignment="1">
      <alignment horizontal="left" vertical="top" wrapText="1"/>
    </xf>
    <xf numFmtId="0" fontId="75" fillId="25" borderId="18" xfId="0" applyFont="1" applyFill="1" applyBorder="1" applyAlignment="1">
      <alignment horizontal="left" vertical="top" wrapText="1"/>
    </xf>
    <xf numFmtId="0" fontId="78" fillId="0" borderId="64" xfId="0" applyFont="1" applyBorder="1" applyAlignment="1">
      <alignment horizontal="left" vertical="top" wrapText="1"/>
    </xf>
    <xf numFmtId="0" fontId="78" fillId="0" borderId="65" xfId="0" applyFont="1" applyBorder="1" applyAlignment="1">
      <alignment horizontal="left" vertical="top" wrapText="1"/>
    </xf>
    <xf numFmtId="0" fontId="78" fillId="0" borderId="76" xfId="0" applyFont="1" applyBorder="1" applyAlignment="1">
      <alignment horizontal="left" vertical="top" wrapText="1"/>
    </xf>
    <xf numFmtId="0" fontId="78" fillId="0" borderId="10" xfId="0" applyFont="1" applyBorder="1" applyAlignment="1">
      <alignment horizontal="left" vertical="top" wrapText="1"/>
    </xf>
    <xf numFmtId="0" fontId="78" fillId="0" borderId="67" xfId="0" applyFont="1" applyBorder="1" applyAlignment="1">
      <alignment horizontal="left" vertical="top" wrapText="1"/>
    </xf>
    <xf numFmtId="0" fontId="78" fillId="0" borderId="77" xfId="0" applyFont="1" applyBorder="1" applyAlignment="1">
      <alignment horizontal="left" vertical="top" wrapText="1"/>
    </xf>
    <xf numFmtId="0" fontId="78" fillId="0" borderId="68" xfId="0" applyFont="1" applyBorder="1" applyAlignment="1">
      <alignment horizontal="left" vertical="top" wrapText="1"/>
    </xf>
    <xf numFmtId="0" fontId="78" fillId="0" borderId="69" xfId="0" applyFont="1" applyBorder="1" applyAlignment="1">
      <alignment horizontal="left" vertical="top" wrapText="1"/>
    </xf>
    <xf numFmtId="0" fontId="78" fillId="0" borderId="70" xfId="0" applyFont="1" applyBorder="1" applyAlignment="1">
      <alignment horizontal="left" vertical="top" wrapText="1"/>
    </xf>
    <xf numFmtId="0" fontId="78" fillId="0" borderId="71" xfId="0" applyFont="1" applyBorder="1" applyAlignment="1">
      <alignment horizontal="left" vertical="top" wrapText="1"/>
    </xf>
    <xf numFmtId="0" fontId="78" fillId="0" borderId="72" xfId="0" applyFont="1" applyBorder="1" applyAlignment="1">
      <alignment horizontal="left" vertical="top" wrapText="1"/>
    </xf>
    <xf numFmtId="0" fontId="78" fillId="0" borderId="73" xfId="0" applyFont="1" applyBorder="1" applyAlignment="1">
      <alignment horizontal="left" vertical="top" wrapText="1"/>
    </xf>
    <xf numFmtId="0" fontId="78" fillId="0" borderId="74" xfId="0" applyFont="1" applyBorder="1" applyAlignment="1">
      <alignment horizontal="left" vertical="top" wrapText="1"/>
    </xf>
    <xf numFmtId="0" fontId="78" fillId="0" borderId="75" xfId="0" applyFont="1" applyBorder="1" applyAlignment="1">
      <alignment horizontal="left" vertical="top" wrapText="1"/>
    </xf>
    <xf numFmtId="0" fontId="78" fillId="0" borderId="66" xfId="0" applyFont="1" applyBorder="1" applyAlignment="1">
      <alignment horizontal="left" vertical="top" wrapText="1"/>
    </xf>
    <xf numFmtId="0" fontId="78" fillId="0" borderId="8" xfId="0" applyFont="1" applyBorder="1" applyAlignment="1">
      <alignment horizontal="left" vertical="top" wrapText="1"/>
    </xf>
    <xf numFmtId="0" fontId="39" fillId="10" borderId="26"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20" xfId="0" applyFont="1" applyBorder="1" applyAlignment="1">
      <alignment horizontal="center" vertical="center" wrapText="1"/>
    </xf>
    <xf numFmtId="0" fontId="33" fillId="25" borderId="2" xfId="0" applyFont="1" applyFill="1" applyBorder="1" applyAlignment="1">
      <alignment horizontal="left" vertical="top" wrapText="1"/>
    </xf>
    <xf numFmtId="0" fontId="38" fillId="0" borderId="1" xfId="0" applyFont="1" applyBorder="1" applyAlignment="1">
      <alignment horizontal="left" vertical="top" wrapText="1"/>
    </xf>
    <xf numFmtId="0" fontId="40" fillId="0" borderId="40" xfId="0" applyFont="1" applyBorder="1" applyAlignment="1">
      <alignment horizontal="center" vertical="top"/>
    </xf>
    <xf numFmtId="0" fontId="40" fillId="0" borderId="41" xfId="0" applyFont="1" applyBorder="1" applyAlignment="1">
      <alignment horizontal="center" vertical="top"/>
    </xf>
    <xf numFmtId="0" fontId="73" fillId="25" borderId="80" xfId="0" applyFont="1" applyFill="1" applyBorder="1" applyAlignment="1">
      <alignment horizontal="left" vertical="top" wrapText="1"/>
    </xf>
    <xf numFmtId="0" fontId="73" fillId="25" borderId="27" xfId="0" applyFont="1" applyFill="1" applyBorder="1" applyAlignment="1">
      <alignment horizontal="left" vertical="top" wrapText="1"/>
    </xf>
    <xf numFmtId="0" fontId="73" fillId="25" borderId="81"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5" fillId="25" borderId="0" xfId="0" applyFont="1" applyFill="1" applyAlignment="1">
      <alignment horizontal="left" vertical="top"/>
    </xf>
    <xf numFmtId="0" fontId="45" fillId="25" borderId="0" xfId="0" applyFont="1" applyFill="1" applyAlignment="1">
      <alignment horizontal="left" vertical="top" wrapText="1"/>
    </xf>
    <xf numFmtId="0" fontId="38" fillId="0" borderId="44" xfId="0" applyFont="1" applyBorder="1" applyAlignment="1">
      <alignment horizontal="left" vertical="top" wrapText="1"/>
    </xf>
    <xf numFmtId="0" fontId="49" fillId="0" borderId="3" xfId="0" applyFont="1" applyBorder="1" applyAlignment="1">
      <alignment horizontal="left" vertical="top" wrapText="1"/>
    </xf>
    <xf numFmtId="0" fontId="48" fillId="0" borderId="1" xfId="0" applyFont="1" applyBorder="1" applyAlignment="1">
      <alignment horizontal="left" vertical="top" wrapText="1"/>
    </xf>
    <xf numFmtId="0" fontId="44" fillId="32" borderId="42" xfId="0" applyFont="1" applyFill="1" applyBorder="1" applyAlignment="1">
      <alignment horizontal="center" vertical="center"/>
    </xf>
    <xf numFmtId="0" fontId="44" fillId="32" borderId="43" xfId="0" applyFont="1" applyFill="1" applyBorder="1" applyAlignment="1">
      <alignment horizontal="center" vertical="center"/>
    </xf>
    <xf numFmtId="0" fontId="44" fillId="32" borderId="53" xfId="0" applyFont="1" applyFill="1" applyBorder="1" applyAlignment="1">
      <alignment horizontal="center" vertical="center"/>
    </xf>
    <xf numFmtId="0" fontId="38" fillId="10" borderId="26"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10" borderId="28" xfId="0" applyFont="1" applyFill="1" applyBorder="1" applyAlignment="1">
      <alignment horizontal="center"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4" fillId="32" borderId="54" xfId="0" applyFont="1" applyFill="1" applyBorder="1" applyAlignment="1">
      <alignment horizontal="center"/>
    </xf>
    <xf numFmtId="0" fontId="44" fillId="32" borderId="32" xfId="0" applyFont="1" applyFill="1" applyBorder="1" applyAlignment="1">
      <alignment horizontal="center"/>
    </xf>
    <xf numFmtId="0" fontId="54" fillId="0" borderId="24" xfId="0" applyFont="1" applyBorder="1" applyAlignment="1">
      <alignment horizontal="center" vertical="top"/>
    </xf>
    <xf numFmtId="0" fontId="54" fillId="0" borderId="49" xfId="0" applyFont="1" applyBorder="1" applyAlignment="1">
      <alignment horizontal="center" vertical="top"/>
    </xf>
    <xf numFmtId="0" fontId="55" fillId="0" borderId="50" xfId="0" applyFont="1" applyBorder="1" applyAlignment="1">
      <alignment horizontal="left" vertical="top" wrapText="1"/>
    </xf>
    <xf numFmtId="0" fontId="55" fillId="0" borderId="22" xfId="0" applyFont="1" applyBorder="1" applyAlignment="1">
      <alignment horizontal="left" vertical="top" wrapText="1"/>
    </xf>
    <xf numFmtId="0" fontId="43" fillId="0" borderId="26" xfId="0" applyFont="1" applyBorder="1" applyAlignment="1">
      <alignment horizontal="left" vertical="top" wrapText="1"/>
    </xf>
    <xf numFmtId="0" fontId="43" fillId="0" borderId="27" xfId="0" applyFont="1" applyBorder="1" applyAlignment="1">
      <alignment horizontal="left" vertical="top" wrapText="1"/>
    </xf>
    <xf numFmtId="0" fontId="32" fillId="25" borderId="0" xfId="0" applyFont="1" applyFill="1" applyAlignment="1">
      <alignment horizontal="left" vertical="top"/>
    </xf>
    <xf numFmtId="0" fontId="32" fillId="25" borderId="0" xfId="0" applyFont="1" applyFill="1" applyAlignment="1">
      <alignment horizontal="left" vertical="top" wrapText="1"/>
    </xf>
    <xf numFmtId="0" fontId="38" fillId="10" borderId="55" xfId="0" applyFont="1" applyFill="1" applyBorder="1" applyAlignment="1">
      <alignment horizontal="center" vertical="top"/>
    </xf>
    <xf numFmtId="0" fontId="38" fillId="10" borderId="0" xfId="0" applyFont="1" applyFill="1" applyAlignment="1">
      <alignment horizontal="center" vertical="top"/>
    </xf>
    <xf numFmtId="0" fontId="38" fillId="10" borderId="56" xfId="0" applyFont="1" applyFill="1" applyBorder="1" applyAlignment="1">
      <alignment horizontal="center" vertical="top"/>
    </xf>
    <xf numFmtId="0" fontId="48" fillId="25" borderId="4" xfId="0" applyFont="1" applyFill="1" applyBorder="1" applyAlignment="1">
      <alignment horizontal="left" vertical="top" wrapText="1"/>
    </xf>
    <xf numFmtId="0" fontId="48" fillId="25" borderId="20" xfId="0" applyFont="1" applyFill="1" applyBorder="1" applyAlignment="1">
      <alignment horizontal="left" vertical="top" wrapText="1"/>
    </xf>
    <xf numFmtId="0" fontId="38" fillId="25" borderId="1" xfId="0" applyFont="1" applyFill="1" applyBorder="1" applyAlignment="1">
      <alignment horizontal="left" vertical="top"/>
    </xf>
    <xf numFmtId="0" fontId="80" fillId="0" borderId="64" xfId="0" applyFont="1" applyBorder="1" applyAlignment="1">
      <alignment horizontal="left" vertical="top" wrapText="1"/>
    </xf>
    <xf numFmtId="0" fontId="80" fillId="0" borderId="65" xfId="0" applyFont="1" applyBorder="1" applyAlignment="1">
      <alignment horizontal="left" vertical="top" wrapText="1"/>
    </xf>
    <xf numFmtId="0" fontId="80" fillId="0" borderId="76" xfId="0" applyFont="1" applyBorder="1" applyAlignment="1">
      <alignment horizontal="left" vertical="top" wrapText="1"/>
    </xf>
    <xf numFmtId="0" fontId="80" fillId="0" borderId="10" xfId="0" applyFont="1" applyBorder="1" applyAlignment="1">
      <alignment horizontal="left" vertical="top" wrapText="1"/>
    </xf>
    <xf numFmtId="0" fontId="80" fillId="0" borderId="67" xfId="0" applyFont="1" applyBorder="1" applyAlignment="1">
      <alignment horizontal="left" vertical="top" wrapText="1"/>
    </xf>
    <xf numFmtId="0" fontId="80" fillId="0" borderId="77" xfId="0" applyFont="1" applyBorder="1" applyAlignment="1">
      <alignment horizontal="left" vertical="top" wrapText="1"/>
    </xf>
    <xf numFmtId="0" fontId="80" fillId="0" borderId="68" xfId="0" applyFont="1" applyBorder="1" applyAlignment="1">
      <alignment horizontal="left" vertical="top" wrapText="1"/>
    </xf>
    <xf numFmtId="0" fontId="80" fillId="0" borderId="69" xfId="0" applyFont="1" applyBorder="1" applyAlignment="1">
      <alignment horizontal="left" vertical="top" wrapText="1"/>
    </xf>
    <xf numFmtId="0" fontId="80" fillId="0" borderId="70" xfId="0" applyFont="1" applyBorder="1" applyAlignment="1">
      <alignment horizontal="left" vertical="top" wrapText="1"/>
    </xf>
    <xf numFmtId="0" fontId="80" fillId="0" borderId="71" xfId="0" applyFont="1" applyBorder="1" applyAlignment="1">
      <alignment horizontal="left" vertical="top" wrapText="1"/>
    </xf>
    <xf numFmtId="0" fontId="80" fillId="0" borderId="72" xfId="0" applyFont="1" applyBorder="1" applyAlignment="1">
      <alignment horizontal="left" vertical="top" wrapText="1"/>
    </xf>
    <xf numFmtId="0" fontId="80" fillId="0" borderId="73" xfId="0" applyFont="1" applyBorder="1" applyAlignment="1">
      <alignment horizontal="left" vertical="top" wrapText="1"/>
    </xf>
    <xf numFmtId="0" fontId="80" fillId="0" borderId="74" xfId="0" applyFont="1" applyBorder="1" applyAlignment="1">
      <alignment horizontal="left" vertical="top" wrapText="1"/>
    </xf>
    <xf numFmtId="0" fontId="80" fillId="0" borderId="75" xfId="0" applyFont="1" applyBorder="1" applyAlignment="1">
      <alignment horizontal="left" vertical="top" wrapText="1"/>
    </xf>
    <xf numFmtId="0" fontId="80" fillId="0" borderId="66" xfId="0" applyFont="1" applyBorder="1" applyAlignment="1">
      <alignment horizontal="left" vertical="top" wrapText="1"/>
    </xf>
    <xf numFmtId="0" fontId="80" fillId="0" borderId="8" xfId="0" applyFont="1" applyBorder="1" applyAlignment="1">
      <alignment horizontal="left" vertical="top" wrapText="1"/>
    </xf>
    <xf numFmtId="0" fontId="80" fillId="0" borderId="78" xfId="0" applyFont="1" applyBorder="1" applyAlignment="1">
      <alignment horizontal="left" vertical="top" wrapText="1"/>
    </xf>
    <xf numFmtId="0" fontId="80" fillId="0" borderId="79" xfId="0" applyFont="1" applyBorder="1" applyAlignment="1">
      <alignment horizontal="left" vertical="top" wrapText="1"/>
    </xf>
    <xf numFmtId="0" fontId="78" fillId="0" borderId="0" xfId="0" applyFont="1" applyAlignment="1">
      <alignment horizontal="left" vertical="top" wrapText="1"/>
    </xf>
  </cellXfs>
  <cellStyles count="17">
    <cellStyle name="Hipervínculo" xfId="15" builtinId="8"/>
    <cellStyle name="Hipervínculo 2" xfId="8"/>
    <cellStyle name="Hyperlink" xfId="16"/>
    <cellStyle name="Millares [0]" xfId="14" builtinId="6"/>
    <cellStyle name="Millares 2" xfId="10"/>
    <cellStyle name="Millares 3" xfId="9"/>
    <cellStyle name="Moneda" xfId="11" builtinId="4"/>
    <cellStyle name="Moneda [0]" xfId="12" builtinId="7"/>
    <cellStyle name="Moneda [0] 2 2" xfId="2"/>
    <cellStyle name="Normal" xfId="0" builtinId="0"/>
    <cellStyle name="Normal 2" xfId="6"/>
    <cellStyle name="Normal 2 2" xfId="13"/>
    <cellStyle name="Normal 3" xfId="3"/>
    <cellStyle name="Normal 4" xfId="4"/>
    <cellStyle name="Porcentaje" xfId="1" builtinId="5"/>
    <cellStyle name="Porcentaje 2" xfId="5"/>
    <cellStyle name="Porcentual 2" xfId="7"/>
  </cellStyles>
  <dxfs count="0"/>
  <tableStyles count="0" defaultTableStyle="TableStyleMedium2" defaultPivotStyle="PivotStyleLight16"/>
  <colors>
    <mruColors>
      <color rgb="FF00CC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METAS PDI 2022</a:t>
            </a:r>
          </a:p>
        </c:rich>
      </c:tx>
      <c:layout>
        <c:manualLayout>
          <c:xMode val="edge"/>
          <c:yMode val="edge"/>
          <c:x val="0.22174404642084211"/>
          <c:y val="0.12608269899422761"/>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'AVANCES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738374008655302E-3"/>
                  <c:y val="-8.169564176956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70-455C-A930-CBBF97D851D8}"/>
                </c:ext>
              </c:extLst>
            </c:dLbl>
            <c:dLbl>
              <c:idx val="1"/>
              <c:layout>
                <c:manualLayout>
                  <c:x val="-2.9663991699690642E-3"/>
                  <c:y val="-9.2996601473413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70-455C-A930-CBBF97D851D8}"/>
                </c:ext>
              </c:extLst>
            </c:dLbl>
            <c:dLbl>
              <c:idx val="2"/>
              <c:layout>
                <c:manualLayout>
                  <c:x val="6.7255740262809746E-3"/>
                  <c:y val="-5.91959274641665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70-455C-A930-CBBF97D851D8}"/>
                </c:ext>
              </c:extLst>
            </c:dLbl>
            <c:dLbl>
              <c:idx val="3"/>
              <c:layout>
                <c:manualLayout>
                  <c:x val="1.2281213038936744E-2"/>
                  <c:y val="-0.135420542285705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270-455C-A930-CBBF97D851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2022'!$C$3:$C$6</c:f>
              <c:numCache>
                <c:formatCode>0%</c:formatCode>
                <c:ptCount val="4"/>
                <c:pt idx="0">
                  <c:v>0.49257812499999992</c:v>
                </c:pt>
                <c:pt idx="1">
                  <c:v>0.53424864561794805</c:v>
                </c:pt>
                <c:pt idx="2">
                  <c:v>0.6365729533068375</c:v>
                </c:pt>
                <c:pt idx="3">
                  <c:v>0.51023809523809527</c:v>
                </c:pt>
              </c:numCache>
            </c:numRef>
          </c:val>
          <c:extLst>
            <c:ext xmlns:c16="http://schemas.microsoft.com/office/drawing/2014/chart" uri="{C3380CC4-5D6E-409C-BE32-E72D297353CC}">
              <c16:uniqueId val="{00000004-B270-455C-A930-CBBF97D851D8}"/>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5599569685411598E-2"/>
          <c:y val="0.17123373844968298"/>
          <c:w val="0.47108818106314165"/>
          <c:h val="0.75056391726903904"/>
        </c:manualLayout>
      </c:layout>
      <c:doughnutChart>
        <c:varyColors val="1"/>
        <c:ser>
          <c:idx val="0"/>
          <c:order val="0"/>
          <c:tx>
            <c:strRef>
              <c:f>'AVANCES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F9D-4728-AF41-3C06F4306CF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F9D-4728-AF41-3C06F4306CF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F9D-4728-AF41-3C06F4306CF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F9D-4728-AF41-3C06F4306CF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F9D-4728-AF41-3C06F4306CFC}"/>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'AVANCES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'AVANCES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FF9D-4728-AF41-3C06F4306CFC}"/>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METAS ESTRATÉGICAS </a:t>
            </a:r>
            <a:br>
              <a:rPr lang="en-US" sz="1400" b="1" i="0" u="none" strike="noStrike" kern="1200" cap="none" spc="20" baseline="0">
                <a:solidFill>
                  <a:sysClr val="windowText" lastClr="000000"/>
                </a:solidFill>
                <a:latin typeface="+mn-lt"/>
                <a:ea typeface="+mn-ea"/>
                <a:cs typeface="+mn-cs"/>
              </a:rPr>
            </a:br>
            <a:r>
              <a:rPr lang="en-US" sz="1400" b="1" i="0" u="none" strike="noStrike" kern="1200" cap="none" spc="20" baseline="0">
                <a:solidFill>
                  <a:sysClr val="windowText" lastClr="000000"/>
                </a:solidFill>
                <a:latin typeface="+mn-lt"/>
                <a:ea typeface="+mn-ea"/>
                <a:cs typeface="+mn-cs"/>
              </a:rPr>
              <a:t>POR ESTRATEGIA</a:t>
            </a:r>
          </a:p>
        </c:rich>
      </c:tx>
      <c:layout>
        <c:manualLayout>
          <c:xMode val="edge"/>
          <c:yMode val="edge"/>
          <c:x val="0.21989889383668948"/>
          <c:y val="5.89897495066808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1.8982175274437418E-2"/>
          <c:y val="0.19894363863498388"/>
          <c:w val="0.59012119544440667"/>
          <c:h val="0.75616497995057819"/>
        </c:manualLayout>
      </c:layout>
      <c:pieChart>
        <c:varyColors val="1"/>
        <c:ser>
          <c:idx val="0"/>
          <c:order val="0"/>
          <c:tx>
            <c:strRef>
              <c:f>'AVANCES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D3E-4C1A-857B-71FCE0E7736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D3E-4C1A-857B-71FCE0E7736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D3E-4C1A-857B-71FCE0E77360}"/>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'AVANCES 2022'!$J$4:$J$6</c:f>
              <c:strCache>
                <c:ptCount val="3"/>
                <c:pt idx="0">
                  <c:v>Lo Intitucional </c:v>
                </c:pt>
                <c:pt idx="1">
                  <c:v>Lo Social </c:v>
                </c:pt>
                <c:pt idx="2">
                  <c:v>Lo ambiental </c:v>
                </c:pt>
              </c:strCache>
            </c:strRef>
          </c:cat>
          <c:val>
            <c:numRef>
              <c:f>'AVANCES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BD3E-4C1A-857B-71FCE0E7736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AVANCE GENERAL VIGENCIA 2022 - ETITC </a:t>
            </a:r>
          </a:p>
          <a:p>
            <a:pPr>
              <a:defRPr>
                <a:solidFill>
                  <a:schemeClr val="tx1"/>
                </a:solidFill>
              </a:defRPr>
            </a:pPr>
            <a:r>
              <a:rPr lang="en-US">
                <a:solidFill>
                  <a:schemeClr val="tx1"/>
                </a:solidFill>
              </a:rPr>
              <a:t>PLAN DE ACCIÓN 2022</a:t>
            </a:r>
          </a:p>
        </c:rich>
      </c:tx>
      <c:layout>
        <c:manualLayout>
          <c:xMode val="edge"/>
          <c:yMode val="edge"/>
          <c:x val="0.19094929645994663"/>
          <c:y val="7.81810715622960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'AVANCES 2022'!$N$2</c:f>
              <c:strCache>
                <c:ptCount val="1"/>
                <c:pt idx="0">
                  <c:v>AVANCE TOTAL </c:v>
                </c:pt>
              </c:strCache>
            </c:strRef>
          </c:tx>
          <c:spPr>
            <a:solidFill>
              <a:schemeClr val="accent2"/>
            </a:solidFill>
            <a:ln>
              <a:noFill/>
            </a:ln>
            <a:effectLst/>
            <a:sp3d/>
          </c:spPr>
          <c:invertIfNegative val="0"/>
          <c:dLbls>
            <c:dLbl>
              <c:idx val="0"/>
              <c:layout>
                <c:manualLayout>
                  <c:x val="1.388888888888891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99-43B6-AA50-7FB71F9C5D9F}"/>
                </c:ext>
              </c:extLst>
            </c:dLbl>
            <c:dLbl>
              <c:idx val="1"/>
              <c:layout>
                <c:manualLayout>
                  <c:x val="2.2222222222222223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99-43B6-AA50-7FB71F9C5D9F}"/>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99-43B6-AA50-7FB71F9C5D9F}"/>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99-43B6-AA50-7FB71F9C5D9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'AVANCES 2022'!$M$3:$M$6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2022'!$N$3:$N$6</c:f>
              <c:numCache>
                <c:formatCode>0%</c:formatCode>
                <c:ptCount val="4"/>
                <c:pt idx="0">
                  <c:v>0.40369999999999978</c:v>
                </c:pt>
                <c:pt idx="1">
                  <c:v>0.36661016949152536</c:v>
                </c:pt>
                <c:pt idx="2">
                  <c:v>0.41322368421052608</c:v>
                </c:pt>
                <c:pt idx="3">
                  <c:v>0.40209523809523806</c:v>
                </c:pt>
              </c:numCache>
            </c:numRef>
          </c:val>
          <c:extLst>
            <c:ext xmlns:c16="http://schemas.microsoft.com/office/drawing/2014/chart" uri="{C3380CC4-5D6E-409C-BE32-E72D297353CC}">
              <c16:uniqueId val="{00000004-6E99-43B6-AA50-7FB71F9C5D9F}"/>
            </c:ext>
          </c:extLst>
        </c:ser>
        <c:dLbls>
          <c:showLegendKey val="0"/>
          <c:showVal val="0"/>
          <c:showCatName val="0"/>
          <c:showSerName val="0"/>
          <c:showPercent val="0"/>
          <c:showBubbleSize val="0"/>
        </c:dLbls>
        <c:gapWidth val="150"/>
        <c:shape val="cylinder"/>
        <c:axId val="2059690656"/>
        <c:axId val="2059691488"/>
        <c:axId val="0"/>
      </c:bar3DChart>
      <c:catAx>
        <c:axId val="2059690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59691488"/>
        <c:crosses val="autoZero"/>
        <c:auto val="1"/>
        <c:lblAlgn val="ctr"/>
        <c:lblOffset val="100"/>
        <c:noMultiLvlLbl val="0"/>
      </c:catAx>
      <c:valAx>
        <c:axId val="2059691488"/>
        <c:scaling>
          <c:orientation val="minMax"/>
        </c:scaling>
        <c:delete val="1"/>
        <c:axPos val="l"/>
        <c:numFmt formatCode="0%" sourceLinked="1"/>
        <c:majorTickMark val="none"/>
        <c:minorTickMark val="none"/>
        <c:tickLblPos val="nextTo"/>
        <c:crossAx val="20596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323F-484C-8561-0BA741C7FB34}"/>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23F-484C-8561-0BA741C7FB3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323F-484C-8561-0BA741C7FB34}"/>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323F-484C-8561-0BA741C7FB34}"/>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323F-484C-8561-0BA741C7FB34}"/>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323F-484C-8561-0BA741C7FB34}"/>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323F-484C-8561-0BA741C7FB34}"/>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323F-484C-8561-0BA741C7FB34}"/>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323F-484C-8561-0BA741C7FB34}"/>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323F-484C-8561-0BA741C7FB34}"/>
              </c:ext>
            </c:extLst>
          </c:dPt>
          <c:dPt>
            <c:idx val="10"/>
            <c:bubble3D val="0"/>
            <c:spPr>
              <a:noFill/>
              <a:ln w="19050">
                <a:noFill/>
              </a:ln>
              <a:effectLst/>
            </c:spPr>
            <c:extLst>
              <c:ext xmlns:c16="http://schemas.microsoft.com/office/drawing/2014/chart" uri="{C3380CC4-5D6E-409C-BE32-E72D297353CC}">
                <c16:uniqueId val="{00000015-323F-484C-8561-0BA741C7FB34}"/>
              </c:ext>
            </c:extLst>
          </c:dPt>
          <c:dLbls>
            <c:dLbl>
              <c:idx val="0"/>
              <c:layout>
                <c:manualLayout>
                  <c:x val="-7.2222222222222215E-2"/>
                  <c:y val="-2.3148148148148147E-2"/>
                </c:manualLayout>
              </c:layout>
              <c:tx>
                <c:rich>
                  <a:bodyPr/>
                  <a:lstStyle/>
                  <a:p>
                    <a:fld id="{EEB62DFF-6EF6-4755-AA30-0DFCCBC9236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323F-484C-8561-0BA741C7FB34}"/>
                </c:ext>
              </c:extLst>
            </c:dLbl>
            <c:dLbl>
              <c:idx val="1"/>
              <c:layout>
                <c:manualLayout>
                  <c:x val="-6.3888888888888884E-2"/>
                  <c:y val="-6.9444444444444448E-2"/>
                </c:manualLayout>
              </c:layout>
              <c:tx>
                <c:rich>
                  <a:bodyPr/>
                  <a:lstStyle/>
                  <a:p>
                    <a:fld id="{6ED410D7-AD38-48D5-9C39-30B97853525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323F-484C-8561-0BA741C7FB34}"/>
                </c:ext>
              </c:extLst>
            </c:dLbl>
            <c:dLbl>
              <c:idx val="2"/>
              <c:layout>
                <c:manualLayout>
                  <c:x val="-4.7222222222222221E-2"/>
                  <c:y val="-8.3333333333333356E-2"/>
                </c:manualLayout>
              </c:layout>
              <c:tx>
                <c:rich>
                  <a:bodyPr/>
                  <a:lstStyle/>
                  <a:p>
                    <a:fld id="{1DE43FE7-94C7-42FE-B7FD-66DF5369F7A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323F-484C-8561-0BA741C7FB34}"/>
                </c:ext>
              </c:extLst>
            </c:dLbl>
            <c:dLbl>
              <c:idx val="3"/>
              <c:layout>
                <c:manualLayout>
                  <c:x val="-3.8888888888888938E-2"/>
                  <c:y val="-0.125"/>
                </c:manualLayout>
              </c:layout>
              <c:tx>
                <c:rich>
                  <a:bodyPr/>
                  <a:lstStyle/>
                  <a:p>
                    <a:fld id="{AEA7A097-E034-45E3-A7EE-687BD1702D2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323F-484C-8561-0BA741C7FB34}"/>
                </c:ext>
              </c:extLst>
            </c:dLbl>
            <c:dLbl>
              <c:idx val="4"/>
              <c:layout>
                <c:manualLayout>
                  <c:x val="-1.6666666666666718E-2"/>
                  <c:y val="-0.1388888888888889"/>
                </c:manualLayout>
              </c:layout>
              <c:tx>
                <c:rich>
                  <a:bodyPr/>
                  <a:lstStyle/>
                  <a:p>
                    <a:fld id="{ED396678-7F23-4E51-AA29-54105304526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323F-484C-8561-0BA741C7FB34}"/>
                </c:ext>
              </c:extLst>
            </c:dLbl>
            <c:dLbl>
              <c:idx val="5"/>
              <c:layout>
                <c:manualLayout>
                  <c:x val="1.9444444444444545E-2"/>
                  <c:y val="-0.12962962962962962"/>
                </c:manualLayout>
              </c:layout>
              <c:tx>
                <c:rich>
                  <a:bodyPr/>
                  <a:lstStyle/>
                  <a:p>
                    <a:fld id="{E601228B-5836-425E-91D5-75AAACDA709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323F-484C-8561-0BA741C7FB34}"/>
                </c:ext>
              </c:extLst>
            </c:dLbl>
            <c:dLbl>
              <c:idx val="6"/>
              <c:layout>
                <c:manualLayout>
                  <c:x val="3.0555555555555555E-2"/>
                  <c:y val="-0.1111111111111111"/>
                </c:manualLayout>
              </c:layout>
              <c:tx>
                <c:rich>
                  <a:bodyPr/>
                  <a:lstStyle/>
                  <a:p>
                    <a:fld id="{23CB3BA1-334E-41DD-8F5F-A1013976808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323F-484C-8561-0BA741C7FB34}"/>
                </c:ext>
              </c:extLst>
            </c:dLbl>
            <c:dLbl>
              <c:idx val="7"/>
              <c:layout>
                <c:manualLayout>
                  <c:x val="4.4444444444444446E-2"/>
                  <c:y val="-7.870370370370372E-2"/>
                </c:manualLayout>
              </c:layout>
              <c:tx>
                <c:rich>
                  <a:bodyPr/>
                  <a:lstStyle/>
                  <a:p>
                    <a:fld id="{77A20F04-D828-4636-AE5D-8BFBF6F131F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323F-484C-8561-0BA741C7FB34}"/>
                </c:ext>
              </c:extLst>
            </c:dLbl>
            <c:dLbl>
              <c:idx val="8"/>
              <c:layout>
                <c:manualLayout>
                  <c:x val="6.3888888888888884E-2"/>
                  <c:y val="-4.6296296296296294E-2"/>
                </c:manualLayout>
              </c:layout>
              <c:tx>
                <c:rich>
                  <a:bodyPr/>
                  <a:lstStyle/>
                  <a:p>
                    <a:fld id="{15CD7B6E-D04A-4D04-8655-F4E400D0570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323F-484C-8561-0BA741C7FB34}"/>
                </c:ext>
              </c:extLst>
            </c:dLbl>
            <c:dLbl>
              <c:idx val="9"/>
              <c:layout>
                <c:manualLayout>
                  <c:x val="7.2222222222222215E-2"/>
                  <c:y val="-1.8518518518518517E-2"/>
                </c:manualLayout>
              </c:layout>
              <c:tx>
                <c:rich>
                  <a:bodyPr/>
                  <a:lstStyle/>
                  <a:p>
                    <a:fld id="{7BFA9167-F2AE-4B8E-918A-0752060CA358}"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323F-484C-8561-0BA741C7FB34}"/>
                </c:ext>
              </c:extLst>
            </c:dLbl>
            <c:dLbl>
              <c:idx val="10"/>
              <c:layout/>
              <c:tx>
                <c:rich>
                  <a:bodyPr/>
                  <a:lstStyle/>
                  <a:p>
                    <a:fld id="{20BE73EA-0CAE-4F0B-8EA2-A8D12895F17C}"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323F-484C-8561-0BA741C7FB3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'AVANCES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323F-484C-8561-0BA741C7FB34}"/>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19050"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'AVANCES 2022'!$C$29:$C$30</c:f>
              <c:numCache>
                <c:formatCode>General</c:formatCode>
                <c:ptCount val="2"/>
                <c:pt idx="0">
                  <c:v>0</c:v>
                </c:pt>
                <c:pt idx="1">
                  <c:v>0.13595249857703171</c:v>
                </c:pt>
              </c:numCache>
            </c:numRef>
          </c:xVal>
          <c:yVal>
            <c:numRef>
              <c:f>'AVANCES 2022'!$D$29:$D$30</c:f>
              <c:numCache>
                <c:formatCode>General</c:formatCode>
                <c:ptCount val="2"/>
                <c:pt idx="0">
                  <c:v>0</c:v>
                </c:pt>
                <c:pt idx="1">
                  <c:v>0.99071535676533362</c:v>
                </c:pt>
              </c:numCache>
            </c:numRef>
          </c:yVal>
          <c:smooth val="1"/>
          <c:extLst>
            <c:ext xmlns:c16="http://schemas.microsoft.com/office/drawing/2014/chart" uri="{C3380CC4-5D6E-409C-BE32-E72D297353CC}">
              <c16:uniqueId val="{00000017-323F-484C-8561-0BA741C7FB34}"/>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 2022</a:t>
            </a:r>
            <a:r>
              <a:rPr lang="en-US"/>
              <a:t>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'AVANCES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E21-4CAD-BE96-81D4B64C892C}"/>
                </c:ext>
              </c:extLst>
            </c:dLbl>
            <c:dLbl>
              <c:idx val="1"/>
              <c:layout>
                <c:manualLayout>
                  <c:x val="-6.2630399745240975E-3"/>
                  <c:y val="-3.26328121074608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E21-4CAD-BE96-81D4B64C892C}"/>
                </c:ext>
              </c:extLst>
            </c:dLbl>
            <c:dLbl>
              <c:idx val="2"/>
              <c:layout>
                <c:manualLayout>
                  <c:x val="0.12080422869159285"/>
                  <c:y val="4.75906195209799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E21-4CAD-BE96-81D4B64C892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'AVANCES 2022'!$J$4:$J$6</c:f>
              <c:strCache>
                <c:ptCount val="3"/>
                <c:pt idx="0">
                  <c:v>Lo Intitucional </c:v>
                </c:pt>
                <c:pt idx="1">
                  <c:v>Lo Social </c:v>
                </c:pt>
                <c:pt idx="2">
                  <c:v>Lo ambiental </c:v>
                </c:pt>
              </c:strCache>
            </c:strRef>
          </c:cat>
          <c:val>
            <c:numRef>
              <c:f>'AVANCES 2022'!$H$4:$H$6</c:f>
              <c:numCache>
                <c:formatCode>0%</c:formatCode>
                <c:ptCount val="3"/>
                <c:pt idx="0">
                  <c:v>0.1424282975715373</c:v>
                </c:pt>
                <c:pt idx="1">
                  <c:v>0.32468307936936208</c:v>
                </c:pt>
                <c:pt idx="2">
                  <c:v>0.16285984533984532</c:v>
                </c:pt>
              </c:numCache>
            </c:numRef>
          </c:val>
          <c:extLst>
            <c:ext xmlns:c16="http://schemas.microsoft.com/office/drawing/2014/chart" uri="{C3380CC4-5D6E-409C-BE32-E72D297353CC}">
              <c16:uniqueId val="{00000000-4E21-4CAD-BE96-81D4B64C892C}"/>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0411573711974516E-2"/>
          <c:y val="5.436090574492964E-2"/>
          <c:w val="0.47108818106314165"/>
          <c:h val="0.75056391726903904"/>
        </c:manualLayout>
      </c:layout>
      <c:doughnutChart>
        <c:varyColors val="1"/>
        <c:ser>
          <c:idx val="0"/>
          <c:order val="0"/>
          <c:tx>
            <c:strRef>
              <c:f>'AVANCES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AD0-4427-9F92-0A20FC35B5E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AD0-4427-9F92-0A20FC35B5E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AD0-4427-9F92-0A20FC35B5E9}"/>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AD0-4427-9F92-0A20FC35B5E9}"/>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AD0-4427-9F92-0A20FC35B5E9}"/>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ext>
            </c:extLst>
          </c:dLbls>
          <c:cat>
            <c:strRef>
              <c:f>'AVANCES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'AVANCES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AAD0-4427-9F92-0A20FC35B5E9}"/>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METAS ESTRATÉGICAS </a:t>
            </a:r>
            <a:br>
              <a:rPr lang="en-US" sz="1400" b="1" i="0" u="none" strike="noStrike" kern="1200" cap="none" spc="20" baseline="0">
                <a:solidFill>
                  <a:sysClr val="windowText" lastClr="000000"/>
                </a:solidFill>
                <a:latin typeface="+mn-lt"/>
                <a:ea typeface="+mn-ea"/>
                <a:cs typeface="+mn-cs"/>
              </a:rPr>
            </a:br>
            <a:r>
              <a:rPr lang="en-US" sz="1400" b="1" i="0" u="none" strike="noStrike" kern="1200" cap="none" spc="20" baseline="0">
                <a:solidFill>
                  <a:sysClr val="windowText" lastClr="000000"/>
                </a:solidFill>
                <a:latin typeface="+mn-lt"/>
                <a:ea typeface="+mn-ea"/>
                <a:cs typeface="+mn-cs"/>
              </a:rPr>
              <a:t>POR ESTRATEGIA</a:t>
            </a:r>
          </a:p>
        </c:rich>
      </c:tx>
      <c:layout>
        <c:manualLayout>
          <c:xMode val="edge"/>
          <c:yMode val="edge"/>
          <c:x val="0.15567020476170443"/>
          <c:y val="6.273081970843374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'AVANCES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FA2-41A4-AC67-15CB30DB731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FA2-41A4-AC67-15CB30DB731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FA2-41A4-AC67-15CB30DB7311}"/>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'AVANCES 2022'!$J$4:$J$6</c:f>
              <c:strCache>
                <c:ptCount val="3"/>
                <c:pt idx="0">
                  <c:v>Lo Intitucional </c:v>
                </c:pt>
                <c:pt idx="1">
                  <c:v>Lo Social </c:v>
                </c:pt>
                <c:pt idx="2">
                  <c:v>Lo ambiental </c:v>
                </c:pt>
              </c:strCache>
            </c:strRef>
          </c:cat>
          <c:val>
            <c:numRef>
              <c:f>'AVANCES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1FA2-41A4-AC67-15CB30DB731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AVANCE GENERAL VIGENCIA 2022 - ETITC </a:t>
            </a:r>
          </a:p>
          <a:p>
            <a:pPr>
              <a:defRPr>
                <a:solidFill>
                  <a:schemeClr val="tx1"/>
                </a:solidFill>
              </a:defRPr>
            </a:pPr>
            <a:r>
              <a:rPr lang="en-US">
                <a:solidFill>
                  <a:schemeClr val="tx1"/>
                </a:solidFill>
              </a:rPr>
              <a:t>PLAN DE ACCIÓN 2022</a:t>
            </a:r>
          </a:p>
        </c:rich>
      </c:tx>
      <c:layout>
        <c:manualLayout>
          <c:xMode val="edge"/>
          <c:yMode val="edge"/>
          <c:x val="0.19094929645994663"/>
          <c:y val="7.81810715622960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'AVANCES 2022'!$N$2</c:f>
              <c:strCache>
                <c:ptCount val="1"/>
                <c:pt idx="0">
                  <c:v>AVANCE TOTAL </c:v>
                </c:pt>
              </c:strCache>
            </c:strRef>
          </c:tx>
          <c:spPr>
            <a:solidFill>
              <a:schemeClr val="accent2"/>
            </a:solidFill>
            <a:ln>
              <a:noFill/>
            </a:ln>
            <a:effectLst/>
            <a:sp3d/>
          </c:spPr>
          <c:invertIfNegative val="0"/>
          <c:dLbls>
            <c:dLbl>
              <c:idx val="0"/>
              <c:layout>
                <c:manualLayout>
                  <c:x val="1.3888888888888914E-2"/>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2E-471F-A9DA-122F06231752}"/>
                </c:ext>
              </c:extLst>
            </c:dLbl>
            <c:dLbl>
              <c:idx val="1"/>
              <c:layout>
                <c:manualLayout>
                  <c:x val="2.2222222222222223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2E-471F-A9DA-122F06231752}"/>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2E-471F-A9DA-122F06231752}"/>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2E-471F-A9DA-122F0623175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'AVANCES 2022'!$M$3:$M$6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2022'!$N$3:$N$6</c:f>
              <c:numCache>
                <c:formatCode>0%</c:formatCode>
                <c:ptCount val="4"/>
                <c:pt idx="0">
                  <c:v>0.40369999999999978</c:v>
                </c:pt>
                <c:pt idx="1">
                  <c:v>0.36661016949152536</c:v>
                </c:pt>
                <c:pt idx="2">
                  <c:v>0.41322368421052608</c:v>
                </c:pt>
                <c:pt idx="3">
                  <c:v>0.40209523809523806</c:v>
                </c:pt>
              </c:numCache>
            </c:numRef>
          </c:val>
          <c:extLst>
            <c:ext xmlns:c16="http://schemas.microsoft.com/office/drawing/2014/chart" uri="{C3380CC4-5D6E-409C-BE32-E72D297353CC}">
              <c16:uniqueId val="{00000004-5F2E-471F-A9DA-122F06231752}"/>
            </c:ext>
          </c:extLst>
        </c:ser>
        <c:dLbls>
          <c:showLegendKey val="0"/>
          <c:showVal val="0"/>
          <c:showCatName val="0"/>
          <c:showSerName val="0"/>
          <c:showPercent val="0"/>
          <c:showBubbleSize val="0"/>
        </c:dLbls>
        <c:gapWidth val="150"/>
        <c:shape val="cylinder"/>
        <c:axId val="2059690656"/>
        <c:axId val="2059691488"/>
        <c:axId val="0"/>
      </c:bar3DChart>
      <c:catAx>
        <c:axId val="2059690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59691488"/>
        <c:crosses val="autoZero"/>
        <c:auto val="1"/>
        <c:lblAlgn val="ctr"/>
        <c:lblOffset val="100"/>
        <c:noMultiLvlLbl val="0"/>
      </c:catAx>
      <c:valAx>
        <c:axId val="2059691488"/>
        <c:scaling>
          <c:orientation val="minMax"/>
        </c:scaling>
        <c:delete val="1"/>
        <c:axPos val="l"/>
        <c:numFmt formatCode="0%" sourceLinked="1"/>
        <c:majorTickMark val="none"/>
        <c:minorTickMark val="none"/>
        <c:tickLblPos val="nextTo"/>
        <c:crossAx val="20596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METAS PDI 2022</a:t>
            </a:r>
          </a:p>
        </c:rich>
      </c:tx>
      <c:layout>
        <c:manualLayout>
          <c:xMode val="edge"/>
          <c:yMode val="edge"/>
          <c:x val="0.22174404642084211"/>
          <c:y val="0.12608269899422761"/>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'AVANCES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738374008655302E-3"/>
                  <c:y val="-8.169564176956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B7-462A-B185-66219BA9B1AA}"/>
                </c:ext>
              </c:extLst>
            </c:dLbl>
            <c:dLbl>
              <c:idx val="1"/>
              <c:layout>
                <c:manualLayout>
                  <c:x val="-2.9663991699690642E-3"/>
                  <c:y val="-9.299660147341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B7-462A-B185-66219BA9B1AA}"/>
                </c:ext>
              </c:extLst>
            </c:dLbl>
            <c:dLbl>
              <c:idx val="2"/>
              <c:layout>
                <c:manualLayout>
                  <c:x val="6.7255740262809746E-3"/>
                  <c:y val="-5.9195927464166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B7-462A-B185-66219BA9B1AA}"/>
                </c:ext>
              </c:extLst>
            </c:dLbl>
            <c:dLbl>
              <c:idx val="3"/>
              <c:layout>
                <c:manualLayout>
                  <c:x val="2.1061233809739842E-3"/>
                  <c:y val="-8.8335940429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B7-462A-B185-66219BA9B1A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2022'!$C$3:$C$6</c:f>
              <c:numCache>
                <c:formatCode>0%</c:formatCode>
                <c:ptCount val="4"/>
                <c:pt idx="0">
                  <c:v>0.49257812499999992</c:v>
                </c:pt>
                <c:pt idx="1">
                  <c:v>0.53424864561794805</c:v>
                </c:pt>
                <c:pt idx="2">
                  <c:v>0.6365729533068375</c:v>
                </c:pt>
                <c:pt idx="3">
                  <c:v>0.51023809523809527</c:v>
                </c:pt>
              </c:numCache>
            </c:numRef>
          </c:val>
          <c:extLst>
            <c:ext xmlns:c16="http://schemas.microsoft.com/office/drawing/2014/chart" uri="{C3380CC4-5D6E-409C-BE32-E72D297353CC}">
              <c16:uniqueId val="{00000004-9BB7-462A-B185-66219BA9B1AA}"/>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D0C6-4F32-A555-E9A9915BD469}"/>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D0C6-4F32-A555-E9A9915BD469}"/>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D0C6-4F32-A555-E9A9915BD469}"/>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D0C6-4F32-A555-E9A9915BD469}"/>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D0C6-4F32-A555-E9A9915BD469}"/>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D0C6-4F32-A555-E9A9915BD469}"/>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D0C6-4F32-A555-E9A9915BD469}"/>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D0C6-4F32-A555-E9A9915BD469}"/>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D0C6-4F32-A555-E9A9915BD469}"/>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D0C6-4F32-A555-E9A9915BD469}"/>
              </c:ext>
            </c:extLst>
          </c:dPt>
          <c:dPt>
            <c:idx val="10"/>
            <c:bubble3D val="0"/>
            <c:spPr>
              <a:noFill/>
              <a:ln w="19050">
                <a:noFill/>
              </a:ln>
              <a:effectLst/>
            </c:spPr>
            <c:extLst>
              <c:ext xmlns:c16="http://schemas.microsoft.com/office/drawing/2014/chart" uri="{C3380CC4-5D6E-409C-BE32-E72D297353CC}">
                <c16:uniqueId val="{00000015-D0C6-4F32-A555-E9A9915BD469}"/>
              </c:ext>
            </c:extLst>
          </c:dPt>
          <c:dLbls>
            <c:dLbl>
              <c:idx val="0"/>
              <c:layout>
                <c:manualLayout>
                  <c:x val="-7.2222222222222215E-2"/>
                  <c:y val="-2.3148148148148147E-2"/>
                </c:manualLayout>
              </c:layout>
              <c:tx>
                <c:rich>
                  <a:bodyPr/>
                  <a:lstStyle/>
                  <a:p>
                    <a:fld id="{630A2144-1F4E-4BE6-81CB-60C6A93F437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0C6-4F32-A555-E9A9915BD469}"/>
                </c:ext>
              </c:extLst>
            </c:dLbl>
            <c:dLbl>
              <c:idx val="1"/>
              <c:layout>
                <c:manualLayout>
                  <c:x val="-6.3888888888888884E-2"/>
                  <c:y val="-6.9444444444444448E-2"/>
                </c:manualLayout>
              </c:layout>
              <c:tx>
                <c:rich>
                  <a:bodyPr/>
                  <a:lstStyle/>
                  <a:p>
                    <a:fld id="{6E4CB775-9BCD-4D18-9108-FC563DAEDA2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0C6-4F32-A555-E9A9915BD469}"/>
                </c:ext>
              </c:extLst>
            </c:dLbl>
            <c:dLbl>
              <c:idx val="2"/>
              <c:layout>
                <c:manualLayout>
                  <c:x val="-4.7222222222222221E-2"/>
                  <c:y val="-8.3333333333333356E-2"/>
                </c:manualLayout>
              </c:layout>
              <c:tx>
                <c:rich>
                  <a:bodyPr/>
                  <a:lstStyle/>
                  <a:p>
                    <a:fld id="{37090629-E61D-43B4-87DA-9006A6CD0B1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0C6-4F32-A555-E9A9915BD469}"/>
                </c:ext>
              </c:extLst>
            </c:dLbl>
            <c:dLbl>
              <c:idx val="3"/>
              <c:layout>
                <c:manualLayout>
                  <c:x val="-3.8888888888888938E-2"/>
                  <c:y val="-0.125"/>
                </c:manualLayout>
              </c:layout>
              <c:tx>
                <c:rich>
                  <a:bodyPr/>
                  <a:lstStyle/>
                  <a:p>
                    <a:fld id="{1C26F21F-A3BD-4505-9EE9-3F6ABA29285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0C6-4F32-A555-E9A9915BD469}"/>
                </c:ext>
              </c:extLst>
            </c:dLbl>
            <c:dLbl>
              <c:idx val="4"/>
              <c:layout>
                <c:manualLayout>
                  <c:x val="-1.6666666666666718E-2"/>
                  <c:y val="-0.1388888888888889"/>
                </c:manualLayout>
              </c:layout>
              <c:tx>
                <c:rich>
                  <a:bodyPr/>
                  <a:lstStyle/>
                  <a:p>
                    <a:fld id="{480A6B5D-F456-469C-B2E4-AB551C00A31E}"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0C6-4F32-A555-E9A9915BD469}"/>
                </c:ext>
              </c:extLst>
            </c:dLbl>
            <c:dLbl>
              <c:idx val="5"/>
              <c:layout>
                <c:manualLayout>
                  <c:x val="1.9444444444444545E-2"/>
                  <c:y val="-0.12962962962962962"/>
                </c:manualLayout>
              </c:layout>
              <c:tx>
                <c:rich>
                  <a:bodyPr/>
                  <a:lstStyle/>
                  <a:p>
                    <a:fld id="{3686F98A-38A1-4270-8BA9-102D42785FF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0C6-4F32-A555-E9A9915BD469}"/>
                </c:ext>
              </c:extLst>
            </c:dLbl>
            <c:dLbl>
              <c:idx val="6"/>
              <c:layout>
                <c:manualLayout>
                  <c:x val="3.0555555555555555E-2"/>
                  <c:y val="-0.1111111111111111"/>
                </c:manualLayout>
              </c:layout>
              <c:tx>
                <c:rich>
                  <a:bodyPr/>
                  <a:lstStyle/>
                  <a:p>
                    <a:fld id="{7F182522-0496-4BAF-A191-E6B7BB42556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0C6-4F32-A555-E9A9915BD469}"/>
                </c:ext>
              </c:extLst>
            </c:dLbl>
            <c:dLbl>
              <c:idx val="7"/>
              <c:layout>
                <c:manualLayout>
                  <c:x val="4.4444444444444446E-2"/>
                  <c:y val="-7.870370370370372E-2"/>
                </c:manualLayout>
              </c:layout>
              <c:tx>
                <c:rich>
                  <a:bodyPr/>
                  <a:lstStyle/>
                  <a:p>
                    <a:fld id="{B9ACC935-4640-4416-8B12-C4C684B1E1A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0C6-4F32-A555-E9A9915BD469}"/>
                </c:ext>
              </c:extLst>
            </c:dLbl>
            <c:dLbl>
              <c:idx val="8"/>
              <c:layout>
                <c:manualLayout>
                  <c:x val="6.3888888888888884E-2"/>
                  <c:y val="-4.6296296296296294E-2"/>
                </c:manualLayout>
              </c:layout>
              <c:tx>
                <c:rich>
                  <a:bodyPr/>
                  <a:lstStyle/>
                  <a:p>
                    <a:fld id="{6A5609E4-C155-45DD-81A2-F54EFFC55F0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0C6-4F32-A555-E9A9915BD469}"/>
                </c:ext>
              </c:extLst>
            </c:dLbl>
            <c:dLbl>
              <c:idx val="9"/>
              <c:layout>
                <c:manualLayout>
                  <c:x val="7.2222222222222215E-2"/>
                  <c:y val="-1.8518518518518517E-2"/>
                </c:manualLayout>
              </c:layout>
              <c:tx>
                <c:rich>
                  <a:bodyPr/>
                  <a:lstStyle/>
                  <a:p>
                    <a:fld id="{71BFAC35-0147-4BC2-B4F7-6B69B4C2346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0C6-4F32-A555-E9A9915BD469}"/>
                </c:ext>
              </c:extLst>
            </c:dLbl>
            <c:dLbl>
              <c:idx val="10"/>
              <c:tx>
                <c:rich>
                  <a:bodyPr/>
                  <a:lstStyle/>
                  <a:p>
                    <a:fld id="{7B479312-D26B-4EE1-8D18-9FD86155897B}"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0C6-4F32-A555-E9A9915BD46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'AVANCES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D0C6-4F32-A555-E9A9915BD469}"/>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19050"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'AVANCES 2022'!$C$29:$C$30</c:f>
              <c:numCache>
                <c:formatCode>General</c:formatCode>
                <c:ptCount val="2"/>
                <c:pt idx="0">
                  <c:v>0</c:v>
                </c:pt>
                <c:pt idx="1">
                  <c:v>0.13595249857703171</c:v>
                </c:pt>
              </c:numCache>
            </c:numRef>
          </c:xVal>
          <c:yVal>
            <c:numRef>
              <c:f>'AVANCES 2022'!$D$29:$D$30</c:f>
              <c:numCache>
                <c:formatCode>General</c:formatCode>
                <c:ptCount val="2"/>
                <c:pt idx="0">
                  <c:v>0</c:v>
                </c:pt>
                <c:pt idx="1">
                  <c:v>0.99071535676533362</c:v>
                </c:pt>
              </c:numCache>
            </c:numRef>
          </c:yVal>
          <c:smooth val="1"/>
          <c:extLst>
            <c:ext xmlns:c16="http://schemas.microsoft.com/office/drawing/2014/chart" uri="{C3380CC4-5D6E-409C-BE32-E72D297353CC}">
              <c16:uniqueId val="{00000017-D0C6-4F32-A555-E9A9915BD469}"/>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 2022</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'AVANCES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01-4C39-A62D-F4ADE406C546}"/>
                </c:ext>
              </c:extLst>
            </c:dLbl>
            <c:dLbl>
              <c:idx val="1"/>
              <c:layout>
                <c:manualLayout>
                  <c:x val="-6.2630399745240975E-3"/>
                  <c:y val="-3.26328121074608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01-4C39-A62D-F4ADE406C546}"/>
                </c:ext>
              </c:extLst>
            </c:dLbl>
            <c:dLbl>
              <c:idx val="2"/>
              <c:layout>
                <c:manualLayout>
                  <c:x val="0.12080422869159285"/>
                  <c:y val="4.75906195209799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1-4C39-A62D-F4ADE406C54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'AVANCES 2022'!$J$4:$J$6</c:f>
              <c:strCache>
                <c:ptCount val="3"/>
                <c:pt idx="0">
                  <c:v>Lo Intitucional </c:v>
                </c:pt>
                <c:pt idx="1">
                  <c:v>Lo Social </c:v>
                </c:pt>
                <c:pt idx="2">
                  <c:v>Lo ambiental </c:v>
                </c:pt>
              </c:strCache>
            </c:strRef>
          </c:cat>
          <c:val>
            <c:numRef>
              <c:f>'AVANCES 2022'!$H$4:$H$6</c:f>
              <c:numCache>
                <c:formatCode>0%</c:formatCode>
                <c:ptCount val="3"/>
                <c:pt idx="0">
                  <c:v>0.1424282975715373</c:v>
                </c:pt>
                <c:pt idx="1">
                  <c:v>0.32468307936936208</c:v>
                </c:pt>
                <c:pt idx="2">
                  <c:v>0.16285984533984532</c:v>
                </c:pt>
              </c:numCache>
            </c:numRef>
          </c:val>
          <c:extLst>
            <c:ext xmlns:c16="http://schemas.microsoft.com/office/drawing/2014/chart" uri="{C3380CC4-5D6E-409C-BE32-E72D297353CC}">
              <c16:uniqueId val="{00000003-1201-4C39-A62D-F4ADE406C546}"/>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chart" Target="../charts/chart5.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6.xml"/></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7.xml"/><Relationship Id="rId7" Type="http://schemas.openxmlformats.org/officeDocument/2006/relationships/chart" Target="../charts/chart11.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57501</xdr:colOff>
      <xdr:row>0</xdr:row>
      <xdr:rowOff>0</xdr:rowOff>
    </xdr:from>
    <xdr:to>
      <xdr:col>0</xdr:col>
      <xdr:colOff>1767840</xdr:colOff>
      <xdr:row>5</xdr:row>
      <xdr:rowOff>345446</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01" y="0"/>
          <a:ext cx="1710339" cy="61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179294</xdr:colOff>
      <xdr:row>8</xdr:row>
      <xdr:rowOff>145676</xdr:rowOff>
    </xdr:from>
    <xdr:to>
      <xdr:col>8</xdr:col>
      <xdr:colOff>280147</xdr:colOff>
      <xdr:row>11</xdr:row>
      <xdr:rowOff>145677</xdr:rowOff>
    </xdr:to>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6835588" y="5143500"/>
          <a:ext cx="862853" cy="515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290987</xdr:colOff>
      <xdr:row>0</xdr:row>
      <xdr:rowOff>0</xdr:rowOff>
    </xdr:from>
    <xdr:ext cx="2932883" cy="842441"/>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509" y="0"/>
          <a:ext cx="2932883" cy="842441"/>
        </a:xfrm>
        <a:prstGeom prst="rect">
          <a:avLst/>
        </a:prstGeom>
      </xdr:spPr>
    </xdr:pic>
    <xdr:clientData/>
  </xdr:oneCellAnchor>
  <xdr:oneCellAnchor>
    <xdr:from>
      <xdr:col>3</xdr:col>
      <xdr:colOff>54212</xdr:colOff>
      <xdr:row>3</xdr:row>
      <xdr:rowOff>57979</xdr:rowOff>
    </xdr:from>
    <xdr:ext cx="3186545" cy="784412"/>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54212" y="57979"/>
          <a:ext cx="3186545" cy="784412"/>
        </a:xfrm>
        <a:prstGeom prst="rect">
          <a:avLst/>
        </a:prstGeom>
      </xdr:spPr>
    </xdr:pic>
    <xdr:clientData/>
  </xdr:oneCellAnchor>
  <xdr:oneCellAnchor>
    <xdr:from>
      <xdr:col>24</xdr:col>
      <xdr:colOff>1282420</xdr:colOff>
      <xdr:row>0</xdr:row>
      <xdr:rowOff>102921</xdr:rowOff>
    </xdr:from>
    <xdr:ext cx="2991708" cy="849580"/>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0495" y="1760271"/>
          <a:ext cx="2991708" cy="849580"/>
        </a:xfrm>
        <a:prstGeom prst="rect">
          <a:avLst/>
        </a:prstGeom>
      </xdr:spPr>
    </xdr:pic>
    <xdr:clientData/>
  </xdr:oneCellAnchor>
  <xdr:twoCellAnchor>
    <xdr:from>
      <xdr:col>7</xdr:col>
      <xdr:colOff>1143000</xdr:colOff>
      <xdr:row>3</xdr:row>
      <xdr:rowOff>66260</xdr:rowOff>
    </xdr:from>
    <xdr:to>
      <xdr:col>13</xdr:col>
      <xdr:colOff>33131</xdr:colOff>
      <xdr:row>3</xdr:row>
      <xdr:rowOff>662608</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6717196" y="6626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50" b="1"/>
            <a:t>SEGUIMIENTO PDI 2021 - 2024, VIGENCIA 2022</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167987</xdr:rowOff>
    </xdr:from>
    <xdr:ext cx="2762226" cy="727362"/>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7625" y="167987"/>
          <a:ext cx="2762226" cy="727362"/>
        </a:xfrm>
        <a:prstGeom prst="rect">
          <a:avLst/>
        </a:prstGeom>
      </xdr:spPr>
    </xdr:pic>
    <xdr:clientData/>
  </xdr:oneCellAnchor>
  <xdr:oneCellAnchor>
    <xdr:from>
      <xdr:col>3</xdr:col>
      <xdr:colOff>534700</xdr:colOff>
      <xdr:row>0</xdr:row>
      <xdr:rowOff>15523</xdr:rowOff>
    </xdr:from>
    <xdr:ext cx="3022024" cy="727427"/>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3575" y="15523"/>
          <a:ext cx="3022024" cy="727427"/>
        </a:xfrm>
        <a:prstGeom prst="rect">
          <a:avLst/>
        </a:prstGeom>
      </xdr:spPr>
    </xdr:pic>
    <xdr:clientData/>
  </xdr:oneCellAnchor>
  <xdr:oneCellAnchor>
    <xdr:from>
      <xdr:col>20</xdr:col>
      <xdr:colOff>1060431</xdr:colOff>
      <xdr:row>0</xdr:row>
      <xdr:rowOff>92222</xdr:rowOff>
    </xdr:from>
    <xdr:ext cx="2600633" cy="745977"/>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67556" y="92222"/>
          <a:ext cx="2600633" cy="745977"/>
        </a:xfrm>
        <a:prstGeom prst="rect">
          <a:avLst/>
        </a:prstGeom>
      </xdr:spPr>
    </xdr:pic>
    <xdr:clientData/>
  </xdr:oneCellAnchor>
  <xdr:twoCellAnchor>
    <xdr:from>
      <xdr:col>4</xdr:col>
      <xdr:colOff>1381125</xdr:colOff>
      <xdr:row>0</xdr:row>
      <xdr:rowOff>133350</xdr:rowOff>
    </xdr:from>
    <xdr:to>
      <xdr:col>11</xdr:col>
      <xdr:colOff>342072</xdr:colOff>
      <xdr:row>0</xdr:row>
      <xdr:rowOff>729698</xdr:rowOff>
    </xdr:to>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6677025" y="13335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1358715</xdr:colOff>
      <xdr:row>0</xdr:row>
      <xdr:rowOff>0</xdr:rowOff>
    </xdr:from>
    <xdr:ext cx="2932883" cy="842441"/>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590" y="0"/>
          <a:ext cx="2932883" cy="842441"/>
        </a:xfrm>
        <a:prstGeom prst="rect">
          <a:avLst/>
        </a:prstGeom>
      </xdr:spPr>
    </xdr:pic>
    <xdr:clientData/>
  </xdr:oneCellAnchor>
  <xdr:oneCellAnchor>
    <xdr:from>
      <xdr:col>3</xdr:col>
      <xdr:colOff>108857</xdr:colOff>
      <xdr:row>0</xdr:row>
      <xdr:rowOff>54429</xdr:rowOff>
    </xdr:from>
    <xdr:ext cx="2762226" cy="784412"/>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08857" y="54429"/>
          <a:ext cx="2762226" cy="784412"/>
        </a:xfrm>
        <a:prstGeom prst="rect">
          <a:avLst/>
        </a:prstGeom>
      </xdr:spPr>
    </xdr:pic>
    <xdr:clientData/>
  </xdr:oneCellAnchor>
  <xdr:oneCellAnchor>
    <xdr:from>
      <xdr:col>25</xdr:col>
      <xdr:colOff>232522</xdr:colOff>
      <xdr:row>0</xdr:row>
      <xdr:rowOff>71437</xdr:rowOff>
    </xdr:from>
    <xdr:ext cx="2796988" cy="738188"/>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87447" y="71437"/>
          <a:ext cx="2796988" cy="738188"/>
        </a:xfrm>
        <a:prstGeom prst="rect">
          <a:avLst/>
        </a:prstGeom>
      </xdr:spPr>
    </xdr:pic>
    <xdr:clientData/>
  </xdr:oneCellAnchor>
  <xdr:twoCellAnchor>
    <xdr:from>
      <xdr:col>7</xdr:col>
      <xdr:colOff>1590675</xdr:colOff>
      <xdr:row>0</xdr:row>
      <xdr:rowOff>152400</xdr:rowOff>
    </xdr:from>
    <xdr:to>
      <xdr:col>15</xdr:col>
      <xdr:colOff>599247</xdr:colOff>
      <xdr:row>1</xdr:row>
      <xdr:rowOff>539198</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6553200" y="15240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599848</xdr:colOff>
      <xdr:row>1</xdr:row>
      <xdr:rowOff>30305</xdr:rowOff>
    </xdr:from>
    <xdr:to>
      <xdr:col>30</xdr:col>
      <xdr:colOff>363682</xdr:colOff>
      <xdr:row>27</xdr:row>
      <xdr:rowOff>51955</xdr:rowOff>
    </xdr:to>
    <xdr:sp macro="" textlink="">
      <xdr:nvSpPr>
        <xdr:cNvPr id="30" name="Elipse 29">
          <a:extLst>
            <a:ext uri="{FF2B5EF4-FFF2-40B4-BE49-F238E27FC236}">
              <a16:creationId xmlns:a16="http://schemas.microsoft.com/office/drawing/2014/main" id="{00000000-0008-0000-0500-00001E000000}"/>
            </a:ext>
          </a:extLst>
        </xdr:cNvPr>
        <xdr:cNvSpPr/>
      </xdr:nvSpPr>
      <xdr:spPr>
        <a:xfrm>
          <a:off x="18887848" y="186169"/>
          <a:ext cx="4335834" cy="407410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12</xdr:col>
      <xdr:colOff>556964</xdr:colOff>
      <xdr:row>5</xdr:row>
      <xdr:rowOff>151946</xdr:rowOff>
    </xdr:from>
    <xdr:to>
      <xdr:col>14</xdr:col>
      <xdr:colOff>158750</xdr:colOff>
      <xdr:row>12</xdr:row>
      <xdr:rowOff>127000</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9700964" y="945696"/>
          <a:ext cx="1125786" cy="108630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577571</xdr:colOff>
      <xdr:row>40</xdr:row>
      <xdr:rowOff>10925</xdr:rowOff>
    </xdr:from>
    <xdr:to>
      <xdr:col>16</xdr:col>
      <xdr:colOff>680757</xdr:colOff>
      <xdr:row>50</xdr:row>
      <xdr:rowOff>41088</xdr:rowOff>
    </xdr:to>
    <xdr:sp macro="" textlink="">
      <xdr:nvSpPr>
        <xdr:cNvPr id="26" name="Elipse 25">
          <a:extLst>
            <a:ext uri="{FF2B5EF4-FFF2-40B4-BE49-F238E27FC236}">
              <a16:creationId xmlns:a16="http://schemas.microsoft.com/office/drawing/2014/main" id="{00000000-0008-0000-0500-00001A000000}"/>
            </a:ext>
          </a:extLst>
        </xdr:cNvPr>
        <xdr:cNvSpPr/>
      </xdr:nvSpPr>
      <xdr:spPr>
        <a:xfrm>
          <a:off x="11245571" y="6286219"/>
          <a:ext cx="1627186" cy="1598987"/>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760414</xdr:colOff>
      <xdr:row>41</xdr:row>
      <xdr:rowOff>119062</xdr:rowOff>
    </xdr:from>
    <xdr:to>
      <xdr:col>11</xdr:col>
      <xdr:colOff>674688</xdr:colOff>
      <xdr:row>54</xdr:row>
      <xdr:rowOff>147638</xdr:rowOff>
    </xdr:to>
    <xdr:sp macro="" textlink="">
      <xdr:nvSpPr>
        <xdr:cNvPr id="25" name="Elipse 24">
          <a:extLst>
            <a:ext uri="{FF2B5EF4-FFF2-40B4-BE49-F238E27FC236}">
              <a16:creationId xmlns:a16="http://schemas.microsoft.com/office/drawing/2014/main" id="{00000000-0008-0000-0500-000019000000}"/>
            </a:ext>
          </a:extLst>
        </xdr:cNvPr>
        <xdr:cNvSpPr/>
      </xdr:nvSpPr>
      <xdr:spPr>
        <a:xfrm>
          <a:off x="6856414" y="6627812"/>
          <a:ext cx="2200274" cy="2092326"/>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539946</xdr:colOff>
      <xdr:row>24</xdr:row>
      <xdr:rowOff>11651</xdr:rowOff>
    </xdr:from>
    <xdr:to>
      <xdr:col>10</xdr:col>
      <xdr:colOff>25743</xdr:colOff>
      <xdr:row>57</xdr:row>
      <xdr:rowOff>102973</xdr:rowOff>
    </xdr:to>
    <xdr:sp macro="" textlink="">
      <xdr:nvSpPr>
        <xdr:cNvPr id="22" name="Elipse 21">
          <a:extLst>
            <a:ext uri="{FF2B5EF4-FFF2-40B4-BE49-F238E27FC236}">
              <a16:creationId xmlns:a16="http://schemas.microsoft.com/office/drawing/2014/main" id="{00000000-0008-0000-0500-000016000000}"/>
            </a:ext>
          </a:extLst>
        </xdr:cNvPr>
        <xdr:cNvSpPr/>
      </xdr:nvSpPr>
      <xdr:spPr>
        <a:xfrm>
          <a:off x="2084541" y="3718678"/>
          <a:ext cx="5664175" cy="518848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606974</xdr:colOff>
      <xdr:row>24</xdr:row>
      <xdr:rowOff>114636</xdr:rowOff>
    </xdr:from>
    <xdr:to>
      <xdr:col>9</xdr:col>
      <xdr:colOff>695067</xdr:colOff>
      <xdr:row>57</xdr:row>
      <xdr:rowOff>77229</xdr:rowOff>
    </xdr:to>
    <xdr:sp macro="" textlink="">
      <xdr:nvSpPr>
        <xdr:cNvPr id="21" name="Elipse 20">
          <a:extLst>
            <a:ext uri="{FF2B5EF4-FFF2-40B4-BE49-F238E27FC236}">
              <a16:creationId xmlns:a16="http://schemas.microsoft.com/office/drawing/2014/main" id="{00000000-0008-0000-0500-000015000000}"/>
            </a:ext>
          </a:extLst>
        </xdr:cNvPr>
        <xdr:cNvSpPr/>
      </xdr:nvSpPr>
      <xdr:spPr>
        <a:xfrm>
          <a:off x="2151569" y="3821663"/>
          <a:ext cx="5494174" cy="5059755"/>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419574</xdr:colOff>
      <xdr:row>21</xdr:row>
      <xdr:rowOff>50404</xdr:rowOff>
    </xdr:from>
    <xdr:to>
      <xdr:col>15</xdr:col>
      <xdr:colOff>86591</xdr:colOff>
      <xdr:row>46</xdr:row>
      <xdr:rowOff>86591</xdr:rowOff>
    </xdr:to>
    <xdr:sp macro="" textlink="">
      <xdr:nvSpPr>
        <xdr:cNvPr id="20" name="Elipse 19">
          <a:extLst>
            <a:ext uri="{FF2B5EF4-FFF2-40B4-BE49-F238E27FC236}">
              <a16:creationId xmlns:a16="http://schemas.microsoft.com/office/drawing/2014/main" id="{00000000-0008-0000-0500-000014000000}"/>
            </a:ext>
          </a:extLst>
        </xdr:cNvPr>
        <xdr:cNvSpPr/>
      </xdr:nvSpPr>
      <xdr:spPr>
        <a:xfrm>
          <a:off x="7277574" y="3323540"/>
          <a:ext cx="4239017" cy="3932778"/>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9</xdr:col>
      <xdr:colOff>548864</xdr:colOff>
      <xdr:row>21</xdr:row>
      <xdr:rowOff>116920</xdr:rowOff>
    </xdr:from>
    <xdr:to>
      <xdr:col>14</xdr:col>
      <xdr:colOff>730249</xdr:colOff>
      <xdr:row>46</xdr:row>
      <xdr:rowOff>0</xdr:rowOff>
    </xdr:to>
    <xdr:sp macro="" textlink="">
      <xdr:nvSpPr>
        <xdr:cNvPr id="19" name="Elipse 18">
          <a:extLst>
            <a:ext uri="{FF2B5EF4-FFF2-40B4-BE49-F238E27FC236}">
              <a16:creationId xmlns:a16="http://schemas.microsoft.com/office/drawing/2014/main" id="{00000000-0008-0000-0500-000013000000}"/>
            </a:ext>
          </a:extLst>
        </xdr:cNvPr>
        <xdr:cNvSpPr/>
      </xdr:nvSpPr>
      <xdr:spPr>
        <a:xfrm>
          <a:off x="7406864" y="3450670"/>
          <a:ext cx="3991385" cy="385183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17</xdr:col>
      <xdr:colOff>541764</xdr:colOff>
      <xdr:row>2</xdr:row>
      <xdr:rowOff>48388</xdr:rowOff>
    </xdr:from>
    <xdr:to>
      <xdr:col>25</xdr:col>
      <xdr:colOff>471340</xdr:colOff>
      <xdr:row>40</xdr:row>
      <xdr:rowOff>22720</xdr:rowOff>
    </xdr:to>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13495764" y="362153"/>
          <a:ext cx="6025576" cy="5935861"/>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4" name="Elipse 13">
          <a:extLst>
            <a:ext uri="{FF2B5EF4-FFF2-40B4-BE49-F238E27FC236}">
              <a16:creationId xmlns:a16="http://schemas.microsoft.com/office/drawing/2014/main" id="{00000000-0008-0000-0500-00000E000000}"/>
            </a:ext>
          </a:extLst>
        </xdr:cNvPr>
        <xdr:cNvSpPr/>
      </xdr:nvSpPr>
      <xdr:spPr>
        <a:xfrm>
          <a:off x="5635625" y="492123"/>
          <a:ext cx="2968625" cy="2762251"/>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6" name="Elipse 5">
          <a:extLst>
            <a:ext uri="{FF2B5EF4-FFF2-40B4-BE49-F238E27FC236}">
              <a16:creationId xmlns:a16="http://schemas.microsoft.com/office/drawing/2014/main" id="{00000000-0008-0000-0500-000006000000}"/>
            </a:ext>
          </a:extLst>
        </xdr:cNvPr>
        <xdr:cNvSpPr/>
      </xdr:nvSpPr>
      <xdr:spPr>
        <a:xfrm>
          <a:off x="5667291" y="536843"/>
          <a:ext cx="2857584" cy="268578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513258</xdr:colOff>
      <xdr:row>33</xdr:row>
      <xdr:rowOff>44739</xdr:rowOff>
    </xdr:from>
    <xdr:to>
      <xdr:col>24</xdr:col>
      <xdr:colOff>334818</xdr:colOff>
      <xdr:row>54</xdr:row>
      <xdr:rowOff>60613</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4991258" y="5188239"/>
          <a:ext cx="3631560" cy="3289010"/>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xdr:col>
      <xdr:colOff>587823</xdr:colOff>
      <xdr:row>33</xdr:row>
      <xdr:rowOff>95355</xdr:rowOff>
    </xdr:from>
    <xdr:to>
      <xdr:col>24</xdr:col>
      <xdr:colOff>189056</xdr:colOff>
      <xdr:row>53</xdr:row>
      <xdr:rowOff>151534</xdr:rowOff>
    </xdr:to>
    <xdr:sp macro="" textlink="">
      <xdr:nvSpPr>
        <xdr:cNvPr id="7" name="Elipse 6">
          <a:extLst>
            <a:ext uri="{FF2B5EF4-FFF2-40B4-BE49-F238E27FC236}">
              <a16:creationId xmlns:a16="http://schemas.microsoft.com/office/drawing/2014/main" id="{00000000-0008-0000-0500-000007000000}"/>
            </a:ext>
          </a:extLst>
        </xdr:cNvPr>
        <xdr:cNvSpPr/>
      </xdr:nvSpPr>
      <xdr:spPr>
        <a:xfrm>
          <a:off x="15065823" y="5238855"/>
          <a:ext cx="3411233" cy="3173452"/>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107702</xdr:colOff>
      <xdr:row>4</xdr:row>
      <xdr:rowOff>99680</xdr:rowOff>
    </xdr:from>
    <xdr:to>
      <xdr:col>19</xdr:col>
      <xdr:colOff>581602</xdr:colOff>
      <xdr:row>33</xdr:row>
      <xdr:rowOff>95249</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0013702" y="723135"/>
          <a:ext cx="5045900" cy="451561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207570</xdr:colOff>
      <xdr:row>4</xdr:row>
      <xdr:rowOff>123021</xdr:rowOff>
    </xdr:from>
    <xdr:to>
      <xdr:col>19</xdr:col>
      <xdr:colOff>519545</xdr:colOff>
      <xdr:row>33</xdr:row>
      <xdr:rowOff>51955</xdr:rowOff>
    </xdr:to>
    <xdr:sp macro="" textlink="">
      <xdr:nvSpPr>
        <xdr:cNvPr id="5" name="Elipse 4">
          <a:extLst>
            <a:ext uri="{FF2B5EF4-FFF2-40B4-BE49-F238E27FC236}">
              <a16:creationId xmlns:a16="http://schemas.microsoft.com/office/drawing/2014/main" id="{00000000-0008-0000-0500-000005000000}"/>
            </a:ext>
          </a:extLst>
        </xdr:cNvPr>
        <xdr:cNvSpPr/>
      </xdr:nvSpPr>
      <xdr:spPr>
        <a:xfrm>
          <a:off x="10113570" y="746476"/>
          <a:ext cx="4883975" cy="444897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6250441" y="3266623"/>
          <a:ext cx="832696" cy="82211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140264</xdr:colOff>
      <xdr:row>5</xdr:row>
      <xdr:rowOff>127837</xdr:rowOff>
    </xdr:from>
    <xdr:to>
      <xdr:col>6</xdr:col>
      <xdr:colOff>231689</xdr:colOff>
      <xdr:row>34</xdr:row>
      <xdr:rowOff>51486</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40264" y="900134"/>
          <a:ext cx="4725209" cy="440297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263440</xdr:colOff>
      <xdr:row>6</xdr:row>
      <xdr:rowOff>97901</xdr:rowOff>
    </xdr:from>
    <xdr:to>
      <xdr:col>6</xdr:col>
      <xdr:colOff>108980</xdr:colOff>
      <xdr:row>33</xdr:row>
      <xdr:rowOff>144591</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263440" y="1050401"/>
          <a:ext cx="4417540" cy="433294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692520</xdr:colOff>
      <xdr:row>34</xdr:row>
      <xdr:rowOff>80818</xdr:rowOff>
    </xdr:from>
    <xdr:to>
      <xdr:col>25</xdr:col>
      <xdr:colOff>396875</xdr:colOff>
      <xdr:row>55</xdr:row>
      <xdr:rowOff>49069</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345292</xdr:colOff>
      <xdr:row>8</xdr:row>
      <xdr:rowOff>9836</xdr:rowOff>
    </xdr:from>
    <xdr:to>
      <xdr:col>19</xdr:col>
      <xdr:colOff>445943</xdr:colOff>
      <xdr:row>27</xdr:row>
      <xdr:rowOff>73603</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737922</xdr:colOff>
      <xdr:row>31</xdr:row>
      <xdr:rowOff>7195</xdr:rowOff>
    </xdr:from>
    <xdr:to>
      <xdr:col>9</xdr:col>
      <xdr:colOff>299875</xdr:colOff>
      <xdr:row>53</xdr:row>
      <xdr:rowOff>89296</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643582</xdr:colOff>
      <xdr:row>25</xdr:row>
      <xdr:rowOff>49420</xdr:rowOff>
    </xdr:from>
    <xdr:to>
      <xdr:col>15</xdr:col>
      <xdr:colOff>421663</xdr:colOff>
      <xdr:row>46</xdr:row>
      <xdr:rowOff>15282</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446090</xdr:colOff>
      <xdr:row>49</xdr:row>
      <xdr:rowOff>58737</xdr:rowOff>
    </xdr:from>
    <xdr:to>
      <xdr:col>15</xdr:col>
      <xdr:colOff>79376</xdr:colOff>
      <xdr:row>56</xdr:row>
      <xdr:rowOff>31750</xdr:rowOff>
    </xdr:to>
    <xdr:sp macro="" textlink="">
      <xdr:nvSpPr>
        <xdr:cNvPr id="27" name="Elipse 26">
          <a:extLst>
            <a:ext uri="{FF2B5EF4-FFF2-40B4-BE49-F238E27FC236}">
              <a16:creationId xmlns:a16="http://schemas.microsoft.com/office/drawing/2014/main" id="{00000000-0008-0000-0500-00001B000000}"/>
            </a:ext>
          </a:extLst>
        </xdr:cNvPr>
        <xdr:cNvSpPr/>
      </xdr:nvSpPr>
      <xdr:spPr>
        <a:xfrm>
          <a:off x="10352090" y="7837487"/>
          <a:ext cx="1157286" cy="10842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74615</xdr:colOff>
      <xdr:row>52</xdr:row>
      <xdr:rowOff>4762</xdr:rowOff>
    </xdr:from>
    <xdr:to>
      <xdr:col>14</xdr:col>
      <xdr:colOff>31751</xdr:colOff>
      <xdr:row>55</xdr:row>
      <xdr:rowOff>142875</xdr:rowOff>
    </xdr:to>
    <xdr:sp macro="" textlink="">
      <xdr:nvSpPr>
        <xdr:cNvPr id="28" name="Elipse 27">
          <a:extLst>
            <a:ext uri="{FF2B5EF4-FFF2-40B4-BE49-F238E27FC236}">
              <a16:creationId xmlns:a16="http://schemas.microsoft.com/office/drawing/2014/main" id="{00000000-0008-0000-0500-00001C000000}"/>
            </a:ext>
          </a:extLst>
        </xdr:cNvPr>
        <xdr:cNvSpPr/>
      </xdr:nvSpPr>
      <xdr:spPr>
        <a:xfrm>
          <a:off x="9980615" y="8259762"/>
          <a:ext cx="719136" cy="6143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7</xdr:col>
      <xdr:colOff>222250</xdr:colOff>
      <xdr:row>3</xdr:row>
      <xdr:rowOff>142876</xdr:rowOff>
    </xdr:from>
    <xdr:to>
      <xdr:col>11</xdr:col>
      <xdr:colOff>333375</xdr:colOff>
      <xdr:row>16</xdr:row>
      <xdr:rowOff>110326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19126"/>
          <a:ext cx="3159125" cy="2031200"/>
        </a:xfrm>
        <a:prstGeom prst="rect">
          <a:avLst/>
        </a:prstGeom>
      </xdr:spPr>
    </xdr:pic>
    <xdr:clientData/>
  </xdr:twoCellAnchor>
  <xdr:twoCellAnchor>
    <xdr:from>
      <xdr:col>24</xdr:col>
      <xdr:colOff>726368</xdr:colOff>
      <xdr:row>1</xdr:row>
      <xdr:rowOff>103907</xdr:rowOff>
    </xdr:from>
    <xdr:to>
      <xdr:col>30</xdr:col>
      <xdr:colOff>259772</xdr:colOff>
      <xdr:row>26</xdr:row>
      <xdr:rowOff>121225</xdr:rowOff>
    </xdr:to>
    <xdr:sp macro="" textlink="">
      <xdr:nvSpPr>
        <xdr:cNvPr id="29" name="Elipse 28">
          <a:extLst>
            <a:ext uri="{FF2B5EF4-FFF2-40B4-BE49-F238E27FC236}">
              <a16:creationId xmlns:a16="http://schemas.microsoft.com/office/drawing/2014/main" id="{00000000-0008-0000-0500-00001D000000}"/>
            </a:ext>
          </a:extLst>
        </xdr:cNvPr>
        <xdr:cNvSpPr/>
      </xdr:nvSpPr>
      <xdr:spPr>
        <a:xfrm>
          <a:off x="19014368" y="259771"/>
          <a:ext cx="4105404" cy="391390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129813</xdr:colOff>
      <xdr:row>27</xdr:row>
      <xdr:rowOff>97133</xdr:rowOff>
    </xdr:from>
    <xdr:to>
      <xdr:col>32</xdr:col>
      <xdr:colOff>659110</xdr:colOff>
      <xdr:row>53</xdr:row>
      <xdr:rowOff>118783</xdr:rowOff>
    </xdr:to>
    <xdr:sp macro="" textlink="">
      <xdr:nvSpPr>
        <xdr:cNvPr id="31" name="Elipse 30">
          <a:extLst>
            <a:ext uri="{FF2B5EF4-FFF2-40B4-BE49-F238E27FC236}">
              <a16:creationId xmlns:a16="http://schemas.microsoft.com/office/drawing/2014/main" id="{00000000-0008-0000-0500-00001F000000}"/>
            </a:ext>
          </a:extLst>
        </xdr:cNvPr>
        <xdr:cNvSpPr/>
      </xdr:nvSpPr>
      <xdr:spPr>
        <a:xfrm>
          <a:off x="20703813" y="4332957"/>
          <a:ext cx="4339297" cy="4100591"/>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295043</xdr:colOff>
      <xdr:row>27</xdr:row>
      <xdr:rowOff>143230</xdr:rowOff>
    </xdr:from>
    <xdr:to>
      <xdr:col>32</xdr:col>
      <xdr:colOff>590447</xdr:colOff>
      <xdr:row>53</xdr:row>
      <xdr:rowOff>3666</xdr:rowOff>
    </xdr:to>
    <xdr:sp macro="" textlink="">
      <xdr:nvSpPr>
        <xdr:cNvPr id="32" name="Elipse 31">
          <a:extLst>
            <a:ext uri="{FF2B5EF4-FFF2-40B4-BE49-F238E27FC236}">
              <a16:creationId xmlns:a16="http://schemas.microsoft.com/office/drawing/2014/main" id="{00000000-0008-0000-0500-000020000000}"/>
            </a:ext>
          </a:extLst>
        </xdr:cNvPr>
        <xdr:cNvSpPr/>
      </xdr:nvSpPr>
      <xdr:spPr>
        <a:xfrm>
          <a:off x="20869043" y="4379054"/>
          <a:ext cx="4105404" cy="3939377"/>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24</xdr:col>
      <xdr:colOff>345367</xdr:colOff>
      <xdr:row>4</xdr:row>
      <xdr:rowOff>121225</xdr:rowOff>
    </xdr:from>
    <xdr:to>
      <xdr:col>30</xdr:col>
      <xdr:colOff>710044</xdr:colOff>
      <xdr:row>22</xdr:row>
      <xdr:rowOff>58880</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0.37273</cdr:x>
      <cdr:y>0.5595</cdr:y>
    </cdr:from>
    <cdr:to>
      <cdr:x>0.75671</cdr:x>
      <cdr:y>0.7017</cdr:y>
    </cdr:to>
    <cdr:sp macro="" textlink="">
      <cdr:nvSpPr>
        <cdr:cNvPr id="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userShapes>
</file>

<file path=xl/drawings/drawing8.xml><?xml version="1.0" encoding="utf-8"?>
<xdr:wsDr xmlns:xdr="http://schemas.openxmlformats.org/drawingml/2006/spreadsheetDrawing" xmlns:a="http://schemas.openxmlformats.org/drawingml/2006/main">
  <xdr:twoCellAnchor>
    <xdr:from>
      <xdr:col>24</xdr:col>
      <xdr:colOff>599848</xdr:colOff>
      <xdr:row>1</xdr:row>
      <xdr:rowOff>30305</xdr:rowOff>
    </xdr:from>
    <xdr:to>
      <xdr:col>30</xdr:col>
      <xdr:colOff>363682</xdr:colOff>
      <xdr:row>27</xdr:row>
      <xdr:rowOff>51955</xdr:rowOff>
    </xdr:to>
    <xdr:sp macro="" textlink="">
      <xdr:nvSpPr>
        <xdr:cNvPr id="2" name="Elipse 1">
          <a:extLst>
            <a:ext uri="{FF2B5EF4-FFF2-40B4-BE49-F238E27FC236}">
              <a16:creationId xmlns:a16="http://schemas.microsoft.com/office/drawing/2014/main" id="{00000000-0008-0000-0600-000002000000}"/>
            </a:ext>
          </a:extLst>
        </xdr:cNvPr>
        <xdr:cNvSpPr/>
      </xdr:nvSpPr>
      <xdr:spPr>
        <a:xfrm>
          <a:off x="18887848" y="192230"/>
          <a:ext cx="4335834" cy="4231700"/>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184369</xdr:colOff>
      <xdr:row>63</xdr:row>
      <xdr:rowOff>158150</xdr:rowOff>
    </xdr:from>
    <xdr:to>
      <xdr:col>16</xdr:col>
      <xdr:colOff>548155</xdr:colOff>
      <xdr:row>70</xdr:row>
      <xdr:rowOff>37954</xdr:rowOff>
    </xdr:to>
    <xdr:sp macro="" textlink="">
      <xdr:nvSpPr>
        <xdr:cNvPr id="3" name="Elipse 2">
          <a:extLst>
            <a:ext uri="{FF2B5EF4-FFF2-40B4-BE49-F238E27FC236}">
              <a16:creationId xmlns:a16="http://schemas.microsoft.com/office/drawing/2014/main" id="{00000000-0008-0000-0600-000003000000}"/>
            </a:ext>
          </a:extLst>
        </xdr:cNvPr>
        <xdr:cNvSpPr/>
      </xdr:nvSpPr>
      <xdr:spPr>
        <a:xfrm>
          <a:off x="11614369" y="10458757"/>
          <a:ext cx="1125786" cy="111805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608186</xdr:colOff>
      <xdr:row>60</xdr:row>
      <xdr:rowOff>54428</xdr:rowOff>
    </xdr:from>
    <xdr:to>
      <xdr:col>18</xdr:col>
      <xdr:colOff>711372</xdr:colOff>
      <xdr:row>69</xdr:row>
      <xdr:rowOff>163551</xdr:rowOff>
    </xdr:to>
    <xdr:sp macro="" textlink="">
      <xdr:nvSpPr>
        <xdr:cNvPr id="4" name="Elipse 3">
          <a:extLst>
            <a:ext uri="{FF2B5EF4-FFF2-40B4-BE49-F238E27FC236}">
              <a16:creationId xmlns:a16="http://schemas.microsoft.com/office/drawing/2014/main" id="{00000000-0008-0000-0600-000004000000}"/>
            </a:ext>
          </a:extLst>
        </xdr:cNvPr>
        <xdr:cNvSpPr/>
      </xdr:nvSpPr>
      <xdr:spPr>
        <a:xfrm>
          <a:off x="12800186" y="9851571"/>
          <a:ext cx="1627186" cy="1673944"/>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xdr:col>
      <xdr:colOff>242341</xdr:colOff>
      <xdr:row>61</xdr:row>
      <xdr:rowOff>146478</xdr:rowOff>
    </xdr:from>
    <xdr:to>
      <xdr:col>19</xdr:col>
      <xdr:colOff>156615</xdr:colOff>
      <xdr:row>74</xdr:row>
      <xdr:rowOff>66196</xdr:rowOff>
    </xdr:to>
    <xdr:sp macro="" textlink="">
      <xdr:nvSpPr>
        <xdr:cNvPr id="5" name="Elipse 4">
          <a:extLst>
            <a:ext uri="{FF2B5EF4-FFF2-40B4-BE49-F238E27FC236}">
              <a16:creationId xmlns:a16="http://schemas.microsoft.com/office/drawing/2014/main" id="{00000000-0008-0000-0600-000005000000}"/>
            </a:ext>
          </a:extLst>
        </xdr:cNvPr>
        <xdr:cNvSpPr/>
      </xdr:nvSpPr>
      <xdr:spPr>
        <a:xfrm>
          <a:off x="12434341" y="10106907"/>
          <a:ext cx="2200274" cy="2151289"/>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xdr:col>
      <xdr:colOff>562358</xdr:colOff>
      <xdr:row>38</xdr:row>
      <xdr:rowOff>34665</xdr:rowOff>
    </xdr:from>
    <xdr:to>
      <xdr:col>8</xdr:col>
      <xdr:colOff>367393</xdr:colOff>
      <xdr:row>67</xdr:row>
      <xdr:rowOff>122465</xdr:rowOff>
    </xdr:to>
    <xdr:sp macro="" textlink="">
      <xdr:nvSpPr>
        <xdr:cNvPr id="6" name="Elipse 5">
          <a:extLst>
            <a:ext uri="{FF2B5EF4-FFF2-40B4-BE49-F238E27FC236}">
              <a16:creationId xmlns:a16="http://schemas.microsoft.com/office/drawing/2014/main" id="{00000000-0008-0000-0600-000006000000}"/>
            </a:ext>
          </a:extLst>
        </xdr:cNvPr>
        <xdr:cNvSpPr/>
      </xdr:nvSpPr>
      <xdr:spPr>
        <a:xfrm>
          <a:off x="1324358" y="6239522"/>
          <a:ext cx="5139035" cy="4891122"/>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xdr:col>
      <xdr:colOff>603174</xdr:colOff>
      <xdr:row>38</xdr:row>
      <xdr:rowOff>111037</xdr:rowOff>
    </xdr:from>
    <xdr:to>
      <xdr:col>8</xdr:col>
      <xdr:colOff>312964</xdr:colOff>
      <xdr:row>67</xdr:row>
      <xdr:rowOff>68036</xdr:rowOff>
    </xdr:to>
    <xdr:sp macro="" textlink="">
      <xdr:nvSpPr>
        <xdr:cNvPr id="7" name="Elipse 6">
          <a:extLst>
            <a:ext uri="{FF2B5EF4-FFF2-40B4-BE49-F238E27FC236}">
              <a16:creationId xmlns:a16="http://schemas.microsoft.com/office/drawing/2014/main" id="{00000000-0008-0000-0600-000007000000}"/>
            </a:ext>
          </a:extLst>
        </xdr:cNvPr>
        <xdr:cNvSpPr/>
      </xdr:nvSpPr>
      <xdr:spPr>
        <a:xfrm>
          <a:off x="1365174" y="6315894"/>
          <a:ext cx="5043790" cy="476032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422977</xdr:colOff>
      <xdr:row>33</xdr:row>
      <xdr:rowOff>2779</xdr:rowOff>
    </xdr:from>
    <xdr:to>
      <xdr:col>15</xdr:col>
      <xdr:colOff>612321</xdr:colOff>
      <xdr:row>56</xdr:row>
      <xdr:rowOff>136071</xdr:rowOff>
    </xdr:to>
    <xdr:sp macro="" textlink="">
      <xdr:nvSpPr>
        <xdr:cNvPr id="8" name="Elipse 7">
          <a:extLst>
            <a:ext uri="{FF2B5EF4-FFF2-40B4-BE49-F238E27FC236}">
              <a16:creationId xmlns:a16="http://schemas.microsoft.com/office/drawing/2014/main" id="{00000000-0008-0000-0600-000008000000}"/>
            </a:ext>
          </a:extLst>
        </xdr:cNvPr>
        <xdr:cNvSpPr/>
      </xdr:nvSpPr>
      <xdr:spPr>
        <a:xfrm>
          <a:off x="8042977" y="5391208"/>
          <a:ext cx="3999344" cy="3888863"/>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477427</xdr:colOff>
      <xdr:row>33</xdr:row>
      <xdr:rowOff>69295</xdr:rowOff>
    </xdr:from>
    <xdr:to>
      <xdr:col>15</xdr:col>
      <xdr:colOff>571500</xdr:colOff>
      <xdr:row>56</xdr:row>
      <xdr:rowOff>81643</xdr:rowOff>
    </xdr:to>
    <xdr:sp macro="" textlink="">
      <xdr:nvSpPr>
        <xdr:cNvPr id="9" name="Elipse 8">
          <a:extLst>
            <a:ext uri="{FF2B5EF4-FFF2-40B4-BE49-F238E27FC236}">
              <a16:creationId xmlns:a16="http://schemas.microsoft.com/office/drawing/2014/main" id="{00000000-0008-0000-0600-000009000000}"/>
            </a:ext>
          </a:extLst>
        </xdr:cNvPr>
        <xdr:cNvSpPr/>
      </xdr:nvSpPr>
      <xdr:spPr>
        <a:xfrm>
          <a:off x="8097427" y="5457724"/>
          <a:ext cx="3904073" cy="376791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36</xdr:col>
      <xdr:colOff>222396</xdr:colOff>
      <xdr:row>11</xdr:row>
      <xdr:rowOff>107219</xdr:rowOff>
    </xdr:from>
    <xdr:to>
      <xdr:col>44</xdr:col>
      <xdr:colOff>151972</xdr:colOff>
      <xdr:row>49</xdr:row>
      <xdr:rowOff>81551</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27654396" y="1940782"/>
          <a:ext cx="6025576" cy="6308457"/>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1" name="Elipse 10">
          <a:extLst>
            <a:ext uri="{FF2B5EF4-FFF2-40B4-BE49-F238E27FC236}">
              <a16:creationId xmlns:a16="http://schemas.microsoft.com/office/drawing/2014/main" id="{00000000-0008-0000-0600-00000B000000}"/>
            </a:ext>
          </a:extLst>
        </xdr:cNvPr>
        <xdr:cNvSpPr/>
      </xdr:nvSpPr>
      <xdr:spPr>
        <a:xfrm>
          <a:off x="5635625" y="501648"/>
          <a:ext cx="2968625" cy="2816226"/>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12" name="Elipse 11">
          <a:extLst>
            <a:ext uri="{FF2B5EF4-FFF2-40B4-BE49-F238E27FC236}">
              <a16:creationId xmlns:a16="http://schemas.microsoft.com/office/drawing/2014/main" id="{00000000-0008-0000-0600-00000C000000}"/>
            </a:ext>
          </a:extLst>
        </xdr:cNvPr>
        <xdr:cNvSpPr/>
      </xdr:nvSpPr>
      <xdr:spPr>
        <a:xfrm>
          <a:off x="5667291" y="546368"/>
          <a:ext cx="2857584" cy="273975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513258</xdr:colOff>
      <xdr:row>33</xdr:row>
      <xdr:rowOff>44739</xdr:rowOff>
    </xdr:from>
    <xdr:to>
      <xdr:col>24</xdr:col>
      <xdr:colOff>258536</xdr:colOff>
      <xdr:row>54</xdr:row>
      <xdr:rowOff>60613</xdr:rowOff>
    </xdr:to>
    <xdr:sp macro="" textlink="">
      <xdr:nvSpPr>
        <xdr:cNvPr id="13" name="Elipse 12">
          <a:extLst>
            <a:ext uri="{FF2B5EF4-FFF2-40B4-BE49-F238E27FC236}">
              <a16:creationId xmlns:a16="http://schemas.microsoft.com/office/drawing/2014/main" id="{00000000-0008-0000-0600-00000D000000}"/>
            </a:ext>
          </a:extLst>
        </xdr:cNvPr>
        <xdr:cNvSpPr/>
      </xdr:nvSpPr>
      <xdr:spPr>
        <a:xfrm>
          <a:off x="14991258" y="5433168"/>
          <a:ext cx="3555278" cy="344487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xdr:col>
      <xdr:colOff>587823</xdr:colOff>
      <xdr:row>33</xdr:row>
      <xdr:rowOff>95355</xdr:rowOff>
    </xdr:from>
    <xdr:to>
      <xdr:col>24</xdr:col>
      <xdr:colOff>189056</xdr:colOff>
      <xdr:row>53</xdr:row>
      <xdr:rowOff>151534</xdr:rowOff>
    </xdr:to>
    <xdr:sp macro="" textlink="">
      <xdr:nvSpPr>
        <xdr:cNvPr id="14" name="Elipse 13">
          <a:extLst>
            <a:ext uri="{FF2B5EF4-FFF2-40B4-BE49-F238E27FC236}">
              <a16:creationId xmlns:a16="http://schemas.microsoft.com/office/drawing/2014/main" id="{00000000-0008-0000-0600-00000E000000}"/>
            </a:ext>
          </a:extLst>
        </xdr:cNvPr>
        <xdr:cNvSpPr/>
      </xdr:nvSpPr>
      <xdr:spPr>
        <a:xfrm>
          <a:off x="15065823" y="5438880"/>
          <a:ext cx="3411233" cy="329467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12</xdr:col>
      <xdr:colOff>410260</xdr:colOff>
      <xdr:row>1</xdr:row>
      <xdr:rowOff>68864</xdr:rowOff>
    </xdr:from>
    <xdr:to>
      <xdr:col>18</xdr:col>
      <xdr:colOff>672353</xdr:colOff>
      <xdr:row>30</xdr:row>
      <xdr:rowOff>64432</xdr:rowOff>
    </xdr:to>
    <xdr:sp macro="" textlink="">
      <xdr:nvSpPr>
        <xdr:cNvPr id="15" name="Elipse 14">
          <a:extLst>
            <a:ext uri="{FF2B5EF4-FFF2-40B4-BE49-F238E27FC236}">
              <a16:creationId xmlns:a16="http://schemas.microsoft.com/office/drawing/2014/main" id="{00000000-0008-0000-0600-00000F000000}"/>
            </a:ext>
          </a:extLst>
        </xdr:cNvPr>
        <xdr:cNvSpPr/>
      </xdr:nvSpPr>
      <xdr:spPr>
        <a:xfrm>
          <a:off x="9554260" y="225746"/>
          <a:ext cx="4834093" cy="4545157"/>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497521</xdr:colOff>
      <xdr:row>1</xdr:row>
      <xdr:rowOff>96406</xdr:rowOff>
    </xdr:from>
    <xdr:to>
      <xdr:col>18</xdr:col>
      <xdr:colOff>627528</xdr:colOff>
      <xdr:row>30</xdr:row>
      <xdr:rowOff>35145</xdr:rowOff>
    </xdr:to>
    <xdr:sp macro="" textlink="">
      <xdr:nvSpPr>
        <xdr:cNvPr id="16" name="Elipse 15">
          <a:extLst>
            <a:ext uri="{FF2B5EF4-FFF2-40B4-BE49-F238E27FC236}">
              <a16:creationId xmlns:a16="http://schemas.microsoft.com/office/drawing/2014/main" id="{00000000-0008-0000-0600-000010000000}"/>
            </a:ext>
          </a:extLst>
        </xdr:cNvPr>
        <xdr:cNvSpPr/>
      </xdr:nvSpPr>
      <xdr:spPr>
        <a:xfrm>
          <a:off x="9641521" y="253288"/>
          <a:ext cx="4702007" cy="448832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7" name="Elipse 16">
          <a:extLst>
            <a:ext uri="{FF2B5EF4-FFF2-40B4-BE49-F238E27FC236}">
              <a16:creationId xmlns:a16="http://schemas.microsoft.com/office/drawing/2014/main" id="{00000000-0008-0000-0600-000011000000}"/>
            </a:ext>
          </a:extLst>
        </xdr:cNvPr>
        <xdr:cNvSpPr/>
      </xdr:nvSpPr>
      <xdr:spPr>
        <a:xfrm>
          <a:off x="6250441" y="3330123"/>
          <a:ext cx="832696" cy="83799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235515</xdr:colOff>
      <xdr:row>6</xdr:row>
      <xdr:rowOff>35718</xdr:rowOff>
    </xdr:from>
    <xdr:to>
      <xdr:col>6</xdr:col>
      <xdr:colOff>142875</xdr:colOff>
      <xdr:row>34</xdr:row>
      <xdr:rowOff>23812</xdr:rowOff>
    </xdr:to>
    <xdr:sp macro="" textlink="">
      <xdr:nvSpPr>
        <xdr:cNvPr id="18" name="Elipse 17">
          <a:extLst>
            <a:ext uri="{FF2B5EF4-FFF2-40B4-BE49-F238E27FC236}">
              <a16:creationId xmlns:a16="http://schemas.microsoft.com/office/drawing/2014/main" id="{00000000-0008-0000-0600-000012000000}"/>
            </a:ext>
          </a:extLst>
        </xdr:cNvPr>
        <xdr:cNvSpPr/>
      </xdr:nvSpPr>
      <xdr:spPr>
        <a:xfrm>
          <a:off x="235515" y="1035843"/>
          <a:ext cx="4479360" cy="465534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261937</xdr:colOff>
      <xdr:row>6</xdr:row>
      <xdr:rowOff>97901</xdr:rowOff>
    </xdr:from>
    <xdr:to>
      <xdr:col>6</xdr:col>
      <xdr:colOff>108980</xdr:colOff>
      <xdr:row>33</xdr:row>
      <xdr:rowOff>154781</xdr:rowOff>
    </xdr:to>
    <xdr:sp macro="" textlink="">
      <xdr:nvSpPr>
        <xdr:cNvPr id="19" name="Elipse 18">
          <a:extLst>
            <a:ext uri="{FF2B5EF4-FFF2-40B4-BE49-F238E27FC236}">
              <a16:creationId xmlns:a16="http://schemas.microsoft.com/office/drawing/2014/main" id="{00000000-0008-0000-0600-000013000000}"/>
            </a:ext>
          </a:extLst>
        </xdr:cNvPr>
        <xdr:cNvSpPr/>
      </xdr:nvSpPr>
      <xdr:spPr>
        <a:xfrm>
          <a:off x="261937" y="1098026"/>
          <a:ext cx="4419043" cy="455744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692520</xdr:colOff>
      <xdr:row>34</xdr:row>
      <xdr:rowOff>80818</xdr:rowOff>
    </xdr:from>
    <xdr:to>
      <xdr:col>25</xdr:col>
      <xdr:colOff>396875</xdr:colOff>
      <xdr:row>55</xdr:row>
      <xdr:rowOff>49069</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583417</xdr:colOff>
      <xdr:row>5</xdr:row>
      <xdr:rowOff>57460</xdr:rowOff>
    </xdr:from>
    <xdr:to>
      <xdr:col>18</xdr:col>
      <xdr:colOff>684068</xdr:colOff>
      <xdr:row>24</xdr:row>
      <xdr:rowOff>121228</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264474</xdr:colOff>
      <xdr:row>42</xdr:row>
      <xdr:rowOff>134662</xdr:rowOff>
    </xdr:from>
    <xdr:to>
      <xdr:col>7</xdr:col>
      <xdr:colOff>588427</xdr:colOff>
      <xdr:row>65</xdr:row>
      <xdr:rowOff>26263</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524520</xdr:colOff>
      <xdr:row>34</xdr:row>
      <xdr:rowOff>18804</xdr:rowOff>
    </xdr:from>
    <xdr:to>
      <xdr:col>16</xdr:col>
      <xdr:colOff>302601</xdr:colOff>
      <xdr:row>54</xdr:row>
      <xdr:rowOff>147950</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222250</xdr:colOff>
      <xdr:row>3</xdr:row>
      <xdr:rowOff>142876</xdr:rowOff>
    </xdr:from>
    <xdr:to>
      <xdr:col>11</xdr:col>
      <xdr:colOff>333375</xdr:colOff>
      <xdr:row>16</xdr:row>
      <xdr:rowOff>110326</xdr:rowOff>
    </xdr:to>
    <xdr:pic>
      <xdr:nvPicPr>
        <xdr:cNvPr id="27" name="Imagen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28651"/>
          <a:ext cx="3159125" cy="2072475"/>
        </a:xfrm>
        <a:prstGeom prst="rect">
          <a:avLst/>
        </a:prstGeom>
      </xdr:spPr>
    </xdr:pic>
    <xdr:clientData/>
  </xdr:twoCellAnchor>
  <xdr:twoCellAnchor>
    <xdr:from>
      <xdr:col>24</xdr:col>
      <xdr:colOff>726368</xdr:colOff>
      <xdr:row>1</xdr:row>
      <xdr:rowOff>103907</xdr:rowOff>
    </xdr:from>
    <xdr:to>
      <xdr:col>30</xdr:col>
      <xdr:colOff>259772</xdr:colOff>
      <xdr:row>26</xdr:row>
      <xdr:rowOff>121225</xdr:rowOff>
    </xdr:to>
    <xdr:sp macro="" textlink="">
      <xdr:nvSpPr>
        <xdr:cNvPr id="28" name="Elipse 27">
          <a:extLst>
            <a:ext uri="{FF2B5EF4-FFF2-40B4-BE49-F238E27FC236}">
              <a16:creationId xmlns:a16="http://schemas.microsoft.com/office/drawing/2014/main" id="{00000000-0008-0000-0600-00001C000000}"/>
            </a:ext>
          </a:extLst>
        </xdr:cNvPr>
        <xdr:cNvSpPr/>
      </xdr:nvSpPr>
      <xdr:spPr>
        <a:xfrm>
          <a:off x="19014368" y="265832"/>
          <a:ext cx="4105404" cy="406544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544431</xdr:colOff>
      <xdr:row>34</xdr:row>
      <xdr:rowOff>130752</xdr:rowOff>
    </xdr:from>
    <xdr:to>
      <xdr:col>33</xdr:col>
      <xdr:colOff>311728</xdr:colOff>
      <xdr:row>60</xdr:row>
      <xdr:rowOff>152401</xdr:rowOff>
    </xdr:to>
    <xdr:sp macro="" textlink="">
      <xdr:nvSpPr>
        <xdr:cNvPr id="29" name="Elipse 28">
          <a:extLst>
            <a:ext uri="{FF2B5EF4-FFF2-40B4-BE49-F238E27FC236}">
              <a16:creationId xmlns:a16="http://schemas.microsoft.com/office/drawing/2014/main" id="{00000000-0008-0000-0600-00001D000000}"/>
            </a:ext>
          </a:extLst>
        </xdr:cNvPr>
        <xdr:cNvSpPr/>
      </xdr:nvSpPr>
      <xdr:spPr>
        <a:xfrm>
          <a:off x="21118431" y="5798127"/>
          <a:ext cx="4339297" cy="435552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534571</xdr:colOff>
      <xdr:row>35</xdr:row>
      <xdr:rowOff>78796</xdr:rowOff>
    </xdr:from>
    <xdr:to>
      <xdr:col>33</xdr:col>
      <xdr:colOff>67975</xdr:colOff>
      <xdr:row>60</xdr:row>
      <xdr:rowOff>96115</xdr:rowOff>
    </xdr:to>
    <xdr:sp macro="" textlink="">
      <xdr:nvSpPr>
        <xdr:cNvPr id="30" name="Elipse 29">
          <a:extLst>
            <a:ext uri="{FF2B5EF4-FFF2-40B4-BE49-F238E27FC236}">
              <a16:creationId xmlns:a16="http://schemas.microsoft.com/office/drawing/2014/main" id="{00000000-0008-0000-0600-00001E000000}"/>
            </a:ext>
          </a:extLst>
        </xdr:cNvPr>
        <xdr:cNvSpPr/>
      </xdr:nvSpPr>
      <xdr:spPr>
        <a:xfrm>
          <a:off x="21108571" y="5912859"/>
          <a:ext cx="4105404" cy="418450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24</xdr:col>
      <xdr:colOff>345367</xdr:colOff>
      <xdr:row>4</xdr:row>
      <xdr:rowOff>121225</xdr:rowOff>
    </xdr:from>
    <xdr:to>
      <xdr:col>30</xdr:col>
      <xdr:colOff>710044</xdr:colOff>
      <xdr:row>22</xdr:row>
      <xdr:rowOff>58880</xdr:rowOff>
    </xdr:to>
    <xdr:graphicFrame macro="">
      <xdr:nvGraphicFramePr>
        <xdr:cNvPr id="31" name="Gráfico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0.37273</cdr:x>
      <cdr:y>0.5595</cdr:y>
    </cdr:from>
    <cdr:to>
      <cdr:x>0.75671</cdr:x>
      <cdr:y>0.7017</cdr:y>
    </cdr:to>
    <cdr:sp macro="" textlink="">
      <cdr:nvSpPr>
        <cdr:cNvPr id="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etitc.edu.co/es/page/leytransparencia" TargetMode="External"/><Relationship Id="rId21" Type="http://schemas.openxmlformats.org/officeDocument/2006/relationships/hyperlink" Target="https://itceduco-my.sharepoint.com/:f:/g/personal/procesos_itc_edu_co/EsrxrLcyDCVCk9SL-mWNID8BIP55yoHgN1Jckgvh8fTk8w?e=WM6qGu" TargetMode="External"/><Relationship Id="rId42" Type="http://schemas.openxmlformats.org/officeDocument/2006/relationships/hyperlink" Target="https://itceduco-my.sharepoint.com/:f:/g/personal/psicologia_itc_edu_co/EorFXOKDWrhOnWAgY-c7pUwBMheF_fT_rKD1LWEOHo7LAQ?e=UYcvib" TargetMode="External"/><Relationship Id="rId47" Type="http://schemas.openxmlformats.org/officeDocument/2006/relationships/hyperlink" Target="https://itceduco-my.sharepoint.com/:f:/g/personal/psicologia_itc_edu_co/EorFXOKDWrhOnWAgY-c7pUwBMheF_fT_rKD1LWEOHo7LAQ?e=UYcvib" TargetMode="External"/><Relationship Id="rId63" Type="http://schemas.openxmlformats.org/officeDocument/2006/relationships/hyperlink" Target="https://forms.office.com/Pages/DesignPageV2.aspx?subpage=design&amp;FormId=RtBfSWTYZ0ae6FBnl2TYNAD89WLqL4JAgWFtXVM6CClUM0NCUFBNT0NEUUVVUVBBQ00xT0dPMjBJQS4u&amp;Token=cd510f6a7cc84b87858bb150f7eba1ae" TargetMode="External"/><Relationship Id="rId68" Type="http://schemas.openxmlformats.org/officeDocument/2006/relationships/hyperlink" Target="https://itceduco-my.sharepoint.com/:f:/g/personal/bienestaruniversitario_itc_edu_co/Eghz4lpwwPFAgyP1ZNuLjLgBVCjZ-punMQHXr_HjpQiNSw?e=kQSed1" TargetMode="External"/><Relationship Id="rId84" Type="http://schemas.openxmlformats.org/officeDocument/2006/relationships/hyperlink" Target="https://etitc.edu.co/archives/siacet2.pdf" TargetMode="External"/><Relationship Id="rId89" Type="http://schemas.openxmlformats.org/officeDocument/2006/relationships/drawing" Target="../drawings/drawing1.xml"/><Relationship Id="rId16" Type="http://schemas.openxmlformats.org/officeDocument/2006/relationships/hyperlink" Target="https://itceduco-my.sharepoint.com/:f:/g/personal/procesos_itc_edu_co/EsrxrLcyDCVCk9SL-mWNID8BIP55yoHgN1Jckgvh8fTk8w?e=WM6qGu" TargetMode="External"/><Relationship Id="rId11" Type="http://schemas.openxmlformats.org/officeDocument/2006/relationships/hyperlink" Target="https://itceduco-my.sharepoint.com/:f:/g/personal/procesos_itc_edu_co/EsrxrLcyDCVCk9SL-mWNID8BIP55yoHgN1Jckgvh8fTk8w?e=WM6qGu" TargetMode="External"/><Relationship Id="rId32" Type="http://schemas.openxmlformats.org/officeDocument/2006/relationships/hyperlink" Target="https://itceduco-my.sharepoint.com/:b:/g/personal/bienestaruniversitario_itc_edu_co/EW3LLdHq6ZtCo0R4xEBD1JwBBKFAXIYX7SnJAY22TakehQ?e=0rwMM6" TargetMode="External"/><Relationship Id="rId37" Type="http://schemas.openxmlformats.org/officeDocument/2006/relationships/hyperlink" Target="https://itceduco-my.sharepoint.com/:f:/g/personal/psicologia_itc_edu_co/EorFXOKDWrhOnWAgY-c7pUwBMheF_fT_rKD1LWEOHo7LAQ?e=UYcvib" TargetMode="External"/><Relationship Id="rId53" Type="http://schemas.openxmlformats.org/officeDocument/2006/relationships/hyperlink" Target="https://itceduco-my.sharepoint.com/personal/psicologia_itc_edu_co/_layouts/15/onedrive.aspx?id=%2Fpersonal%2Fpsicologia%5Fitc%5Fedu%5Fco%2FDocuments%2F2022%2FPLANEACI%C3%93N%2FSEGUNDO%20TRIMESTRE%2FCREA&amp;ga=1" TargetMode="External"/><Relationship Id="rId58" Type="http://schemas.openxmlformats.org/officeDocument/2006/relationships/hyperlink" Target="https://itceduco-my.sharepoint.com/:b:/g/personal/bienestaruniversitario_itc_edu_co/ER9GE4X25MNMoJ6ltMl5SqYBuxOvzpNYcK-7XGEZya2MfQ?e=xP7oPb" TargetMode="External"/><Relationship Id="rId74" Type="http://schemas.openxmlformats.org/officeDocument/2006/relationships/hyperlink" Target="https://www.etitc.edu.co/archives/infoderechosautor21.pdf" TargetMode="External"/><Relationship Id="rId79" Type="http://schemas.openxmlformats.org/officeDocument/2006/relationships/hyperlink" Target="../../../../../../:w:/r/personal/asuntosdisciplinarios_itc_edu_co/_layouts/15/Doc.aspx?sourcedoc=%7B942F1D1D-5033-4093-B06F-97D7FE929C6C%7D&amp;file=PROCESOS%20DISCIPLINARIOS%20BASE.docx&amp;action=default&amp;mobileredirect=true" TargetMode="External"/><Relationship Id="rId5" Type="http://schemas.openxmlformats.org/officeDocument/2006/relationships/hyperlink" Target="https://www.etitc.edu.co/archives/seguimientoplanan321.pdf" TargetMode="External"/><Relationship Id="rId90" Type="http://schemas.openxmlformats.org/officeDocument/2006/relationships/vmlDrawing" Target="../drawings/vmlDrawing1.vml"/><Relationship Id="rId14" Type="http://schemas.openxmlformats.org/officeDocument/2006/relationships/hyperlink" Target="https://itceduco-my.sharepoint.com/:f:/g/personal/procesos_itc_edu_co/EsrxrLcyDCVCk9SL-mWNID8BIP55yoHgN1Jckgvh8fTk8w?e=WM6qGu" TargetMode="External"/><Relationship Id="rId22" Type="http://schemas.openxmlformats.org/officeDocument/2006/relationships/hyperlink" Target="https://itceduco-my.sharepoint.com/:f:/g/personal/procesos_itc_edu_co/EsrxrLcyDCVCk9SL-mWNID8BIP55yoHgN1Jckgvh8fTk8w?e=WM6qGu" TargetMode="External"/><Relationship Id="rId27" Type="http://schemas.openxmlformats.org/officeDocument/2006/relationships/hyperlink" Target="https://itceduco-my.sharepoint.com/:f:/g/personal/psicologia_itc_edu_co/EorFXOKDWrhOnWAgY-c7pUwBMheF_fT_rKD1LWEOHo7LAQ?e=UYcvib" TargetMode="External"/><Relationship Id="rId30" Type="http://schemas.openxmlformats.org/officeDocument/2006/relationships/hyperlink" Target="https://itceduco-my.sharepoint.com/:b:/g/personal/bienestaruniversitario_itc_edu_co/EfL3dNKjOnhJglXtW9tRQdABn04AYAQ8aNWf5j3Z_0oFxA?e=HOIt18" TargetMode="External"/><Relationship Id="rId35" Type="http://schemas.openxmlformats.org/officeDocument/2006/relationships/hyperlink" Target="https://bit.ly/3v7TnSe" TargetMode="External"/><Relationship Id="rId43" Type="http://schemas.openxmlformats.org/officeDocument/2006/relationships/hyperlink" Target="https://itceduco-my.sharepoint.com/:f:/g/personal/musica_itc_edu_co/EipnNE1uGOpGish1xXBStYYBqcY_L-Nim3Whgku8SIM0Dw?e=NWMoFt" TargetMode="External"/><Relationship Id="rId48" Type="http://schemas.openxmlformats.org/officeDocument/2006/relationships/hyperlink" Target="https://itceduco-my.sharepoint.com/:f:/g/personal/psicologia_itc_edu_co/EorFXOKDWrhOnWAgY-c7pUwBMheF_fT_rKD1LWEOHo7LAQ?e=UYcvib" TargetMode="External"/><Relationship Id="rId56" Type="http://schemas.openxmlformats.org/officeDocument/2006/relationships/hyperlink" Target="https://itceduco-my.sharepoint.com/:b:/g/personal/bienestaruniversitario_itc_edu_co/EYhUID-hSS9OnSIa7xzgGAwBxFlROH8Bv_xjjBFEhtMiiA?e=vquiWv" TargetMode="External"/><Relationship Id="rId64" Type="http://schemas.openxmlformats.org/officeDocument/2006/relationships/hyperlink" Target="https://itceduco-my.sharepoint.com/:f:/g/personal/pastoralpes_itc_edu_co/EvhGo8GMYLZImhav6eutNhwBFqpHFao5ip8fhQKGm29xZw?e=CyqrdI" TargetMode="External"/><Relationship Id="rId69" Type="http://schemas.openxmlformats.org/officeDocument/2006/relationships/hyperlink" Target="https://itceduco-my.sharepoint.com/:f:/g/personal/bienestaruniversitario_itc_edu_co/EpV5CWLqZ_NDhAOSE1h40bYBHAKIuXaBkbiAaffxBrb80w?e=C8pgHs" TargetMode="External"/><Relationship Id="rId77" Type="http://schemas.openxmlformats.org/officeDocument/2006/relationships/hyperlink" Target="https://etitc.edu.co/es/page/control-interno" TargetMode="External"/><Relationship Id="rId8" Type="http://schemas.openxmlformats.org/officeDocument/2006/relationships/hyperlink" Target="https://itceduco-my.sharepoint.com/:f:/g/personal/procesos_itc_edu_co/EsrxrLcyDCVCk9SL-mWNID8BIP55yoHgN1Jckgvh8fTk8w?e=WM6qGu" TargetMode="External"/><Relationship Id="rId51" Type="http://schemas.openxmlformats.org/officeDocument/2006/relationships/hyperlink" Target="https://www.etitc.edu.co/es/page/nosotros&amp;sgi" TargetMode="External"/><Relationship Id="rId72" Type="http://schemas.openxmlformats.org/officeDocument/2006/relationships/hyperlink" Target="https://etitc.edu.co/archives/circular102022.pdf" TargetMode="External"/><Relationship Id="rId80" Type="http://schemas.openxmlformats.org/officeDocument/2006/relationships/hyperlink" Target="https://www.etitc.edu.co/archives/segesparyrdc22.xlsx" TargetMode="External"/><Relationship Id="rId85" Type="http://schemas.openxmlformats.org/officeDocument/2006/relationships/hyperlink" Target="../../../../../../:w:/g/personal/almacen_itc_edu_co/ETz79cpMtgpEkGLAHNP6zpkByWMJdgvvXKg1hhKX9a2P5w?e=5oDTCK" TargetMode="External"/><Relationship Id="rId3" Type="http://schemas.openxmlformats.org/officeDocument/2006/relationships/hyperlink" Target="https://www.etitc.edu.co/archives/infoderechosautor21.pdf" TargetMode="External"/><Relationship Id="rId12" Type="http://schemas.openxmlformats.org/officeDocument/2006/relationships/hyperlink" Target="https://itceduco-my.sharepoint.com/:f:/g/personal/procesos_itc_edu_co/EsrxrLcyDCVCk9SL-mWNID8BIP55yoHgN1Jckgvh8fTk8w?e=WM6qGu" TargetMode="External"/><Relationship Id="rId17" Type="http://schemas.openxmlformats.org/officeDocument/2006/relationships/hyperlink" Target="https://itceduco-my.sharepoint.com/:f:/g/personal/procesos_itc_edu_co/EsrxrLcyDCVCk9SL-mWNID8BIP55yoHgN1Jckgvh8fTk8w?e=WM6qGu" TargetMode="External"/><Relationship Id="rId25" Type="http://schemas.openxmlformats.org/officeDocument/2006/relationships/hyperlink" Target="https://itceduco-my.sharepoint.com/:f:/g/personal/asesorinnovacion_itc_edu_co/ErGKbo_D46VOitI5W-6v8oUB1Gk-WUbXEGrPOUXsurC7AQ?e=Kjr2rD" TargetMode="External"/><Relationship Id="rId33" Type="http://schemas.openxmlformats.org/officeDocument/2006/relationships/hyperlink" Target="https://itceduco-my.sharepoint.com/:b:/g/personal/bienestaruniversitario_itc_edu_co/Ec5Zp6tRSzlBte4F7HhFRgcBxvsO89eG6b1oExDYMeIYpQ?e=6puPcN" TargetMode="External"/><Relationship Id="rId38" Type="http://schemas.openxmlformats.org/officeDocument/2006/relationships/hyperlink" Target="https://itceduco-my.sharepoint.com/:f:/g/personal/bienestaruniversitario_itc_edu_co/Er9XSfgiSRdBuM8BurGbQWcB5hMTZ4CQF5nIhVSGOlzS7w?e=V7exz8" TargetMode="External"/><Relationship Id="rId46" Type="http://schemas.openxmlformats.org/officeDocument/2006/relationships/hyperlink" Target="https://itceduco-my.sharepoint.com/:f:/g/personal/psicologia_itc_edu_co/EorFXOKDWrhOnWAgY-c7pUwBMheF_fT_rKD1LWEOHo7LAQ?e=UYcvib" TargetMode="External"/><Relationship Id="rId59" Type="http://schemas.openxmlformats.org/officeDocument/2006/relationships/hyperlink" Target="https://bit.ly/3v7TnSe" TargetMode="External"/><Relationship Id="rId67" Type="http://schemas.openxmlformats.org/officeDocument/2006/relationships/hyperlink" Target="https://itceduco-my.sharepoint.com/:f:/g/personal/psicologia_itc_edu_co/Eu-0aIegVYROt75_1FR2SYABjKwc84iikTtEad5H866Asw?e=KwyWna" TargetMode="External"/><Relationship Id="rId20" Type="http://schemas.openxmlformats.org/officeDocument/2006/relationships/hyperlink" Target="https://itceduco-my.sharepoint.com/:f:/g/personal/procesos_itc_edu_co/EsrxrLcyDCVCk9SL-mWNID8BIP55yoHgN1Jckgvh8fTk8w?e=WM6qGu" TargetMode="External"/><Relationship Id="rId41" Type="http://schemas.openxmlformats.org/officeDocument/2006/relationships/hyperlink" Target="https://itceduco-my.sharepoint.com/:f:/g/personal/bienestaruniversitario_itc_edu_co/Er9XSfgiSRdBuM8BurGbQWcB5hMTZ4CQF5nIhVSGOlzS7w?e=V7exz8" TargetMode="External"/><Relationship Id="rId54" Type="http://schemas.openxmlformats.org/officeDocument/2006/relationships/hyperlink" Target="https://itceduco-my.sharepoint.com/:f:/g/personal/psicologia_itc_edu_co/Eqn9xc3uW85CmY79OXo0WxkBd350ucdydH30bzEVsNPXXg?e=6pS4Lf" TargetMode="External"/><Relationship Id="rId62" Type="http://schemas.openxmlformats.org/officeDocument/2006/relationships/hyperlink" Target="https://itceduco-my.sharepoint.com/:w:/g/personal/pastoralpes_itc_edu_co/EYVuo3z81htAgo-9BvKNYuABTuN9kAaDEY_FzRmUXvYxKw?e=CfB5r6" TargetMode="External"/><Relationship Id="rId70" Type="http://schemas.openxmlformats.org/officeDocument/2006/relationships/hyperlink" Target="https://itceduco-my.sharepoint.com/:f:/g/personal/bienestaruniversitario_itc_edu_co/Eo6WliMigMBPlf_uBzkGiN8BG6HR8aB4xjVcCmBUNDq9GQ?e=nydzXG" TargetMode="External"/><Relationship Id="rId75" Type="http://schemas.openxmlformats.org/officeDocument/2006/relationships/hyperlink" Target="https://www.etitc.edu.co/archives/informeausteridad26.pdf" TargetMode="External"/><Relationship Id="rId83" Type="http://schemas.openxmlformats.org/officeDocument/2006/relationships/hyperlink" Target="https://www.etitc.edu.co/archives/pas22.xlsx" TargetMode="External"/><Relationship Id="rId88" Type="http://schemas.openxmlformats.org/officeDocument/2006/relationships/printerSettings" Target="../printerSettings/printerSettings1.bin"/><Relationship Id="rId91" Type="http://schemas.openxmlformats.org/officeDocument/2006/relationships/comments" Target="../comments1.xml"/><Relationship Id="rId1" Type="http://schemas.openxmlformats.org/officeDocument/2006/relationships/hyperlink" Target="https://itceduco-my.sharepoint.com/:f:/g/personal/calidad_itc_edu_co/EpT1760NHatIvGy2r9_BHYYBUW38e1quYehurvBx514DfA?e=rOeONH" TargetMode="External"/><Relationship Id="rId6" Type="http://schemas.openxmlformats.org/officeDocument/2006/relationships/hyperlink" Target="https://etitc.edu.co/es/page/control-interno" TargetMode="External"/><Relationship Id="rId15" Type="http://schemas.openxmlformats.org/officeDocument/2006/relationships/hyperlink" Target="https://itceduco-my.sharepoint.com/:f:/g/personal/procesos_itc_edu_co/EsrxrLcyDCVCk9SL-mWNID8BIP55yoHgN1Jckgvh8fTk8w?e=WM6qGu" TargetMode="External"/><Relationship Id="rId23" Type="http://schemas.openxmlformats.org/officeDocument/2006/relationships/hyperlink" Target="https://etitc.edu.co/es/" TargetMode="External"/><Relationship Id="rId28" Type="http://schemas.openxmlformats.org/officeDocument/2006/relationships/hyperlink" Target="https://itceduco-my.sharepoint.com/:f:/g/personal/psicologia_itc_edu_co/EorFXOKDWrhOnWAgY-c7pUwBMheF_fT_rKD1LWEOHo7LAQ?e=UYcvib" TargetMode="External"/><Relationship Id="rId36" Type="http://schemas.openxmlformats.org/officeDocument/2006/relationships/hyperlink" Target="https://itceduco-my.sharepoint.com/:f:/g/personal/enfermeria_itc_edu_co/EtGPza4yuGpKr40RoAK_n5QBZiwrY2GL3dtoBA0-VWJ08Q?e=vzopH6" TargetMode="External"/><Relationship Id="rId49" Type="http://schemas.openxmlformats.org/officeDocument/2006/relationships/hyperlink" Target="https://itceduco-my.sharepoint.com/:f:/g/personal/psicologia_itc_edu_co/EorFXOKDWrhOnWAgY-c7pUwBMheF_fT_rKD1LWEOHo7LAQ?e=UYcvib" TargetMode="External"/><Relationship Id="rId57" Type="http://schemas.openxmlformats.org/officeDocument/2006/relationships/hyperlink" Target="https://itceduco-my.sharepoint.com/:b:/g/personal/bienestaruniversitario_itc_edu_co/EexQGHd2m-VDhIgJY_X_LRsBRS_R2OV7B5qqJEPwHxAGzg?e=VYtjQM" TargetMode="External"/><Relationship Id="rId10" Type="http://schemas.openxmlformats.org/officeDocument/2006/relationships/hyperlink" Target="https://itceduco-my.sharepoint.com/:f:/g/personal/procesos_itc_edu_co/EsrxrLcyDCVCk9SL-mWNID8BIP55yoHgN1Jckgvh8fTk8w?e=WM6qGu" TargetMode="External"/><Relationship Id="rId31" Type="http://schemas.openxmlformats.org/officeDocument/2006/relationships/hyperlink" Target="https://itceduco-my.sharepoint.com/:b:/g/personal/bienestaruniversitario_itc_edu_co/ETpa8IvlgZBFtCO1DR1-lPUBIYvNPFdJkm7a7UFniVT3vg?e=yUAvIJ" TargetMode="External"/><Relationship Id="rId44" Type="http://schemas.openxmlformats.org/officeDocument/2006/relationships/hyperlink" Target="https://itceduco-my.sharepoint.com/:f:/g/personal/musica_itc_edu_co/EseavQq2979Kq6wid0adFNcBphQdTGfxZCqKa0TlTZ6-1A?e=hZY9pV" TargetMode="External"/><Relationship Id="rId52" Type="http://schemas.openxmlformats.org/officeDocument/2006/relationships/hyperlink" Target="https://itceduco-my.sharepoint.com/:f:/g/personal/bienestaruniversitario_itc_edu_co/EqIvDl7bUxFJi_tQkXPEnBUBdqfUW5mv-nOTBaOg6F3CRw?e=hZrQIg" TargetMode="External"/><Relationship Id="rId60" Type="http://schemas.openxmlformats.org/officeDocument/2006/relationships/hyperlink" Target="https://bit.ly/3v7TnSe" TargetMode="External"/><Relationship Id="rId65" Type="http://schemas.openxmlformats.org/officeDocument/2006/relationships/hyperlink" Target="https://itceduco-my.sharepoint.com/:w:/g/personal/pastoralpes_itc_edu_co/ESmT9kC79ixBoX0VuZHwRaIB_xCvyZFOQbwEWofwJ6Ayew?e=aIlzzx" TargetMode="External"/><Relationship Id="rId73" Type="http://schemas.openxmlformats.org/officeDocument/2006/relationships/hyperlink" Target="https://www.etitc.edu.co/archives/paai22.pdf" TargetMode="External"/><Relationship Id="rId78" Type="http://schemas.openxmlformats.org/officeDocument/2006/relationships/hyperlink" Target="https://etitc.edu.co/es/page/nosotros&amp;normatividad&amp;resoluciones" TargetMode="External"/><Relationship Id="rId81" Type="http://schemas.openxmlformats.org/officeDocument/2006/relationships/hyperlink" Target="https://www.etitc.edu.co/archives/seguimientopdi2022.xlsx" TargetMode="External"/><Relationship Id="rId86" Type="http://schemas.openxmlformats.org/officeDocument/2006/relationships/hyperlink" Target="../../../../../../:x:/g/personal/contratacion_itc_edu_co/EXYaRAirUB1KicYCdCefE5sBUQJhdmlQaS-529-bvjdI1g?e=4%3ADvp3pZ&amp;at=9&amp;CID=87d08281-a9af-22cd-1044-31f72aea7b6f" TargetMode="External"/><Relationship Id="rId4" Type="http://schemas.openxmlformats.org/officeDocument/2006/relationships/hyperlink" Target="https://www.etitc.edu.co/archives/informeausteridad26.pdf" TargetMode="External"/><Relationship Id="rId9" Type="http://schemas.openxmlformats.org/officeDocument/2006/relationships/hyperlink" Target="https://itceduco-my.sharepoint.com/:f:/g/personal/procesos_itc_edu_co/EsrxrLcyDCVCk9SL-mWNID8BIP55yoHgN1Jckgvh8fTk8w?e=WM6qGu" TargetMode="External"/><Relationship Id="rId13" Type="http://schemas.openxmlformats.org/officeDocument/2006/relationships/hyperlink" Target="https://itceduco-my.sharepoint.com/:f:/g/personal/procesos_itc_edu_co/EsrxrLcyDCVCk9SL-mWNID8BIP55yoHgN1Jckgvh8fTk8w?e=WM6qGu" TargetMode="External"/><Relationship Id="rId18" Type="http://schemas.openxmlformats.org/officeDocument/2006/relationships/hyperlink" Target="https://itceduco-my.sharepoint.com/:f:/g/personal/procesos_itc_edu_co/EsrxrLcyDCVCk9SL-mWNID8BIP55yoHgN1Jckgvh8fTk8w?e=WM6qGu" TargetMode="External"/><Relationship Id="rId39" Type="http://schemas.openxmlformats.org/officeDocument/2006/relationships/hyperlink" Target="https://itceduco-my.sharepoint.com/:f:/g/personal/bienestaruniversitario_itc_edu_co/Er9XSfgiSRdBuM8BurGbQWcB5hMTZ4CQF5nIhVSGOlzS7w?e=V7exz8" TargetMode="External"/><Relationship Id="rId34" Type="http://schemas.openxmlformats.org/officeDocument/2006/relationships/hyperlink" Target="https://itceduco-my.sharepoint.com/:x:/g/personal/psicologia1_itc_edu_co/Eba6EukQQfJGk8lcRw0e3sABh7W7fCJTCkPvD8Yc6EcIGQ?e=05D3Mc" TargetMode="External"/><Relationship Id="rId50" Type="http://schemas.openxmlformats.org/officeDocument/2006/relationships/hyperlink" Target="https://www.etitc.edu.co/archives/siacet2.pdf" TargetMode="External"/><Relationship Id="rId55" Type="http://schemas.openxmlformats.org/officeDocument/2006/relationships/hyperlink" Target="https://itceduco-my.sharepoint.com/:f:/g/personal/psicologia_itc_edu_co/EgWiZIFTl-5FnfUig8YZoiYBY5AhsLUmPcL3fPyr5BJc-g?e=uEOqGu" TargetMode="External"/><Relationship Id="rId76" Type="http://schemas.openxmlformats.org/officeDocument/2006/relationships/hyperlink" Target="https://www.etitc.edu.co/archives/seguimientoplanan321.pdf" TargetMode="External"/><Relationship Id="rId7" Type="http://schemas.openxmlformats.org/officeDocument/2006/relationships/hyperlink" Target="https://www.facebook.com/watch/16872038093/2246567575376324/" TargetMode="External"/><Relationship Id="rId71" Type="http://schemas.openxmlformats.org/officeDocument/2006/relationships/hyperlink" Target="https://itceduco-my.sharepoint.com/:f:/g/personal/bienestaruniversitario_itc_edu_co/EiiCz1q757BDhqgu2llMxWoBRoY0XAglAEBcTG9tmHjrZw?e=Gd8Yqu" TargetMode="External"/><Relationship Id="rId2" Type="http://schemas.openxmlformats.org/officeDocument/2006/relationships/hyperlink" Target="https://www.etitc.edu.co/archives/paai22.pdf" TargetMode="External"/><Relationship Id="rId29" Type="http://schemas.openxmlformats.org/officeDocument/2006/relationships/hyperlink" Target="https://itceduco-my.sharepoint.com/:f:/g/personal/psicologia_itc_edu_co/EorFXOKDWrhOnWAgY-c7pUwBMheF_fT_rKD1LWEOHo7LAQ?e=UYcvib" TargetMode="External"/><Relationship Id="rId24" Type="http://schemas.openxmlformats.org/officeDocument/2006/relationships/hyperlink" Target="https://etitc.edu.co/es/" TargetMode="External"/><Relationship Id="rId40" Type="http://schemas.openxmlformats.org/officeDocument/2006/relationships/hyperlink" Target="https://itceduco-my.sharepoint.com/:f:/g/personal/bienestaruniversitario_itc_edu_co/Er9XSfgiSRdBuM8BurGbQWcB5hMTZ4CQF5nIhVSGOlzS7w?e=V7exz8" TargetMode="External"/><Relationship Id="rId45" Type="http://schemas.openxmlformats.org/officeDocument/2006/relationships/hyperlink" Target="https://itceduco-my.sharepoint.com/:f:/g/personal/psicologia_itc_edu_co/EorFXOKDWrhOnWAgY-c7pUwBMheF_fT_rKD1LWEOHo7LAQ?e=UYcvib" TargetMode="External"/><Relationship Id="rId66" Type="http://schemas.openxmlformats.org/officeDocument/2006/relationships/hyperlink" Target="https://itceduco-my.sharepoint.com/personal/psicologia_itc_edu_co/_layouts/15/onedrive.aspx?id=%2Fpersonal%2Fpsicologia%5Fitc%5Fedu%5Fco%2FDocuments%2F2022%2FPLANEACI%C3%93N%2FSEGUNDO%20TRIMESTRE%2FSALUD%20MENTAL&amp;ga=1" TargetMode="External"/><Relationship Id="rId87" Type="http://schemas.openxmlformats.org/officeDocument/2006/relationships/hyperlink" Target="https://etitc.edu.co/archives/convocatoria0222.pdf" TargetMode="External"/><Relationship Id="rId61" Type="http://schemas.openxmlformats.org/officeDocument/2006/relationships/hyperlink" Target="https://itceduco-my.sharepoint.com/personal/enfermeria_itc_edu_co/_layouts/15/onedrive.aspx?id=%2Fpersonal%2Fenfermeria%5Fitc%5Fedu%5Fco%2FDocuments%2FATENCI%C3%93N%20EN%20SALUD%20PES%202022%2FPLAN%20DE%20ACCI%C3%93N%2FSEGUNDO%20TRIMESTRE&amp;ga=1" TargetMode="External"/><Relationship Id="rId82" Type="http://schemas.openxmlformats.org/officeDocument/2006/relationships/hyperlink" Target="https://www.etitc.edu.co/archives/indicadorgestionmar22.xlsx" TargetMode="External"/><Relationship Id="rId19" Type="http://schemas.openxmlformats.org/officeDocument/2006/relationships/hyperlink" Target="https://itceduco-my.sharepoint.com/:f:/g/personal/procesos_itc_edu_co/EsrxrLcyDCVCk9SL-mWNID8BIP55yoHgN1Jckgvh8fTk8w?e=WM6qG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etitc.edu.co/archives/pdi2021-2024.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780"/>
  <sheetViews>
    <sheetView showGridLines="0" tabSelected="1" zoomScale="43" zoomScaleNormal="69" workbookViewId="0">
      <pane ySplit="6" topLeftCell="A7" activePane="bottomLeft" state="frozen"/>
      <selection activeCell="B1" sqref="B1"/>
      <selection pane="bottomLeft" activeCell="X502" sqref="X502"/>
    </sheetView>
  </sheetViews>
  <sheetFormatPr baseColWidth="10" defaultColWidth="11.42578125" defaultRowHeight="44.25" outlineLevelRow="1" x14ac:dyDescent="0.2"/>
  <cols>
    <col min="1" max="1" width="33.7109375" style="256" customWidth="1"/>
    <col min="2" max="2" width="40.140625" style="8" customWidth="1"/>
    <col min="3" max="3" width="50" style="8" customWidth="1"/>
    <col min="4" max="4" width="24.7109375" style="9" customWidth="1"/>
    <col min="5" max="5" width="19.140625" style="258" customWidth="1"/>
    <col min="6" max="6" width="19.140625" style="311" customWidth="1"/>
    <col min="7" max="7" width="1.28515625" style="9" hidden="1" customWidth="1"/>
    <col min="8" max="8" width="35.42578125" style="8" customWidth="1"/>
    <col min="9" max="9" width="18.140625" style="9" customWidth="1"/>
    <col min="10" max="10" width="18.5703125" style="244" customWidth="1"/>
    <col min="11" max="11" width="20.7109375" style="244" hidden="1" customWidth="1"/>
    <col min="12" max="12" width="24" style="244" hidden="1" customWidth="1"/>
    <col min="13" max="13" width="7.5703125" style="256" hidden="1" customWidth="1"/>
    <col min="14" max="14" width="14.28515625" style="256" hidden="1" customWidth="1"/>
    <col min="15" max="15" width="6.140625" style="329" hidden="1" customWidth="1"/>
    <col min="16" max="16" width="14.140625" style="256" hidden="1" customWidth="1"/>
    <col min="17" max="17" width="16.5703125" style="256" hidden="1" customWidth="1"/>
    <col min="18" max="18" width="11.28515625" style="256" hidden="1" customWidth="1"/>
    <col min="19" max="19" width="12.28515625" style="256" hidden="1" customWidth="1"/>
    <col min="20" max="20" width="13.85546875" style="256" hidden="1" customWidth="1"/>
    <col min="21" max="21" width="7.42578125" style="256" hidden="1" customWidth="1"/>
    <col min="22" max="22" width="5.85546875" style="256" hidden="1" customWidth="1"/>
    <col min="23" max="23" width="8.7109375" style="299" customWidth="1"/>
    <col min="24" max="24" width="59.42578125" style="8" customWidth="1"/>
    <col min="25" max="25" width="8.5703125" style="8" hidden="1" customWidth="1"/>
    <col min="26" max="26" width="5" style="8" hidden="1" customWidth="1"/>
    <col min="27" max="27" width="12.140625" style="259" customWidth="1"/>
    <col min="28" max="28" width="58" style="256" customWidth="1"/>
    <col min="29" max="29" width="21.140625" style="256" customWidth="1"/>
    <col min="30" max="30" width="25.5703125" style="259" bestFit="1" customWidth="1"/>
    <col min="31" max="31" width="24.28515625" style="256" customWidth="1"/>
    <col min="32" max="32" width="21.140625" style="256" customWidth="1"/>
    <col min="33" max="33" width="25.5703125" style="259" bestFit="1" customWidth="1"/>
    <col min="34" max="34" width="24.28515625" style="256" hidden="1" customWidth="1"/>
    <col min="35" max="35" width="14" style="256" customWidth="1"/>
    <col min="36" max="36" width="25.28515625" style="256" customWidth="1"/>
    <col min="37" max="249" width="9.140625" style="256" customWidth="1"/>
    <col min="250" max="16384" width="11.42578125" style="256"/>
  </cols>
  <sheetData>
    <row r="1" spans="1:36" ht="12" hidden="1" customHeight="1" x14ac:dyDescent="0.2">
      <c r="A1" s="668" t="s">
        <v>0</v>
      </c>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268" t="s">
        <v>1</v>
      </c>
      <c r="AJ1" s="269" t="s">
        <v>1</v>
      </c>
    </row>
    <row r="2" spans="1:36" ht="12.6" hidden="1" customHeight="1" x14ac:dyDescent="0.2">
      <c r="A2" s="66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268" t="s">
        <v>2</v>
      </c>
      <c r="AJ2" s="270" t="s">
        <v>2</v>
      </c>
    </row>
    <row r="3" spans="1:36" ht="21" hidden="1" customHeight="1" x14ac:dyDescent="0.2">
      <c r="A3" s="668"/>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268" t="s">
        <v>3</v>
      </c>
      <c r="AJ3" s="270" t="s">
        <v>3</v>
      </c>
    </row>
    <row r="4" spans="1:36" ht="9.6" hidden="1" customHeight="1" x14ac:dyDescent="0.2">
      <c r="A4" s="668"/>
      <c r="B4" s="668"/>
      <c r="C4" s="668"/>
      <c r="D4" s="668"/>
      <c r="E4" s="668"/>
      <c r="F4" s="668"/>
      <c r="G4" s="668"/>
      <c r="H4" s="668"/>
      <c r="I4" s="668"/>
      <c r="J4" s="668"/>
      <c r="K4" s="668"/>
      <c r="L4" s="668"/>
      <c r="M4" s="668"/>
      <c r="N4" s="668"/>
      <c r="O4" s="668"/>
      <c r="P4" s="668"/>
      <c r="Q4" s="668"/>
      <c r="R4" s="668"/>
      <c r="S4" s="668"/>
      <c r="T4" s="668"/>
      <c r="U4" s="668"/>
      <c r="V4" s="668"/>
      <c r="W4" s="668"/>
      <c r="X4" s="668"/>
      <c r="Y4" s="668"/>
      <c r="Z4" s="668"/>
      <c r="AA4" s="668"/>
      <c r="AB4" s="668"/>
      <c r="AC4" s="668"/>
      <c r="AD4" s="668"/>
      <c r="AE4" s="668"/>
      <c r="AF4" s="668"/>
      <c r="AG4" s="668"/>
      <c r="AH4" s="668"/>
      <c r="AI4" s="268" t="s">
        <v>4</v>
      </c>
      <c r="AJ4" s="271" t="s">
        <v>4</v>
      </c>
    </row>
    <row r="5" spans="1:36" s="9" customFormat="1" ht="19.899999999999999" customHeight="1" x14ac:dyDescent="0.2">
      <c r="A5" s="618" t="s">
        <v>5</v>
      </c>
      <c r="B5" s="618" t="s">
        <v>6</v>
      </c>
      <c r="C5" s="618" t="s">
        <v>7</v>
      </c>
      <c r="D5" s="618" t="s">
        <v>8</v>
      </c>
      <c r="E5" s="618" t="s">
        <v>9</v>
      </c>
      <c r="F5" s="618" t="s">
        <v>10</v>
      </c>
      <c r="G5" s="671" t="s">
        <v>11</v>
      </c>
      <c r="H5" s="671" t="s">
        <v>12</v>
      </c>
      <c r="I5" s="673" t="s">
        <v>13</v>
      </c>
      <c r="J5" s="618" t="s">
        <v>14</v>
      </c>
      <c r="K5" s="618" t="s">
        <v>15</v>
      </c>
      <c r="L5" s="803" t="s">
        <v>16</v>
      </c>
      <c r="M5" s="618" t="s">
        <v>17</v>
      </c>
      <c r="N5" s="618" t="s">
        <v>18</v>
      </c>
      <c r="O5" s="669" t="s">
        <v>19</v>
      </c>
      <c r="P5" s="618" t="s">
        <v>20</v>
      </c>
      <c r="Q5" s="618" t="s">
        <v>21</v>
      </c>
      <c r="R5" s="618" t="s">
        <v>22</v>
      </c>
      <c r="S5" s="618" t="s">
        <v>23</v>
      </c>
      <c r="T5" s="618"/>
      <c r="U5" s="618"/>
      <c r="V5" s="618"/>
      <c r="W5" s="618" t="s">
        <v>24</v>
      </c>
      <c r="X5" s="618"/>
      <c r="Y5" s="618"/>
      <c r="Z5" s="439"/>
      <c r="AA5" s="618" t="s">
        <v>25</v>
      </c>
      <c r="AB5" s="618"/>
      <c r="AC5" s="618"/>
      <c r="AD5" s="618" t="s">
        <v>26</v>
      </c>
      <c r="AE5" s="618"/>
      <c r="AF5" s="618"/>
      <c r="AG5" s="618" t="s">
        <v>27</v>
      </c>
      <c r="AH5" s="618"/>
      <c r="AI5" s="618"/>
      <c r="AJ5" s="278"/>
    </row>
    <row r="6" spans="1:36" s="9" customFormat="1" ht="33" customHeight="1" x14ac:dyDescent="0.2">
      <c r="A6" s="618"/>
      <c r="B6" s="618"/>
      <c r="C6" s="618"/>
      <c r="D6" s="618"/>
      <c r="E6" s="618"/>
      <c r="F6" s="618"/>
      <c r="G6" s="672"/>
      <c r="H6" s="672"/>
      <c r="I6" s="674"/>
      <c r="J6" s="618"/>
      <c r="K6" s="618"/>
      <c r="L6" s="804"/>
      <c r="M6" s="618"/>
      <c r="N6" s="618"/>
      <c r="O6" s="670"/>
      <c r="P6" s="618"/>
      <c r="Q6" s="618"/>
      <c r="R6" s="618"/>
      <c r="S6" s="439" t="s">
        <v>28</v>
      </c>
      <c r="T6" s="439" t="s">
        <v>29</v>
      </c>
      <c r="U6" s="439" t="s">
        <v>30</v>
      </c>
      <c r="V6" s="439" t="s">
        <v>31</v>
      </c>
      <c r="W6" s="330" t="s">
        <v>32</v>
      </c>
      <c r="X6" s="439" t="s">
        <v>33</v>
      </c>
      <c r="Y6" s="439" t="s">
        <v>34</v>
      </c>
      <c r="Z6" s="439" t="s">
        <v>35</v>
      </c>
      <c r="AA6" s="331" t="s">
        <v>36</v>
      </c>
      <c r="AB6" s="439" t="s">
        <v>33</v>
      </c>
      <c r="AC6" s="439" t="s">
        <v>34</v>
      </c>
      <c r="AD6" s="331" t="s">
        <v>37</v>
      </c>
      <c r="AE6" s="439" t="s">
        <v>33</v>
      </c>
      <c r="AF6" s="439" t="s">
        <v>34</v>
      </c>
      <c r="AG6" s="331" t="s">
        <v>38</v>
      </c>
      <c r="AH6" s="439" t="s">
        <v>33</v>
      </c>
      <c r="AI6" s="439" t="s">
        <v>34</v>
      </c>
      <c r="AJ6" s="278"/>
    </row>
    <row r="7" spans="1:36" s="9" customFormat="1" ht="9.75" customHeight="1" x14ac:dyDescent="0.2">
      <c r="A7" s="441"/>
      <c r="B7" s="334"/>
      <c r="C7" s="334"/>
      <c r="D7" s="441"/>
      <c r="E7" s="441"/>
      <c r="F7" s="441"/>
      <c r="G7" s="332"/>
      <c r="H7" s="442"/>
      <c r="I7" s="333"/>
      <c r="J7" s="439"/>
      <c r="K7" s="439"/>
      <c r="L7" s="439"/>
      <c r="M7" s="439"/>
      <c r="N7" s="439"/>
      <c r="O7" s="440"/>
      <c r="P7" s="439"/>
      <c r="Q7" s="439"/>
      <c r="R7" s="439"/>
      <c r="S7" s="439"/>
      <c r="T7" s="439"/>
      <c r="U7" s="439"/>
      <c r="V7" s="439"/>
      <c r="W7" s="330"/>
      <c r="X7" s="338"/>
      <c r="Y7" s="338"/>
      <c r="Z7" s="338"/>
      <c r="AA7" s="331"/>
      <c r="AB7" s="439"/>
      <c r="AC7" s="439"/>
      <c r="AD7" s="331"/>
      <c r="AE7" s="439"/>
      <c r="AF7" s="439"/>
      <c r="AG7" s="331"/>
      <c r="AH7" s="439"/>
      <c r="AI7" s="439"/>
      <c r="AJ7" s="278"/>
    </row>
    <row r="8" spans="1:36" ht="69.599999999999994" hidden="1" customHeight="1" outlineLevel="1" x14ac:dyDescent="0.2">
      <c r="A8" s="636" t="s">
        <v>39</v>
      </c>
      <c r="B8" s="546" t="s">
        <v>40</v>
      </c>
      <c r="C8" s="546" t="s">
        <v>41</v>
      </c>
      <c r="D8" s="691" t="s">
        <v>42</v>
      </c>
      <c r="E8" s="705" t="s">
        <v>43</v>
      </c>
      <c r="F8" s="705" t="s">
        <v>44</v>
      </c>
      <c r="G8" s="694" t="s">
        <v>45</v>
      </c>
      <c r="H8" s="2" t="s">
        <v>46</v>
      </c>
      <c r="I8" s="702" t="s">
        <v>47</v>
      </c>
      <c r="J8" s="251" t="s">
        <v>48</v>
      </c>
      <c r="K8" s="346">
        <v>67510000</v>
      </c>
      <c r="L8" s="352">
        <v>0</v>
      </c>
      <c r="M8" s="272">
        <v>44593</v>
      </c>
      <c r="N8" s="272">
        <v>44925</v>
      </c>
      <c r="O8" s="272">
        <v>44652</v>
      </c>
      <c r="P8" s="273">
        <f t="shared" ref="P8:P106" si="0">+(+_xlfn.DAYS(M8,O8))/(+_xlfn.DAYS(M8,N8))</f>
        <v>0.17771084337349397</v>
      </c>
      <c r="Q8" s="273">
        <f t="shared" ref="Q8:Q145" si="1">+IF(P8&gt;=100,100,IF(P8&lt;=0,0,P8))</f>
        <v>0.17771084337349397</v>
      </c>
      <c r="R8" s="274">
        <v>1</v>
      </c>
      <c r="S8" s="275">
        <v>0.25</v>
      </c>
      <c r="T8" s="275">
        <v>0.5</v>
      </c>
      <c r="U8" s="275">
        <v>0.75</v>
      </c>
      <c r="V8" s="275">
        <v>1</v>
      </c>
      <c r="W8" s="275">
        <v>0.25</v>
      </c>
      <c r="X8" s="339" t="s">
        <v>49</v>
      </c>
      <c r="Y8" s="343" t="s">
        <v>50</v>
      </c>
      <c r="Z8" s="316">
        <v>33000000</v>
      </c>
      <c r="AA8" s="275">
        <v>0.5</v>
      </c>
      <c r="AB8" s="339" t="s">
        <v>49</v>
      </c>
      <c r="AC8" s="343" t="s">
        <v>50</v>
      </c>
      <c r="AD8" s="276"/>
      <c r="AE8" s="277"/>
      <c r="AF8" s="277"/>
      <c r="AG8" s="276"/>
      <c r="AH8" s="277"/>
      <c r="AI8" s="277"/>
      <c r="AJ8" s="278"/>
    </row>
    <row r="9" spans="1:36" ht="210.75" hidden="1" customHeight="1" outlineLevel="1" x14ac:dyDescent="0.2">
      <c r="A9" s="637"/>
      <c r="B9" s="581"/>
      <c r="C9" s="581"/>
      <c r="D9" s="692"/>
      <c r="E9" s="706"/>
      <c r="F9" s="706"/>
      <c r="G9" s="695"/>
      <c r="H9" s="2" t="s">
        <v>51</v>
      </c>
      <c r="I9" s="703"/>
      <c r="J9" s="251" t="s">
        <v>52</v>
      </c>
      <c r="K9" s="352">
        <v>0</v>
      </c>
      <c r="L9" s="352">
        <v>0</v>
      </c>
      <c r="M9" s="272">
        <v>44593</v>
      </c>
      <c r="N9" s="272">
        <v>44925</v>
      </c>
      <c r="O9" s="272">
        <v>44652</v>
      </c>
      <c r="P9" s="273">
        <f t="shared" si="0"/>
        <v>0.17771084337349397</v>
      </c>
      <c r="Q9" s="273">
        <f t="shared" si="1"/>
        <v>0.17771084337349397</v>
      </c>
      <c r="R9" s="274">
        <v>1</v>
      </c>
      <c r="S9" s="275">
        <v>0.25</v>
      </c>
      <c r="T9" s="275">
        <v>0.5</v>
      </c>
      <c r="U9" s="275">
        <v>0.75</v>
      </c>
      <c r="V9" s="275">
        <v>1</v>
      </c>
      <c r="W9" s="275">
        <v>0.25</v>
      </c>
      <c r="X9" s="339" t="s">
        <v>54</v>
      </c>
      <c r="Y9" s="343" t="s">
        <v>55</v>
      </c>
      <c r="Z9" s="352">
        <v>0</v>
      </c>
      <c r="AA9" s="275">
        <v>0.5</v>
      </c>
      <c r="AB9" s="339" t="s">
        <v>54</v>
      </c>
      <c r="AC9" s="343" t="s">
        <v>55</v>
      </c>
      <c r="AD9" s="276"/>
      <c r="AE9" s="277"/>
      <c r="AF9" s="277"/>
      <c r="AG9" s="276"/>
      <c r="AH9" s="277"/>
      <c r="AI9" s="277"/>
      <c r="AJ9" s="278"/>
    </row>
    <row r="10" spans="1:36" ht="147.75" hidden="1" customHeight="1" outlineLevel="1" x14ac:dyDescent="0.2">
      <c r="A10" s="637"/>
      <c r="B10" s="581"/>
      <c r="C10" s="581"/>
      <c r="D10" s="692"/>
      <c r="E10" s="706"/>
      <c r="F10" s="706"/>
      <c r="G10" s="695"/>
      <c r="H10" s="2" t="s">
        <v>56</v>
      </c>
      <c r="I10" s="703"/>
      <c r="J10" s="251" t="s">
        <v>52</v>
      </c>
      <c r="K10" s="352">
        <v>0</v>
      </c>
      <c r="L10" s="352">
        <v>0</v>
      </c>
      <c r="M10" s="272">
        <v>44593</v>
      </c>
      <c r="N10" s="272">
        <v>44925</v>
      </c>
      <c r="O10" s="272">
        <v>44652</v>
      </c>
      <c r="P10" s="273">
        <f t="shared" si="0"/>
        <v>0.17771084337349397</v>
      </c>
      <c r="Q10" s="273">
        <f t="shared" si="1"/>
        <v>0.17771084337349397</v>
      </c>
      <c r="R10" s="274">
        <v>1</v>
      </c>
      <c r="S10" s="275">
        <v>0.25</v>
      </c>
      <c r="T10" s="275">
        <v>0.5</v>
      </c>
      <c r="U10" s="275">
        <v>0.75</v>
      </c>
      <c r="V10" s="275">
        <v>1</v>
      </c>
      <c r="W10" s="275">
        <v>0.25</v>
      </c>
      <c r="X10" s="339" t="s">
        <v>57</v>
      </c>
      <c r="Y10" s="343" t="s">
        <v>58</v>
      </c>
      <c r="Z10" s="352">
        <v>0</v>
      </c>
      <c r="AA10" s="275">
        <v>0.5</v>
      </c>
      <c r="AB10" s="339" t="s">
        <v>57</v>
      </c>
      <c r="AC10" s="343" t="s">
        <v>58</v>
      </c>
      <c r="AD10" s="276"/>
      <c r="AE10" s="277"/>
      <c r="AF10" s="277"/>
      <c r="AG10" s="276"/>
      <c r="AH10" s="277"/>
      <c r="AI10" s="277"/>
      <c r="AJ10" s="278"/>
    </row>
    <row r="11" spans="1:36" ht="69.599999999999994" hidden="1" customHeight="1" outlineLevel="1" x14ac:dyDescent="0.2">
      <c r="A11" s="637"/>
      <c r="B11" s="581"/>
      <c r="C11" s="581"/>
      <c r="D11" s="692"/>
      <c r="E11" s="706"/>
      <c r="F11" s="706"/>
      <c r="G11" s="695"/>
      <c r="H11" s="2" t="s">
        <v>59</v>
      </c>
      <c r="I11" s="703"/>
      <c r="J11" s="251" t="s">
        <v>60</v>
      </c>
      <c r="K11" s="352">
        <v>0</v>
      </c>
      <c r="L11" s="352">
        <v>0</v>
      </c>
      <c r="M11" s="272">
        <v>44593</v>
      </c>
      <c r="N11" s="272">
        <v>44925</v>
      </c>
      <c r="O11" s="272">
        <v>44652</v>
      </c>
      <c r="P11" s="273">
        <f t="shared" si="0"/>
        <v>0.17771084337349397</v>
      </c>
      <c r="Q11" s="273">
        <f t="shared" si="1"/>
        <v>0.17771084337349397</v>
      </c>
      <c r="R11" s="274">
        <v>1</v>
      </c>
      <c r="S11" s="275">
        <v>0.25</v>
      </c>
      <c r="T11" s="275">
        <v>0.5</v>
      </c>
      <c r="U11" s="275">
        <v>0.75</v>
      </c>
      <c r="V11" s="275">
        <v>1</v>
      </c>
      <c r="W11" s="275">
        <v>0.25</v>
      </c>
      <c r="X11" s="339" t="s">
        <v>61</v>
      </c>
      <c r="Y11" s="343" t="s">
        <v>62</v>
      </c>
      <c r="Z11" s="352">
        <v>0</v>
      </c>
      <c r="AA11" s="275">
        <v>0.5</v>
      </c>
      <c r="AB11" s="339" t="s">
        <v>61</v>
      </c>
      <c r="AC11" s="343" t="s">
        <v>62</v>
      </c>
      <c r="AD11" s="276"/>
      <c r="AE11" s="277"/>
      <c r="AF11" s="277"/>
      <c r="AG11" s="276"/>
      <c r="AH11" s="277"/>
      <c r="AI11" s="277"/>
      <c r="AJ11" s="278"/>
    </row>
    <row r="12" spans="1:36" ht="69.599999999999994" hidden="1" customHeight="1" outlineLevel="1" x14ac:dyDescent="0.2">
      <c r="A12" s="637"/>
      <c r="B12" s="581"/>
      <c r="C12" s="581"/>
      <c r="D12" s="692"/>
      <c r="E12" s="706"/>
      <c r="F12" s="706"/>
      <c r="G12" s="695"/>
      <c r="H12" s="2" t="s">
        <v>63</v>
      </c>
      <c r="I12" s="703"/>
      <c r="J12" s="251" t="s">
        <v>64</v>
      </c>
      <c r="K12" s="352">
        <v>0</v>
      </c>
      <c r="L12" s="352">
        <v>0</v>
      </c>
      <c r="M12" s="272">
        <v>44593</v>
      </c>
      <c r="N12" s="272">
        <v>44925</v>
      </c>
      <c r="O12" s="272">
        <v>44652</v>
      </c>
      <c r="P12" s="273">
        <f t="shared" si="0"/>
        <v>0.17771084337349397</v>
      </c>
      <c r="Q12" s="273">
        <f t="shared" si="1"/>
        <v>0.17771084337349397</v>
      </c>
      <c r="R12" s="274">
        <v>1</v>
      </c>
      <c r="S12" s="275">
        <v>0.25</v>
      </c>
      <c r="T12" s="275">
        <v>0.5</v>
      </c>
      <c r="U12" s="275">
        <v>0.75</v>
      </c>
      <c r="V12" s="275">
        <v>1</v>
      </c>
      <c r="W12" s="275">
        <v>0</v>
      </c>
      <c r="X12" s="339" t="s">
        <v>65</v>
      </c>
      <c r="Y12" s="341" t="s">
        <v>53</v>
      </c>
      <c r="Z12" s="352">
        <v>0</v>
      </c>
      <c r="AA12" s="275">
        <v>0.5</v>
      </c>
      <c r="AB12" s="339" t="s">
        <v>65</v>
      </c>
      <c r="AC12" s="341" t="s">
        <v>53</v>
      </c>
      <c r="AD12" s="276"/>
      <c r="AE12" s="277"/>
      <c r="AF12" s="277"/>
      <c r="AG12" s="276"/>
      <c r="AH12" s="277"/>
      <c r="AI12" s="277"/>
      <c r="AJ12" s="278"/>
    </row>
    <row r="13" spans="1:36" ht="69.599999999999994" hidden="1" customHeight="1" outlineLevel="1" x14ac:dyDescent="0.2">
      <c r="A13" s="637"/>
      <c r="B13" s="581"/>
      <c r="C13" s="581"/>
      <c r="D13" s="692"/>
      <c r="E13" s="706"/>
      <c r="F13" s="706"/>
      <c r="G13" s="695"/>
      <c r="H13" s="2" t="s">
        <v>66</v>
      </c>
      <c r="I13" s="703"/>
      <c r="J13" s="251" t="s">
        <v>67</v>
      </c>
      <c r="K13" s="352">
        <v>0</v>
      </c>
      <c r="L13" s="352">
        <v>0</v>
      </c>
      <c r="M13" s="272">
        <v>44593</v>
      </c>
      <c r="N13" s="272">
        <v>44925</v>
      </c>
      <c r="O13" s="272">
        <v>44652</v>
      </c>
      <c r="P13" s="273">
        <f t="shared" si="0"/>
        <v>0.17771084337349397</v>
      </c>
      <c r="Q13" s="273">
        <f t="shared" si="1"/>
        <v>0.17771084337349397</v>
      </c>
      <c r="R13" s="274">
        <v>1</v>
      </c>
      <c r="S13" s="275">
        <v>0.25</v>
      </c>
      <c r="T13" s="275">
        <v>0.5</v>
      </c>
      <c r="U13" s="275">
        <v>0.75</v>
      </c>
      <c r="V13" s="275">
        <v>1</v>
      </c>
      <c r="W13" s="275">
        <v>0.25</v>
      </c>
      <c r="X13" s="339" t="s">
        <v>68</v>
      </c>
      <c r="Y13" s="343" t="s">
        <v>69</v>
      </c>
      <c r="Z13" s="352">
        <v>0</v>
      </c>
      <c r="AA13" s="275">
        <v>0.5</v>
      </c>
      <c r="AB13" s="339" t="s">
        <v>68</v>
      </c>
      <c r="AC13" s="343" t="s">
        <v>69</v>
      </c>
      <c r="AD13" s="276"/>
      <c r="AE13" s="277"/>
      <c r="AF13" s="277"/>
      <c r="AG13" s="276"/>
      <c r="AH13" s="277"/>
      <c r="AI13" s="277"/>
      <c r="AJ13" s="278"/>
    </row>
    <row r="14" spans="1:36" ht="69.599999999999994" hidden="1" customHeight="1" outlineLevel="1" x14ac:dyDescent="0.2">
      <c r="A14" s="637"/>
      <c r="B14" s="547"/>
      <c r="C14" s="547"/>
      <c r="D14" s="693"/>
      <c r="E14" s="707"/>
      <c r="F14" s="707"/>
      <c r="G14" s="696"/>
      <c r="H14" s="2" t="s">
        <v>70</v>
      </c>
      <c r="I14" s="704"/>
      <c r="J14" s="251" t="s">
        <v>71</v>
      </c>
      <c r="K14" s="352">
        <v>0</v>
      </c>
      <c r="L14" s="352">
        <v>0</v>
      </c>
      <c r="M14" s="272">
        <v>44593</v>
      </c>
      <c r="N14" s="272">
        <v>44925</v>
      </c>
      <c r="O14" s="272">
        <v>44652</v>
      </c>
      <c r="P14" s="273">
        <f t="shared" si="0"/>
        <v>0.17771084337349397</v>
      </c>
      <c r="Q14" s="273">
        <f t="shared" si="1"/>
        <v>0.17771084337349397</v>
      </c>
      <c r="R14" s="274">
        <v>1</v>
      </c>
      <c r="S14" s="275">
        <v>0.25</v>
      </c>
      <c r="T14" s="275">
        <v>0.5</v>
      </c>
      <c r="U14" s="275">
        <v>0.75</v>
      </c>
      <c r="V14" s="275">
        <v>1</v>
      </c>
      <c r="W14" s="275">
        <v>0.25</v>
      </c>
      <c r="X14" s="339" t="s">
        <v>72</v>
      </c>
      <c r="Y14" s="341" t="s">
        <v>53</v>
      </c>
      <c r="Z14" s="352">
        <v>0</v>
      </c>
      <c r="AA14" s="275">
        <v>0.5</v>
      </c>
      <c r="AB14" s="339" t="s">
        <v>72</v>
      </c>
      <c r="AC14" s="341" t="s">
        <v>53</v>
      </c>
      <c r="AD14" s="276"/>
      <c r="AE14" s="277"/>
      <c r="AF14" s="277"/>
      <c r="AG14" s="276"/>
      <c r="AH14" s="277"/>
      <c r="AI14" s="277"/>
      <c r="AJ14" s="278"/>
    </row>
    <row r="15" spans="1:36" ht="99.75" hidden="1" customHeight="1" outlineLevel="1" x14ac:dyDescent="0.2">
      <c r="A15" s="637"/>
      <c r="B15" s="581" t="s">
        <v>40</v>
      </c>
      <c r="C15" s="581" t="s">
        <v>73</v>
      </c>
      <c r="D15" s="629" t="s">
        <v>74</v>
      </c>
      <c r="E15" s="589" t="s">
        <v>75</v>
      </c>
      <c r="F15" s="589" t="s">
        <v>76</v>
      </c>
      <c r="G15" s="595" t="s">
        <v>77</v>
      </c>
      <c r="H15" s="296" t="s">
        <v>78</v>
      </c>
      <c r="I15" s="675" t="s">
        <v>79</v>
      </c>
      <c r="J15" s="251" t="s">
        <v>80</v>
      </c>
      <c r="K15" s="312">
        <v>27009430</v>
      </c>
      <c r="L15" s="352">
        <v>0</v>
      </c>
      <c r="M15" s="272">
        <v>44593</v>
      </c>
      <c r="N15" s="272">
        <v>44925</v>
      </c>
      <c r="O15" s="272">
        <v>44652</v>
      </c>
      <c r="P15" s="273">
        <f t="shared" si="0"/>
        <v>0.17771084337349397</v>
      </c>
      <c r="Q15" s="273">
        <f t="shared" si="1"/>
        <v>0.17771084337349397</v>
      </c>
      <c r="R15" s="274">
        <v>1</v>
      </c>
      <c r="S15" s="275">
        <v>0.25</v>
      </c>
      <c r="T15" s="275">
        <v>0.5</v>
      </c>
      <c r="U15" s="275">
        <v>0.75</v>
      </c>
      <c r="V15" s="275">
        <v>1</v>
      </c>
      <c r="W15" s="275">
        <v>0.35</v>
      </c>
      <c r="X15" s="275" t="s">
        <v>81</v>
      </c>
      <c r="Y15" s="341" t="s">
        <v>82</v>
      </c>
      <c r="Z15" s="326">
        <v>27009430</v>
      </c>
      <c r="AA15" s="275">
        <v>0.55000000000000004</v>
      </c>
      <c r="AB15" s="277" t="s">
        <v>83</v>
      </c>
      <c r="AC15" s="277" t="s">
        <v>84</v>
      </c>
      <c r="AD15" s="276"/>
      <c r="AE15" s="277"/>
      <c r="AF15" s="277"/>
      <c r="AG15" s="276"/>
      <c r="AH15" s="277"/>
      <c r="AI15" s="277"/>
      <c r="AJ15" s="278"/>
    </row>
    <row r="16" spans="1:36" ht="109.5" hidden="1" customHeight="1" outlineLevel="1" x14ac:dyDescent="0.2">
      <c r="A16" s="637"/>
      <c r="B16" s="581"/>
      <c r="C16" s="581"/>
      <c r="D16" s="629"/>
      <c r="E16" s="589"/>
      <c r="F16" s="589"/>
      <c r="G16" s="596"/>
      <c r="H16" s="296" t="s">
        <v>85</v>
      </c>
      <c r="I16" s="675"/>
      <c r="J16" s="251" t="s">
        <v>86</v>
      </c>
      <c r="K16" s="312">
        <v>0</v>
      </c>
      <c r="L16" s="352">
        <v>0</v>
      </c>
      <c r="M16" s="272">
        <v>44593</v>
      </c>
      <c r="N16" s="272">
        <v>44925</v>
      </c>
      <c r="O16" s="272">
        <v>44652</v>
      </c>
      <c r="P16" s="273">
        <f t="shared" si="0"/>
        <v>0.17771084337349397</v>
      </c>
      <c r="Q16" s="273">
        <f t="shared" si="1"/>
        <v>0.17771084337349397</v>
      </c>
      <c r="R16" s="274">
        <v>1</v>
      </c>
      <c r="S16" s="275">
        <v>0.25</v>
      </c>
      <c r="T16" s="275">
        <v>0.5</v>
      </c>
      <c r="U16" s="275">
        <v>0.75</v>
      </c>
      <c r="V16" s="275">
        <v>1</v>
      </c>
      <c r="W16" s="275">
        <v>0.5</v>
      </c>
      <c r="X16" s="275" t="s">
        <v>87</v>
      </c>
      <c r="Y16" s="341" t="s">
        <v>88</v>
      </c>
      <c r="Z16" s="316">
        <v>0</v>
      </c>
      <c r="AA16" s="275">
        <v>1</v>
      </c>
      <c r="AB16" s="277" t="s">
        <v>89</v>
      </c>
      <c r="AC16" s="277" t="s">
        <v>90</v>
      </c>
      <c r="AD16" s="276"/>
      <c r="AE16" s="277"/>
      <c r="AF16" s="277"/>
      <c r="AG16" s="276"/>
      <c r="AH16" s="277"/>
      <c r="AI16" s="277"/>
      <c r="AJ16" s="278"/>
    </row>
    <row r="17" spans="1:37" ht="225" hidden="1" customHeight="1" outlineLevel="1" x14ac:dyDescent="0.2">
      <c r="A17" s="637"/>
      <c r="B17" s="581"/>
      <c r="C17" s="546" t="s">
        <v>91</v>
      </c>
      <c r="D17" s="629"/>
      <c r="E17" s="588" t="s">
        <v>92</v>
      </c>
      <c r="F17" s="588" t="s">
        <v>93</v>
      </c>
      <c r="G17" s="594" t="s">
        <v>45</v>
      </c>
      <c r="H17" s="296" t="s">
        <v>94</v>
      </c>
      <c r="I17" s="676" t="s">
        <v>95</v>
      </c>
      <c r="J17" s="251" t="s">
        <v>96</v>
      </c>
      <c r="K17" s="312">
        <v>14000000</v>
      </c>
      <c r="L17" s="352">
        <v>0</v>
      </c>
      <c r="M17" s="272">
        <v>44593</v>
      </c>
      <c r="N17" s="272">
        <v>44925</v>
      </c>
      <c r="O17" s="272">
        <v>44652</v>
      </c>
      <c r="P17" s="273">
        <f t="shared" si="0"/>
        <v>0.17771084337349397</v>
      </c>
      <c r="Q17" s="273">
        <f t="shared" si="1"/>
        <v>0.17771084337349397</v>
      </c>
      <c r="R17" s="274">
        <v>1</v>
      </c>
      <c r="S17" s="275">
        <v>0.25</v>
      </c>
      <c r="T17" s="275">
        <v>0.5</v>
      </c>
      <c r="U17" s="275">
        <v>0.75</v>
      </c>
      <c r="V17" s="275">
        <v>1</v>
      </c>
      <c r="W17" s="275">
        <v>0.15</v>
      </c>
      <c r="X17" s="275" t="s">
        <v>97</v>
      </c>
      <c r="Y17" s="341" t="s">
        <v>53</v>
      </c>
      <c r="Z17" s="316">
        <v>0</v>
      </c>
      <c r="AA17" s="275">
        <v>0.15</v>
      </c>
      <c r="AB17" s="277" t="s">
        <v>98</v>
      </c>
      <c r="AC17" s="277" t="s">
        <v>53</v>
      </c>
      <c r="AD17" s="276"/>
      <c r="AE17" s="277"/>
      <c r="AF17" s="277"/>
      <c r="AG17" s="276"/>
      <c r="AH17" s="277"/>
      <c r="AI17" s="277"/>
      <c r="AJ17" s="278"/>
    </row>
    <row r="18" spans="1:37" ht="225" hidden="1" customHeight="1" outlineLevel="1" x14ac:dyDescent="0.2">
      <c r="A18" s="637"/>
      <c r="B18" s="581"/>
      <c r="C18" s="581"/>
      <c r="D18" s="629"/>
      <c r="E18" s="589"/>
      <c r="F18" s="589"/>
      <c r="G18" s="595"/>
      <c r="H18" s="296" t="s">
        <v>99</v>
      </c>
      <c r="I18" s="675"/>
      <c r="J18" s="251" t="s">
        <v>2149</v>
      </c>
      <c r="K18" s="312">
        <v>14000000</v>
      </c>
      <c r="L18" s="316">
        <v>0</v>
      </c>
      <c r="M18" s="272"/>
      <c r="N18" s="272"/>
      <c r="O18" s="272"/>
      <c r="P18" s="273"/>
      <c r="Q18" s="273"/>
      <c r="R18" s="274"/>
      <c r="S18" s="275"/>
      <c r="T18" s="275"/>
      <c r="U18" s="275"/>
      <c r="V18" s="275"/>
      <c r="W18" s="275"/>
      <c r="X18" s="275" t="s">
        <v>53</v>
      </c>
      <c r="Y18" s="341"/>
      <c r="Z18" s="316">
        <v>0</v>
      </c>
      <c r="AA18" s="275">
        <v>0.5</v>
      </c>
      <c r="AB18" s="277" t="s">
        <v>100</v>
      </c>
      <c r="AC18" s="277" t="s">
        <v>101</v>
      </c>
      <c r="AD18" s="276"/>
      <c r="AE18" s="277"/>
      <c r="AF18" s="277"/>
      <c r="AG18" s="276"/>
      <c r="AH18" s="277"/>
      <c r="AI18" s="277"/>
      <c r="AJ18" s="278"/>
    </row>
    <row r="19" spans="1:37" ht="112.5" hidden="1" customHeight="1" outlineLevel="1" x14ac:dyDescent="0.2">
      <c r="A19" s="637"/>
      <c r="B19" s="581"/>
      <c r="C19" s="581"/>
      <c r="D19" s="629"/>
      <c r="E19" s="589"/>
      <c r="F19" s="589"/>
      <c r="G19" s="595"/>
      <c r="H19" s="296" t="s">
        <v>102</v>
      </c>
      <c r="I19" s="675"/>
      <c r="J19" s="251" t="s">
        <v>103</v>
      </c>
      <c r="K19" s="312">
        <v>8000000</v>
      </c>
      <c r="L19" s="316">
        <v>0</v>
      </c>
      <c r="M19" s="272">
        <v>44593</v>
      </c>
      <c r="N19" s="272">
        <v>44925</v>
      </c>
      <c r="O19" s="272">
        <v>44652</v>
      </c>
      <c r="P19" s="273">
        <f t="shared" si="0"/>
        <v>0.17771084337349397</v>
      </c>
      <c r="Q19" s="273">
        <f t="shared" si="1"/>
        <v>0.17771084337349397</v>
      </c>
      <c r="R19" s="274">
        <v>1</v>
      </c>
      <c r="S19" s="275">
        <v>0.25</v>
      </c>
      <c r="T19" s="275">
        <v>0.5</v>
      </c>
      <c r="U19" s="275">
        <v>0.75</v>
      </c>
      <c r="V19" s="275">
        <v>1</v>
      </c>
      <c r="W19" s="275">
        <v>0</v>
      </c>
      <c r="X19" s="275" t="s">
        <v>104</v>
      </c>
      <c r="Y19" s="341" t="s">
        <v>53</v>
      </c>
      <c r="Z19" s="316">
        <v>0</v>
      </c>
      <c r="AA19" s="275">
        <v>0</v>
      </c>
      <c r="AB19" s="277" t="s">
        <v>98</v>
      </c>
      <c r="AC19" s="277" t="s">
        <v>53</v>
      </c>
      <c r="AD19" s="276"/>
      <c r="AE19" s="277"/>
      <c r="AF19" s="277"/>
      <c r="AG19" s="276"/>
      <c r="AH19" s="277"/>
      <c r="AI19" s="277"/>
      <c r="AJ19" s="278"/>
    </row>
    <row r="20" spans="1:37" ht="168.75" hidden="1" customHeight="1" outlineLevel="1" x14ac:dyDescent="0.2">
      <c r="A20" s="637"/>
      <c r="B20" s="547"/>
      <c r="C20" s="547"/>
      <c r="D20" s="690"/>
      <c r="E20" s="590"/>
      <c r="F20" s="590"/>
      <c r="G20" s="596"/>
      <c r="H20" s="296" t="s">
        <v>105</v>
      </c>
      <c r="I20" s="677"/>
      <c r="J20" s="251" t="s">
        <v>106</v>
      </c>
      <c r="K20" s="312">
        <v>4200000</v>
      </c>
      <c r="L20" s="316">
        <v>0</v>
      </c>
      <c r="M20" s="272">
        <v>44593</v>
      </c>
      <c r="N20" s="272">
        <v>44925</v>
      </c>
      <c r="O20" s="272">
        <v>44652</v>
      </c>
      <c r="P20" s="273">
        <f t="shared" si="0"/>
        <v>0.17771084337349397</v>
      </c>
      <c r="Q20" s="273">
        <f t="shared" si="1"/>
        <v>0.17771084337349397</v>
      </c>
      <c r="R20" s="274">
        <v>1</v>
      </c>
      <c r="S20" s="275">
        <v>0.25</v>
      </c>
      <c r="T20" s="275">
        <v>0.5</v>
      </c>
      <c r="U20" s="275">
        <v>0.75</v>
      </c>
      <c r="V20" s="275">
        <v>1</v>
      </c>
      <c r="W20" s="275">
        <v>0</v>
      </c>
      <c r="X20" s="275" t="s">
        <v>104</v>
      </c>
      <c r="Y20" s="341" t="s">
        <v>53</v>
      </c>
      <c r="Z20" s="316">
        <v>0</v>
      </c>
      <c r="AA20" s="275">
        <v>0</v>
      </c>
      <c r="AB20" s="277" t="s">
        <v>98</v>
      </c>
      <c r="AC20" s="277" t="s">
        <v>53</v>
      </c>
      <c r="AD20" s="276"/>
      <c r="AE20" s="277"/>
      <c r="AF20" s="277"/>
      <c r="AG20" s="276"/>
      <c r="AH20" s="277"/>
      <c r="AI20" s="277"/>
      <c r="AJ20" s="278"/>
    </row>
    <row r="21" spans="1:37" ht="110.25" hidden="1" customHeight="1" outlineLevel="1" x14ac:dyDescent="0.2">
      <c r="A21" s="637"/>
      <c r="B21" s="414" t="s">
        <v>40</v>
      </c>
      <c r="C21" s="546" t="s">
        <v>107</v>
      </c>
      <c r="D21" s="773" t="s">
        <v>108</v>
      </c>
      <c r="E21" s="773" t="s">
        <v>109</v>
      </c>
      <c r="F21" s="773" t="s">
        <v>110</v>
      </c>
      <c r="G21" s="776" t="s">
        <v>45</v>
      </c>
      <c r="H21" s="2" t="s">
        <v>111</v>
      </c>
      <c r="I21" s="657" t="s">
        <v>112</v>
      </c>
      <c r="J21" s="251" t="s">
        <v>113</v>
      </c>
      <c r="K21" s="312">
        <v>24000000</v>
      </c>
      <c r="L21" s="312">
        <v>0</v>
      </c>
      <c r="M21" s="272">
        <v>44593</v>
      </c>
      <c r="N21" s="272">
        <v>44925</v>
      </c>
      <c r="O21" s="272">
        <v>44652</v>
      </c>
      <c r="P21" s="273">
        <f t="shared" si="0"/>
        <v>0.17771084337349397</v>
      </c>
      <c r="Q21" s="273">
        <f t="shared" si="1"/>
        <v>0.17771084337349397</v>
      </c>
      <c r="R21" s="274">
        <v>0.6</v>
      </c>
      <c r="S21" s="275">
        <v>0.45</v>
      </c>
      <c r="T21" s="275">
        <v>0.5</v>
      </c>
      <c r="U21" s="275">
        <v>0.55000000000000004</v>
      </c>
      <c r="V21" s="275">
        <v>0.6</v>
      </c>
      <c r="W21" s="275">
        <v>0.25</v>
      </c>
      <c r="X21" s="275" t="s">
        <v>114</v>
      </c>
      <c r="Y21" s="341" t="s">
        <v>115</v>
      </c>
      <c r="Z21" s="352">
        <v>0</v>
      </c>
      <c r="AA21" s="275">
        <v>0.5</v>
      </c>
      <c r="AB21" s="277" t="s">
        <v>116</v>
      </c>
      <c r="AC21" s="277" t="s">
        <v>117</v>
      </c>
      <c r="AD21" s="276"/>
      <c r="AE21" s="277"/>
      <c r="AF21" s="277"/>
      <c r="AG21" s="276"/>
      <c r="AH21" s="277"/>
      <c r="AI21" s="277"/>
      <c r="AJ21" s="278"/>
    </row>
    <row r="22" spans="1:37" ht="131.25" hidden="1" customHeight="1" outlineLevel="1" x14ac:dyDescent="0.2">
      <c r="A22" s="637"/>
      <c r="B22" s="415"/>
      <c r="C22" s="581"/>
      <c r="D22" s="774"/>
      <c r="E22" s="774"/>
      <c r="F22" s="774"/>
      <c r="G22" s="777"/>
      <c r="H22" s="2" t="s">
        <v>118</v>
      </c>
      <c r="I22" s="658"/>
      <c r="J22" s="251" t="s">
        <v>119</v>
      </c>
      <c r="K22" s="352">
        <v>0</v>
      </c>
      <c r="L22" s="312">
        <v>0</v>
      </c>
      <c r="M22" s="272"/>
      <c r="N22" s="272"/>
      <c r="O22" s="272"/>
      <c r="P22" s="273"/>
      <c r="Q22" s="273"/>
      <c r="R22" s="274"/>
      <c r="S22" s="275"/>
      <c r="T22" s="275"/>
      <c r="U22" s="275"/>
      <c r="V22" s="275"/>
      <c r="W22" s="275">
        <v>0.25</v>
      </c>
      <c r="X22" s="275" t="s">
        <v>120</v>
      </c>
      <c r="Y22" s="341" t="s">
        <v>115</v>
      </c>
      <c r="Z22" s="352">
        <v>0</v>
      </c>
      <c r="AA22" s="275">
        <v>0.5</v>
      </c>
      <c r="AB22" s="277" t="s">
        <v>121</v>
      </c>
      <c r="AC22" s="277" t="s">
        <v>117</v>
      </c>
      <c r="AD22" s="276"/>
      <c r="AE22" s="277"/>
      <c r="AF22" s="277"/>
      <c r="AG22" s="276"/>
      <c r="AH22" s="277"/>
      <c r="AI22" s="277"/>
      <c r="AJ22" s="278"/>
    </row>
    <row r="23" spans="1:37" ht="131.25" hidden="1" customHeight="1" outlineLevel="1" x14ac:dyDescent="0.2">
      <c r="A23" s="637"/>
      <c r="B23" s="415"/>
      <c r="C23" s="547"/>
      <c r="D23" s="775"/>
      <c r="E23" s="775"/>
      <c r="F23" s="775"/>
      <c r="G23" s="778"/>
      <c r="H23" s="428" t="s">
        <v>122</v>
      </c>
      <c r="I23" s="659"/>
      <c r="J23" s="251" t="s">
        <v>119</v>
      </c>
      <c r="K23" s="352">
        <v>0</v>
      </c>
      <c r="L23" s="312">
        <v>0</v>
      </c>
      <c r="M23" s="272"/>
      <c r="N23" s="272"/>
      <c r="O23" s="272"/>
      <c r="P23" s="273"/>
      <c r="Q23" s="273"/>
      <c r="R23" s="274"/>
      <c r="S23" s="275"/>
      <c r="T23" s="275"/>
      <c r="U23" s="275"/>
      <c r="V23" s="275"/>
      <c r="W23" s="275">
        <v>0.25</v>
      </c>
      <c r="X23" s="275" t="s">
        <v>123</v>
      </c>
      <c r="Y23" s="341" t="s">
        <v>115</v>
      </c>
      <c r="Z23" s="352">
        <v>0</v>
      </c>
      <c r="AA23" s="275">
        <v>0.5</v>
      </c>
      <c r="AB23" s="277" t="s">
        <v>124</v>
      </c>
      <c r="AC23" s="277" t="s">
        <v>117</v>
      </c>
      <c r="AD23" s="276"/>
      <c r="AE23" s="277"/>
      <c r="AF23" s="277"/>
      <c r="AG23" s="276"/>
      <c r="AH23" s="277"/>
      <c r="AI23" s="277"/>
      <c r="AJ23" s="278"/>
    </row>
    <row r="24" spans="1:37" ht="198" hidden="1" customHeight="1" outlineLevel="1" x14ac:dyDescent="0.2">
      <c r="A24" s="637"/>
      <c r="B24" s="546" t="s">
        <v>40</v>
      </c>
      <c r="C24" s="546" t="s">
        <v>41</v>
      </c>
      <c r="D24" s="681" t="s">
        <v>125</v>
      </c>
      <c r="E24" s="688" t="s">
        <v>43</v>
      </c>
      <c r="F24" s="688" t="s">
        <v>44</v>
      </c>
      <c r="G24" s="810" t="s">
        <v>45</v>
      </c>
      <c r="H24" s="437" t="s">
        <v>126</v>
      </c>
      <c r="I24" s="708" t="s">
        <v>47</v>
      </c>
      <c r="J24" s="251" t="s">
        <v>127</v>
      </c>
      <c r="K24" s="251" t="s">
        <v>128</v>
      </c>
      <c r="L24" s="312">
        <v>0</v>
      </c>
      <c r="M24" s="272">
        <v>44593</v>
      </c>
      <c r="N24" s="272">
        <v>44925</v>
      </c>
      <c r="O24" s="272">
        <v>44652</v>
      </c>
      <c r="P24" s="273">
        <f t="shared" si="0"/>
        <v>0.17771084337349397</v>
      </c>
      <c r="Q24" s="273">
        <f t="shared" si="1"/>
        <v>0.17771084337349397</v>
      </c>
      <c r="R24" s="274">
        <v>1</v>
      </c>
      <c r="S24" s="275">
        <v>0.25</v>
      </c>
      <c r="T24" s="275">
        <v>0.5</v>
      </c>
      <c r="U24" s="275">
        <v>0.75</v>
      </c>
      <c r="V24" s="275">
        <v>1</v>
      </c>
      <c r="W24" s="275">
        <v>0.25</v>
      </c>
      <c r="X24" s="275" t="s">
        <v>129</v>
      </c>
      <c r="Y24" s="341" t="s">
        <v>130</v>
      </c>
      <c r="Z24" s="312">
        <v>0</v>
      </c>
      <c r="AA24" s="487">
        <v>0.5</v>
      </c>
      <c r="AB24" s="277" t="s">
        <v>2150</v>
      </c>
      <c r="AC24" s="473" t="s">
        <v>2151</v>
      </c>
      <c r="AD24" s="276"/>
      <c r="AE24" s="277"/>
      <c r="AF24" s="277"/>
      <c r="AG24" s="276"/>
      <c r="AH24" s="277"/>
      <c r="AI24" s="277"/>
      <c r="AJ24" s="278"/>
    </row>
    <row r="25" spans="1:37" ht="161.25" hidden="1" customHeight="1" outlineLevel="1" x14ac:dyDescent="0.2">
      <c r="A25" s="637"/>
      <c r="B25" s="581"/>
      <c r="C25" s="581"/>
      <c r="D25" s="682"/>
      <c r="E25" s="688"/>
      <c r="F25" s="688"/>
      <c r="G25" s="810"/>
      <c r="H25" s="437" t="s">
        <v>131</v>
      </c>
      <c r="I25" s="708"/>
      <c r="J25" s="251" t="s">
        <v>132</v>
      </c>
      <c r="K25" s="251" t="s">
        <v>128</v>
      </c>
      <c r="L25" s="312">
        <v>0</v>
      </c>
      <c r="M25" s="272">
        <v>44593</v>
      </c>
      <c r="N25" s="272">
        <v>44925</v>
      </c>
      <c r="O25" s="272">
        <v>44652</v>
      </c>
      <c r="P25" s="273">
        <f t="shared" si="0"/>
        <v>0.17771084337349397</v>
      </c>
      <c r="Q25" s="273">
        <f t="shared" si="1"/>
        <v>0.17771084337349397</v>
      </c>
      <c r="R25" s="274">
        <v>1</v>
      </c>
      <c r="S25" s="275">
        <v>0.25</v>
      </c>
      <c r="T25" s="275">
        <v>0.5</v>
      </c>
      <c r="U25" s="275">
        <v>0.75</v>
      </c>
      <c r="V25" s="275">
        <v>1</v>
      </c>
      <c r="W25" s="275">
        <v>0.25</v>
      </c>
      <c r="X25" s="275" t="s">
        <v>133</v>
      </c>
      <c r="Y25" s="341" t="s">
        <v>134</v>
      </c>
      <c r="Z25" s="312">
        <v>0</v>
      </c>
      <c r="AA25" s="487">
        <v>0.5</v>
      </c>
      <c r="AB25" s="277" t="s">
        <v>2152</v>
      </c>
      <c r="AC25" s="277" t="s">
        <v>2153</v>
      </c>
      <c r="AD25" s="276"/>
      <c r="AE25" s="277"/>
      <c r="AF25" s="277"/>
      <c r="AG25" s="276"/>
      <c r="AH25" s="277"/>
      <c r="AI25" s="277"/>
      <c r="AJ25" s="278"/>
    </row>
    <row r="26" spans="1:37" ht="75" hidden="1" customHeight="1" outlineLevel="1" x14ac:dyDescent="0.2">
      <c r="A26" s="637"/>
      <c r="B26" s="581"/>
      <c r="C26" s="581"/>
      <c r="D26" s="682"/>
      <c r="E26" s="688"/>
      <c r="F26" s="688"/>
      <c r="G26" s="810"/>
      <c r="H26" s="437" t="s">
        <v>135</v>
      </c>
      <c r="I26" s="708"/>
      <c r="J26" s="251" t="s">
        <v>136</v>
      </c>
      <c r="K26" s="251" t="s">
        <v>128</v>
      </c>
      <c r="L26" s="312">
        <v>0</v>
      </c>
      <c r="M26" s="272">
        <v>44593</v>
      </c>
      <c r="N26" s="272">
        <v>44925</v>
      </c>
      <c r="O26" s="272">
        <v>44652</v>
      </c>
      <c r="P26" s="273">
        <f t="shared" si="0"/>
        <v>0.17771084337349397</v>
      </c>
      <c r="Q26" s="273">
        <f t="shared" si="1"/>
        <v>0.17771084337349397</v>
      </c>
      <c r="R26" s="274">
        <v>1</v>
      </c>
      <c r="S26" s="275">
        <v>0.25</v>
      </c>
      <c r="T26" s="275">
        <v>0.5</v>
      </c>
      <c r="U26" s="275">
        <v>0.75</v>
      </c>
      <c r="V26" s="275">
        <v>1</v>
      </c>
      <c r="W26" s="275">
        <v>0.25</v>
      </c>
      <c r="X26" s="275" t="s">
        <v>137</v>
      </c>
      <c r="Y26" s="341" t="s">
        <v>138</v>
      </c>
      <c r="Z26" s="312">
        <v>0</v>
      </c>
      <c r="AA26" s="487">
        <v>0.5</v>
      </c>
      <c r="AB26" s="277" t="s">
        <v>2154</v>
      </c>
      <c r="AC26" s="473" t="s">
        <v>2155</v>
      </c>
      <c r="AD26" s="276"/>
      <c r="AE26" s="277"/>
      <c r="AF26" s="277"/>
      <c r="AG26" s="276"/>
      <c r="AH26" s="277"/>
      <c r="AI26" s="277"/>
      <c r="AJ26" s="278"/>
    </row>
    <row r="27" spans="1:37" ht="77.25" hidden="1" customHeight="1" outlineLevel="1" x14ac:dyDescent="0.2">
      <c r="A27" s="637"/>
      <c r="B27" s="581"/>
      <c r="C27" s="581"/>
      <c r="D27" s="682"/>
      <c r="E27" s="688"/>
      <c r="F27" s="688"/>
      <c r="G27" s="810"/>
      <c r="H27" s="437" t="s">
        <v>139</v>
      </c>
      <c r="I27" s="708"/>
      <c r="J27" s="251" t="s">
        <v>140</v>
      </c>
      <c r="K27" s="251" t="s">
        <v>128</v>
      </c>
      <c r="L27" s="312">
        <v>0</v>
      </c>
      <c r="M27" s="272">
        <v>44593</v>
      </c>
      <c r="N27" s="272">
        <v>44925</v>
      </c>
      <c r="O27" s="272">
        <v>44652</v>
      </c>
      <c r="P27" s="273">
        <f t="shared" si="0"/>
        <v>0.17771084337349397</v>
      </c>
      <c r="Q27" s="273">
        <f t="shared" si="1"/>
        <v>0.17771084337349397</v>
      </c>
      <c r="R27" s="274">
        <v>1</v>
      </c>
      <c r="S27" s="275">
        <v>0.25</v>
      </c>
      <c r="T27" s="275">
        <v>0.5</v>
      </c>
      <c r="U27" s="275">
        <v>0.75</v>
      </c>
      <c r="V27" s="275">
        <v>1</v>
      </c>
      <c r="W27" s="275">
        <v>0.25</v>
      </c>
      <c r="X27" s="275" t="s">
        <v>141</v>
      </c>
      <c r="Y27" s="341" t="s">
        <v>142</v>
      </c>
      <c r="Z27" s="312">
        <v>0</v>
      </c>
      <c r="AA27" s="487">
        <v>0.66</v>
      </c>
      <c r="AB27" s="277" t="s">
        <v>2156</v>
      </c>
      <c r="AC27" s="473" t="s">
        <v>2157</v>
      </c>
      <c r="AD27" s="276"/>
      <c r="AE27" s="277"/>
      <c r="AF27" s="277"/>
      <c r="AG27" s="276"/>
      <c r="AH27" s="277"/>
      <c r="AI27" s="277"/>
      <c r="AJ27" s="278"/>
    </row>
    <row r="28" spans="1:37" ht="89.25" hidden="1" customHeight="1" outlineLevel="1" x14ac:dyDescent="0.2">
      <c r="A28" s="637"/>
      <c r="B28" s="547"/>
      <c r="C28" s="547"/>
      <c r="D28" s="683"/>
      <c r="E28" s="688"/>
      <c r="F28" s="688"/>
      <c r="G28" s="810"/>
      <c r="H28" s="242" t="s">
        <v>143</v>
      </c>
      <c r="I28" s="708"/>
      <c r="J28" s="251" t="s">
        <v>144</v>
      </c>
      <c r="K28" s="251" t="s">
        <v>128</v>
      </c>
      <c r="L28" s="312">
        <v>0</v>
      </c>
      <c r="M28" s="272">
        <v>44593</v>
      </c>
      <c r="N28" s="272">
        <v>44925</v>
      </c>
      <c r="O28" s="272">
        <v>44652</v>
      </c>
      <c r="P28" s="273">
        <f t="shared" si="0"/>
        <v>0.17771084337349397</v>
      </c>
      <c r="Q28" s="273">
        <f t="shared" si="1"/>
        <v>0.17771084337349397</v>
      </c>
      <c r="R28" s="274">
        <v>1</v>
      </c>
      <c r="S28" s="275">
        <v>0.25</v>
      </c>
      <c r="T28" s="275">
        <v>0.5</v>
      </c>
      <c r="U28" s="275">
        <v>0.75</v>
      </c>
      <c r="V28" s="275">
        <v>1</v>
      </c>
      <c r="W28" s="275">
        <v>0.25</v>
      </c>
      <c r="X28" s="275" t="s">
        <v>145</v>
      </c>
      <c r="Y28" s="341" t="s">
        <v>53</v>
      </c>
      <c r="Z28" s="312">
        <v>0</v>
      </c>
      <c r="AA28" s="487">
        <v>0.45</v>
      </c>
      <c r="AB28" s="277" t="s">
        <v>2158</v>
      </c>
      <c r="AC28" s="277" t="s">
        <v>2159</v>
      </c>
      <c r="AD28" s="276"/>
      <c r="AE28" s="277"/>
      <c r="AF28" s="277"/>
      <c r="AG28" s="276"/>
      <c r="AH28" s="277"/>
      <c r="AI28" s="277"/>
      <c r="AJ28" s="279"/>
      <c r="AK28" s="257"/>
    </row>
    <row r="29" spans="1:37" ht="90.75" hidden="1" customHeight="1" outlineLevel="1" x14ac:dyDescent="0.2">
      <c r="A29" s="637"/>
      <c r="B29" s="581" t="s">
        <v>40</v>
      </c>
      <c r="C29" s="581" t="s">
        <v>41</v>
      </c>
      <c r="D29" s="689" t="s">
        <v>146</v>
      </c>
      <c r="E29" s="532" t="s">
        <v>43</v>
      </c>
      <c r="F29" s="532" t="s">
        <v>44</v>
      </c>
      <c r="G29" s="685" t="s">
        <v>147</v>
      </c>
      <c r="H29" s="261" t="s">
        <v>148</v>
      </c>
      <c r="I29" s="685" t="s">
        <v>44</v>
      </c>
      <c r="J29" s="251" t="s">
        <v>149</v>
      </c>
      <c r="K29" s="312">
        <v>32600000</v>
      </c>
      <c r="L29" s="312">
        <v>0</v>
      </c>
      <c r="M29" s="272">
        <v>44593</v>
      </c>
      <c r="N29" s="272">
        <v>44925</v>
      </c>
      <c r="O29" s="272">
        <v>44652</v>
      </c>
      <c r="P29" s="273">
        <f t="shared" si="0"/>
        <v>0.17771084337349397</v>
      </c>
      <c r="Q29" s="273">
        <f t="shared" si="1"/>
        <v>0.17771084337349397</v>
      </c>
      <c r="R29" s="274">
        <v>1</v>
      </c>
      <c r="S29" s="275">
        <v>0.25</v>
      </c>
      <c r="T29" s="275">
        <v>0.5</v>
      </c>
      <c r="U29" s="275">
        <v>0.75</v>
      </c>
      <c r="V29" s="275">
        <v>1</v>
      </c>
      <c r="W29" s="275">
        <v>0.25</v>
      </c>
      <c r="X29" s="275" t="s">
        <v>150</v>
      </c>
      <c r="Y29" s="341" t="s">
        <v>151</v>
      </c>
      <c r="Z29" s="312">
        <v>16000000</v>
      </c>
      <c r="AA29" s="275">
        <v>0.5</v>
      </c>
      <c r="AB29" s="277" t="s">
        <v>2163</v>
      </c>
      <c r="AC29" s="473" t="s">
        <v>2162</v>
      </c>
      <c r="AD29" s="276"/>
      <c r="AE29" s="277"/>
      <c r="AF29" s="277"/>
      <c r="AG29" s="276"/>
      <c r="AH29" s="277"/>
      <c r="AI29" s="277"/>
      <c r="AJ29" s="278"/>
    </row>
    <row r="30" spans="1:37" ht="111.75" hidden="1" customHeight="1" outlineLevel="1" x14ac:dyDescent="0.2">
      <c r="A30" s="637"/>
      <c r="B30" s="581"/>
      <c r="C30" s="581"/>
      <c r="D30" s="630"/>
      <c r="E30" s="534"/>
      <c r="F30" s="534"/>
      <c r="G30" s="686"/>
      <c r="H30" s="261" t="s">
        <v>152</v>
      </c>
      <c r="I30" s="686"/>
      <c r="J30" s="251" t="s">
        <v>149</v>
      </c>
      <c r="K30" s="312" t="s">
        <v>53</v>
      </c>
      <c r="L30" s="312">
        <v>0</v>
      </c>
      <c r="M30" s="272">
        <v>44593</v>
      </c>
      <c r="N30" s="272">
        <v>44925</v>
      </c>
      <c r="O30" s="272">
        <v>44652</v>
      </c>
      <c r="P30" s="273">
        <f t="shared" si="0"/>
        <v>0.17771084337349397</v>
      </c>
      <c r="Q30" s="273">
        <f t="shared" si="1"/>
        <v>0.17771084337349397</v>
      </c>
      <c r="R30" s="274">
        <v>1</v>
      </c>
      <c r="S30" s="275">
        <v>0.25</v>
      </c>
      <c r="T30" s="275">
        <v>0.5</v>
      </c>
      <c r="U30" s="275">
        <v>0.75</v>
      </c>
      <c r="V30" s="275">
        <v>1</v>
      </c>
      <c r="W30" s="275">
        <v>0.1</v>
      </c>
      <c r="X30" s="275" t="s">
        <v>153</v>
      </c>
      <c r="Y30" s="341" t="s">
        <v>151</v>
      </c>
      <c r="Z30" s="312">
        <v>0</v>
      </c>
      <c r="AA30" s="275">
        <v>0.5</v>
      </c>
      <c r="AB30" s="277" t="s">
        <v>2161</v>
      </c>
      <c r="AC30" s="473" t="s">
        <v>2160</v>
      </c>
      <c r="AD30" s="276"/>
      <c r="AE30" s="277"/>
      <c r="AF30" s="277"/>
      <c r="AG30" s="276"/>
      <c r="AH30" s="277"/>
      <c r="AI30" s="277"/>
      <c r="AJ30" s="278"/>
    </row>
    <row r="31" spans="1:37" ht="144.75" hidden="1" customHeight="1" outlineLevel="1" x14ac:dyDescent="0.2">
      <c r="A31" s="637"/>
      <c r="B31" s="581"/>
      <c r="C31" s="581"/>
      <c r="D31" s="630"/>
      <c r="E31" s="534"/>
      <c r="F31" s="534"/>
      <c r="G31" s="686"/>
      <c r="H31" s="261" t="s">
        <v>154</v>
      </c>
      <c r="I31" s="686"/>
      <c r="J31" s="251" t="s">
        <v>155</v>
      </c>
      <c r="K31" s="251" t="s">
        <v>53</v>
      </c>
      <c r="L31" s="312">
        <v>0</v>
      </c>
      <c r="M31" s="272">
        <v>44593</v>
      </c>
      <c r="N31" s="272">
        <v>44925</v>
      </c>
      <c r="O31" s="272">
        <v>44652</v>
      </c>
      <c r="P31" s="273">
        <f t="shared" si="0"/>
        <v>0.17771084337349397</v>
      </c>
      <c r="Q31" s="273">
        <f t="shared" si="1"/>
        <v>0.17771084337349397</v>
      </c>
      <c r="R31" s="274">
        <v>1</v>
      </c>
      <c r="S31" s="275">
        <v>0.25</v>
      </c>
      <c r="T31" s="275">
        <v>0.5</v>
      </c>
      <c r="U31" s="275">
        <v>0.75</v>
      </c>
      <c r="V31" s="275">
        <v>1</v>
      </c>
      <c r="W31" s="275">
        <v>0.25</v>
      </c>
      <c r="X31" s="275" t="s">
        <v>156</v>
      </c>
      <c r="Y31" s="341" t="s">
        <v>157</v>
      </c>
      <c r="Z31" s="312">
        <v>0</v>
      </c>
      <c r="AA31" s="275">
        <v>0.5</v>
      </c>
      <c r="AB31" s="277" t="s">
        <v>2164</v>
      </c>
      <c r="AC31" s="277" t="s">
        <v>2165</v>
      </c>
      <c r="AD31" s="276"/>
      <c r="AE31" s="277"/>
      <c r="AF31" s="277"/>
      <c r="AG31" s="276"/>
      <c r="AH31" s="277"/>
      <c r="AI31" s="277"/>
      <c r="AJ31" s="278"/>
    </row>
    <row r="32" spans="1:37" ht="56.25" hidden="1" customHeight="1" outlineLevel="1" x14ac:dyDescent="0.2">
      <c r="A32" s="637"/>
      <c r="B32" s="581"/>
      <c r="C32" s="581"/>
      <c r="D32" s="630"/>
      <c r="E32" s="534"/>
      <c r="F32" s="534"/>
      <c r="G32" s="686"/>
      <c r="H32" s="261" t="s">
        <v>158</v>
      </c>
      <c r="I32" s="686"/>
      <c r="J32" s="251" t="s">
        <v>159</v>
      </c>
      <c r="K32" s="312">
        <v>41800000</v>
      </c>
      <c r="L32" s="312">
        <v>10000000</v>
      </c>
      <c r="M32" s="272">
        <v>44593</v>
      </c>
      <c r="N32" s="272">
        <v>44925</v>
      </c>
      <c r="O32" s="272">
        <v>44652</v>
      </c>
      <c r="P32" s="273">
        <f t="shared" si="0"/>
        <v>0.17771084337349397</v>
      </c>
      <c r="Q32" s="273">
        <f t="shared" si="1"/>
        <v>0.17771084337349397</v>
      </c>
      <c r="R32" s="274">
        <v>1</v>
      </c>
      <c r="S32" s="275">
        <v>0.25</v>
      </c>
      <c r="T32" s="275">
        <v>0.5</v>
      </c>
      <c r="U32" s="275">
        <v>0.75</v>
      </c>
      <c r="V32" s="275">
        <v>1</v>
      </c>
      <c r="W32" s="275">
        <v>0.05</v>
      </c>
      <c r="X32" s="275" t="s">
        <v>2167</v>
      </c>
      <c r="Y32" s="343" t="s">
        <v>160</v>
      </c>
      <c r="Z32" s="312">
        <v>20000000</v>
      </c>
      <c r="AA32" s="275">
        <v>0.3</v>
      </c>
      <c r="AB32" s="275" t="s">
        <v>2166</v>
      </c>
      <c r="AC32" s="277" t="s">
        <v>53</v>
      </c>
      <c r="AD32" s="276"/>
      <c r="AE32" s="277"/>
      <c r="AF32" s="277"/>
      <c r="AG32" s="276"/>
      <c r="AH32" s="277"/>
      <c r="AI32" s="277"/>
      <c r="AJ32" s="278"/>
    </row>
    <row r="33" spans="1:36" ht="79.5" hidden="1" customHeight="1" outlineLevel="1" x14ac:dyDescent="0.2">
      <c r="A33" s="637"/>
      <c r="B33" s="581"/>
      <c r="C33" s="581"/>
      <c r="D33" s="630"/>
      <c r="E33" s="534"/>
      <c r="F33" s="534"/>
      <c r="G33" s="686"/>
      <c r="H33" s="261" t="s">
        <v>161</v>
      </c>
      <c r="I33" s="686"/>
      <c r="J33" s="251" t="s">
        <v>162</v>
      </c>
      <c r="K33" s="251" t="s">
        <v>53</v>
      </c>
      <c r="L33" s="312">
        <v>0</v>
      </c>
      <c r="M33" s="272">
        <v>44593</v>
      </c>
      <c r="N33" s="272">
        <v>44925</v>
      </c>
      <c r="O33" s="272">
        <v>44652</v>
      </c>
      <c r="P33" s="273">
        <f t="shared" si="0"/>
        <v>0.17771084337349397</v>
      </c>
      <c r="Q33" s="273">
        <f t="shared" si="1"/>
        <v>0.17771084337349397</v>
      </c>
      <c r="R33" s="274">
        <v>1</v>
      </c>
      <c r="S33" s="275">
        <v>0.25</v>
      </c>
      <c r="T33" s="275">
        <v>0.5</v>
      </c>
      <c r="U33" s="275">
        <v>0.75</v>
      </c>
      <c r="V33" s="275">
        <v>1</v>
      </c>
      <c r="W33" s="275">
        <v>0.25</v>
      </c>
      <c r="X33" s="275" t="s">
        <v>163</v>
      </c>
      <c r="Y33" s="341" t="s">
        <v>164</v>
      </c>
      <c r="Z33" s="312">
        <v>0</v>
      </c>
      <c r="AA33" s="275">
        <v>0.5</v>
      </c>
      <c r="AB33" s="277" t="s">
        <v>2168</v>
      </c>
      <c r="AC33" s="473" t="s">
        <v>2169</v>
      </c>
      <c r="AD33" s="276"/>
      <c r="AE33" s="277"/>
      <c r="AF33" s="277"/>
      <c r="AG33" s="276"/>
      <c r="AH33" s="277"/>
      <c r="AI33" s="277"/>
      <c r="AJ33" s="278"/>
    </row>
    <row r="34" spans="1:36" ht="56.25" hidden="1" customHeight="1" outlineLevel="1" x14ac:dyDescent="0.2">
      <c r="A34" s="637"/>
      <c r="B34" s="581"/>
      <c r="C34" s="581"/>
      <c r="D34" s="630"/>
      <c r="E34" s="534"/>
      <c r="F34" s="533"/>
      <c r="G34" s="687"/>
      <c r="H34" s="261" t="s">
        <v>165</v>
      </c>
      <c r="I34" s="687"/>
      <c r="J34" s="251" t="s">
        <v>166</v>
      </c>
      <c r="K34" s="251" t="s">
        <v>53</v>
      </c>
      <c r="L34" s="312">
        <v>0</v>
      </c>
      <c r="M34" s="272">
        <v>44593</v>
      </c>
      <c r="N34" s="272">
        <v>44925</v>
      </c>
      <c r="O34" s="272">
        <v>44652</v>
      </c>
      <c r="P34" s="273">
        <f t="shared" si="0"/>
        <v>0.17771084337349397</v>
      </c>
      <c r="Q34" s="273">
        <f t="shared" si="1"/>
        <v>0.17771084337349397</v>
      </c>
      <c r="R34" s="274">
        <v>1</v>
      </c>
      <c r="S34" s="275">
        <v>0.25</v>
      </c>
      <c r="T34" s="275">
        <v>0.5</v>
      </c>
      <c r="U34" s="275">
        <v>0.75</v>
      </c>
      <c r="V34" s="275">
        <v>1</v>
      </c>
      <c r="W34" s="275">
        <v>0.25</v>
      </c>
      <c r="X34" s="275" t="s">
        <v>167</v>
      </c>
      <c r="Y34" s="368" t="s">
        <v>168</v>
      </c>
      <c r="Z34" s="312">
        <v>0</v>
      </c>
      <c r="AA34" s="275">
        <v>0.25</v>
      </c>
      <c r="AB34" s="277" t="s">
        <v>2170</v>
      </c>
      <c r="AC34" s="473" t="s">
        <v>2171</v>
      </c>
      <c r="AD34" s="276"/>
      <c r="AE34" s="277"/>
      <c r="AF34" s="277"/>
      <c r="AG34" s="276"/>
      <c r="AH34" s="277"/>
      <c r="AI34" s="277"/>
      <c r="AJ34" s="278"/>
    </row>
    <row r="35" spans="1:36" ht="131.25" hidden="1" customHeight="1" outlineLevel="1" x14ac:dyDescent="0.2">
      <c r="A35" s="637"/>
      <c r="B35" s="581"/>
      <c r="C35" s="581"/>
      <c r="D35" s="630"/>
      <c r="E35" s="534"/>
      <c r="F35" s="405" t="s">
        <v>169</v>
      </c>
      <c r="G35" s="239" t="s">
        <v>170</v>
      </c>
      <c r="H35" s="239" t="s">
        <v>171</v>
      </c>
      <c r="I35" s="239" t="s">
        <v>172</v>
      </c>
      <c r="J35" s="251" t="s">
        <v>173</v>
      </c>
      <c r="K35" s="251" t="s">
        <v>53</v>
      </c>
      <c r="L35" s="312">
        <v>0</v>
      </c>
      <c r="M35" s="272">
        <v>44593</v>
      </c>
      <c r="N35" s="272">
        <v>44925</v>
      </c>
      <c r="O35" s="272">
        <v>44652</v>
      </c>
      <c r="P35" s="273">
        <f t="shared" si="0"/>
        <v>0.17771084337349397</v>
      </c>
      <c r="Q35" s="273">
        <f t="shared" si="1"/>
        <v>0.17771084337349397</v>
      </c>
      <c r="R35" s="274">
        <v>0.15</v>
      </c>
      <c r="S35" s="275">
        <v>9.5000000000000001E-2</v>
      </c>
      <c r="T35" s="275">
        <v>0.11</v>
      </c>
      <c r="U35" s="275">
        <v>0.13</v>
      </c>
      <c r="V35" s="275">
        <v>0.15</v>
      </c>
      <c r="W35" s="275">
        <v>0.1</v>
      </c>
      <c r="X35" s="275" t="s">
        <v>174</v>
      </c>
      <c r="Y35" s="341" t="s">
        <v>175</v>
      </c>
      <c r="Z35" s="312">
        <v>0</v>
      </c>
      <c r="AA35" s="275">
        <v>0.1</v>
      </c>
      <c r="AB35" s="277" t="s">
        <v>2172</v>
      </c>
      <c r="AC35" s="277" t="s">
        <v>53</v>
      </c>
      <c r="AD35" s="276"/>
      <c r="AE35" s="277"/>
      <c r="AF35" s="277"/>
      <c r="AG35" s="276"/>
      <c r="AH35" s="277"/>
      <c r="AI35" s="277"/>
      <c r="AJ35" s="278"/>
    </row>
    <row r="36" spans="1:36" ht="75" hidden="1" customHeight="1" outlineLevel="1" x14ac:dyDescent="0.2">
      <c r="A36" s="637"/>
      <c r="B36" s="581"/>
      <c r="C36" s="581"/>
      <c r="D36" s="630"/>
      <c r="E36" s="534"/>
      <c r="F36" s="532" t="s">
        <v>176</v>
      </c>
      <c r="G36" s="239" t="s">
        <v>177</v>
      </c>
      <c r="H36" s="239" t="s">
        <v>178</v>
      </c>
      <c r="I36" s="700" t="s">
        <v>179</v>
      </c>
      <c r="J36" s="251" t="s">
        <v>180</v>
      </c>
      <c r="K36" s="312">
        <v>60000000</v>
      </c>
      <c r="L36" s="312">
        <v>0</v>
      </c>
      <c r="M36" s="272">
        <v>44593</v>
      </c>
      <c r="N36" s="272">
        <v>44925</v>
      </c>
      <c r="O36" s="272">
        <v>44652</v>
      </c>
      <c r="P36" s="273">
        <f t="shared" si="0"/>
        <v>0.17771084337349397</v>
      </c>
      <c r="Q36" s="273">
        <f t="shared" si="1"/>
        <v>0.17771084337349397</v>
      </c>
      <c r="R36" s="274">
        <v>0.5</v>
      </c>
      <c r="S36" s="275">
        <v>0.2</v>
      </c>
      <c r="T36" s="275">
        <v>0.3</v>
      </c>
      <c r="U36" s="275">
        <v>0.4</v>
      </c>
      <c r="V36" s="275">
        <v>0.5</v>
      </c>
      <c r="W36" s="275">
        <v>0</v>
      </c>
      <c r="X36" s="275" t="s">
        <v>181</v>
      </c>
      <c r="Y36" s="341" t="s">
        <v>53</v>
      </c>
      <c r="Z36" s="312">
        <v>0</v>
      </c>
      <c r="AA36" s="275">
        <v>0</v>
      </c>
      <c r="AB36" s="275" t="s">
        <v>181</v>
      </c>
      <c r="AC36" s="277" t="s">
        <v>53</v>
      </c>
      <c r="AD36" s="276"/>
      <c r="AE36" s="277"/>
      <c r="AF36" s="277"/>
      <c r="AG36" s="276"/>
      <c r="AH36" s="277"/>
      <c r="AI36" s="277"/>
      <c r="AJ36" s="278"/>
    </row>
    <row r="37" spans="1:36" ht="46.5" hidden="1" customHeight="1" outlineLevel="1" x14ac:dyDescent="0.2">
      <c r="A37" s="637"/>
      <c r="B37" s="581"/>
      <c r="C37" s="581"/>
      <c r="D37" s="630"/>
      <c r="E37" s="534"/>
      <c r="F37" s="533"/>
      <c r="G37" s="239" t="s">
        <v>182</v>
      </c>
      <c r="H37" s="239" t="s">
        <v>183</v>
      </c>
      <c r="I37" s="701"/>
      <c r="J37" s="251" t="s">
        <v>184</v>
      </c>
      <c r="K37" s="251" t="s">
        <v>53</v>
      </c>
      <c r="L37" s="312">
        <v>0</v>
      </c>
      <c r="M37" s="272">
        <v>44593</v>
      </c>
      <c r="N37" s="272">
        <v>44925</v>
      </c>
      <c r="O37" s="272">
        <v>44652</v>
      </c>
      <c r="P37" s="273">
        <f t="shared" si="0"/>
        <v>0.17771084337349397</v>
      </c>
      <c r="Q37" s="273">
        <f t="shared" si="1"/>
        <v>0.17771084337349397</v>
      </c>
      <c r="R37" s="274">
        <v>1</v>
      </c>
      <c r="S37" s="275">
        <v>0.25</v>
      </c>
      <c r="T37" s="275">
        <v>0.5</v>
      </c>
      <c r="U37" s="275">
        <v>0.75</v>
      </c>
      <c r="V37" s="275">
        <v>1</v>
      </c>
      <c r="W37" s="275">
        <v>0</v>
      </c>
      <c r="X37" s="275" t="s">
        <v>181</v>
      </c>
      <c r="Y37" s="341" t="s">
        <v>53</v>
      </c>
      <c r="Z37" s="312">
        <v>0</v>
      </c>
      <c r="AA37" s="275">
        <v>0</v>
      </c>
      <c r="AB37" s="275" t="s">
        <v>181</v>
      </c>
      <c r="AC37" s="277" t="s">
        <v>53</v>
      </c>
      <c r="AD37" s="276"/>
      <c r="AE37" s="277"/>
      <c r="AF37" s="277"/>
      <c r="AG37" s="276"/>
      <c r="AH37" s="277"/>
      <c r="AI37" s="277"/>
      <c r="AJ37" s="278"/>
    </row>
    <row r="38" spans="1:36" ht="112.5" hidden="1" customHeight="1" outlineLevel="1" x14ac:dyDescent="0.2">
      <c r="A38" s="637"/>
      <c r="B38" s="547"/>
      <c r="C38" s="547"/>
      <c r="D38" s="631"/>
      <c r="E38" s="533"/>
      <c r="F38" s="410" t="s">
        <v>44</v>
      </c>
      <c r="G38" s="248" t="s">
        <v>185</v>
      </c>
      <c r="H38" s="239" t="s">
        <v>186</v>
      </c>
      <c r="I38" s="248" t="s">
        <v>47</v>
      </c>
      <c r="J38" s="251" t="s">
        <v>187</v>
      </c>
      <c r="K38" s="251" t="s">
        <v>53</v>
      </c>
      <c r="L38" s="312">
        <v>0</v>
      </c>
      <c r="M38" s="272">
        <v>44593</v>
      </c>
      <c r="N38" s="272">
        <v>44925</v>
      </c>
      <c r="O38" s="272">
        <v>44652</v>
      </c>
      <c r="P38" s="273">
        <f t="shared" si="0"/>
        <v>0.17771084337349397</v>
      </c>
      <c r="Q38" s="273">
        <f t="shared" si="1"/>
        <v>0.17771084337349397</v>
      </c>
      <c r="R38" s="274">
        <v>0.87</v>
      </c>
      <c r="S38" s="275">
        <v>0.87</v>
      </c>
      <c r="T38" s="275">
        <v>0.87</v>
      </c>
      <c r="U38" s="275">
        <v>0.87</v>
      </c>
      <c r="V38" s="275">
        <v>0.87</v>
      </c>
      <c r="W38" s="275">
        <v>0.25</v>
      </c>
      <c r="X38" s="275" t="s">
        <v>2173</v>
      </c>
      <c r="Y38" s="341" t="s">
        <v>164</v>
      </c>
      <c r="Z38" s="312">
        <v>0</v>
      </c>
      <c r="AA38" s="275">
        <v>0.91</v>
      </c>
      <c r="AB38" s="277" t="s">
        <v>2291</v>
      </c>
      <c r="AC38" s="277" t="s">
        <v>2174</v>
      </c>
      <c r="AD38" s="276"/>
      <c r="AE38" s="277"/>
      <c r="AF38" s="277"/>
      <c r="AG38" s="276"/>
      <c r="AH38" s="277"/>
      <c r="AI38" s="277"/>
      <c r="AJ38" s="278"/>
    </row>
    <row r="39" spans="1:36" ht="90" hidden="1" customHeight="1" outlineLevel="1" x14ac:dyDescent="0.2">
      <c r="A39" s="637"/>
      <c r="B39" s="546" t="s">
        <v>40</v>
      </c>
      <c r="C39" s="546" t="s">
        <v>41</v>
      </c>
      <c r="D39" s="530" t="s">
        <v>189</v>
      </c>
      <c r="E39" s="577" t="s">
        <v>190</v>
      </c>
      <c r="F39" s="577" t="s">
        <v>191</v>
      </c>
      <c r="G39" s="597" t="s">
        <v>192</v>
      </c>
      <c r="H39" s="3" t="s">
        <v>193</v>
      </c>
      <c r="I39" s="697" t="s">
        <v>194</v>
      </c>
      <c r="J39" s="251" t="s">
        <v>195</v>
      </c>
      <c r="K39" s="312">
        <v>4600000</v>
      </c>
      <c r="L39" s="312">
        <v>0</v>
      </c>
      <c r="M39" s="272">
        <v>44593</v>
      </c>
      <c r="N39" s="272">
        <v>44925</v>
      </c>
      <c r="O39" s="272">
        <v>44652</v>
      </c>
      <c r="P39" s="273">
        <f t="shared" si="0"/>
        <v>0.17771084337349397</v>
      </c>
      <c r="Q39" s="273">
        <f t="shared" si="1"/>
        <v>0.17771084337349397</v>
      </c>
      <c r="R39" s="274">
        <v>1</v>
      </c>
      <c r="S39" s="275">
        <v>0.25</v>
      </c>
      <c r="T39" s="275">
        <v>0.5</v>
      </c>
      <c r="U39" s="275">
        <v>0.75</v>
      </c>
      <c r="V39" s="275">
        <v>1</v>
      </c>
      <c r="W39" s="275">
        <v>0</v>
      </c>
      <c r="X39" s="275" t="s">
        <v>196</v>
      </c>
      <c r="Y39" s="341" t="s">
        <v>53</v>
      </c>
      <c r="Z39" s="312">
        <v>0</v>
      </c>
      <c r="AA39" s="275">
        <v>0</v>
      </c>
      <c r="AB39" s="275" t="s">
        <v>196</v>
      </c>
      <c r="AC39" s="277" t="s">
        <v>197</v>
      </c>
      <c r="AD39" s="276"/>
      <c r="AE39" s="277"/>
      <c r="AF39" s="277"/>
      <c r="AG39" s="276"/>
      <c r="AH39" s="277"/>
      <c r="AI39" s="277"/>
      <c r="AJ39" s="278"/>
    </row>
    <row r="40" spans="1:36" ht="90" hidden="1" customHeight="1" outlineLevel="1" x14ac:dyDescent="0.2">
      <c r="A40" s="637"/>
      <c r="B40" s="581"/>
      <c r="C40" s="581"/>
      <c r="D40" s="531"/>
      <c r="E40" s="604"/>
      <c r="F40" s="604"/>
      <c r="G40" s="598"/>
      <c r="H40" s="3" t="s">
        <v>198</v>
      </c>
      <c r="I40" s="698"/>
      <c r="J40" s="251" t="s">
        <v>199</v>
      </c>
      <c r="K40" s="312">
        <v>5595000</v>
      </c>
      <c r="L40" s="312">
        <v>0</v>
      </c>
      <c r="M40" s="272"/>
      <c r="N40" s="272"/>
      <c r="O40" s="272"/>
      <c r="P40" s="273"/>
      <c r="Q40" s="273"/>
      <c r="R40" s="274"/>
      <c r="S40" s="275"/>
      <c r="T40" s="275"/>
      <c r="U40" s="275"/>
      <c r="V40" s="275"/>
      <c r="W40" s="275">
        <v>0.25</v>
      </c>
      <c r="X40" s="275" t="s">
        <v>200</v>
      </c>
      <c r="Y40" s="341" t="s">
        <v>201</v>
      </c>
      <c r="Z40" s="312">
        <v>5595000</v>
      </c>
      <c r="AA40" s="275">
        <v>1</v>
      </c>
      <c r="AB40" s="277" t="s">
        <v>202</v>
      </c>
      <c r="AC40" s="277" t="s">
        <v>203</v>
      </c>
      <c r="AD40" s="276"/>
      <c r="AE40" s="277"/>
      <c r="AF40" s="277"/>
      <c r="AG40" s="276"/>
      <c r="AH40" s="277"/>
      <c r="AI40" s="277"/>
      <c r="AJ40" s="278"/>
    </row>
    <row r="41" spans="1:36" ht="182.25" hidden="1" customHeight="1" outlineLevel="1" x14ac:dyDescent="0.2">
      <c r="A41" s="637"/>
      <c r="B41" s="581"/>
      <c r="C41" s="581"/>
      <c r="D41" s="531"/>
      <c r="E41" s="604"/>
      <c r="F41" s="604"/>
      <c r="G41" s="598"/>
      <c r="H41" s="3" t="s">
        <v>204</v>
      </c>
      <c r="I41" s="698"/>
      <c r="J41" s="251" t="s">
        <v>205</v>
      </c>
      <c r="K41" s="312">
        <v>3000000</v>
      </c>
      <c r="L41" s="312">
        <v>0</v>
      </c>
      <c r="M41" s="272">
        <v>44593</v>
      </c>
      <c r="N41" s="272">
        <v>44925</v>
      </c>
      <c r="O41" s="272">
        <v>44652</v>
      </c>
      <c r="P41" s="273">
        <f t="shared" si="0"/>
        <v>0.17771084337349397</v>
      </c>
      <c r="Q41" s="273">
        <f t="shared" si="1"/>
        <v>0.17771084337349397</v>
      </c>
      <c r="R41" s="274">
        <v>1</v>
      </c>
      <c r="S41" s="275">
        <v>0.25</v>
      </c>
      <c r="T41" s="275">
        <v>0.5</v>
      </c>
      <c r="U41" s="275">
        <v>0.75</v>
      </c>
      <c r="V41" s="275">
        <v>1</v>
      </c>
      <c r="W41" s="275">
        <v>0.25</v>
      </c>
      <c r="X41" s="275" t="s">
        <v>206</v>
      </c>
      <c r="Y41" s="341" t="s">
        <v>207</v>
      </c>
      <c r="Z41" s="316">
        <v>0</v>
      </c>
      <c r="AA41" s="275">
        <v>0.5</v>
      </c>
      <c r="AB41" s="277" t="s">
        <v>208</v>
      </c>
      <c r="AC41" s="473" t="s">
        <v>209</v>
      </c>
      <c r="AD41" s="276"/>
      <c r="AE41" s="277"/>
      <c r="AF41" s="277"/>
      <c r="AG41" s="276"/>
      <c r="AH41" s="277"/>
      <c r="AI41" s="277"/>
      <c r="AJ41" s="278"/>
    </row>
    <row r="42" spans="1:36" ht="94.5" hidden="1" customHeight="1" outlineLevel="1" x14ac:dyDescent="0.2">
      <c r="A42" s="637"/>
      <c r="B42" s="581"/>
      <c r="C42" s="581"/>
      <c r="D42" s="531"/>
      <c r="E42" s="604"/>
      <c r="F42" s="604"/>
      <c r="G42" s="598"/>
      <c r="H42" s="3" t="s">
        <v>210</v>
      </c>
      <c r="I42" s="698"/>
      <c r="J42" s="251" t="s">
        <v>211</v>
      </c>
      <c r="K42" s="312">
        <v>5265000</v>
      </c>
      <c r="L42" s="312">
        <v>0</v>
      </c>
      <c r="M42" s="272"/>
      <c r="N42" s="272"/>
      <c r="O42" s="272"/>
      <c r="P42" s="273"/>
      <c r="Q42" s="273"/>
      <c r="R42" s="274"/>
      <c r="S42" s="275"/>
      <c r="T42" s="275"/>
      <c r="U42" s="275"/>
      <c r="V42" s="275"/>
      <c r="W42" s="275">
        <v>0</v>
      </c>
      <c r="X42" s="275" t="s">
        <v>196</v>
      </c>
      <c r="Y42" s="341" t="s">
        <v>53</v>
      </c>
      <c r="Z42" s="316">
        <v>0</v>
      </c>
      <c r="AA42" s="275">
        <v>0</v>
      </c>
      <c r="AB42" s="275" t="s">
        <v>196</v>
      </c>
      <c r="AC42" s="277" t="s">
        <v>53</v>
      </c>
      <c r="AD42" s="276"/>
      <c r="AE42" s="277"/>
      <c r="AF42" s="277"/>
      <c r="AG42" s="276"/>
      <c r="AH42" s="277"/>
      <c r="AI42" s="277"/>
      <c r="AJ42" s="278"/>
    </row>
    <row r="43" spans="1:36" ht="112.5" hidden="1" customHeight="1" outlineLevel="1" x14ac:dyDescent="0.2">
      <c r="A43" s="637"/>
      <c r="B43" s="581"/>
      <c r="C43" s="581"/>
      <c r="D43" s="531"/>
      <c r="E43" s="604"/>
      <c r="F43" s="604"/>
      <c r="G43" s="598"/>
      <c r="H43" s="3" t="s">
        <v>212</v>
      </c>
      <c r="I43" s="698"/>
      <c r="J43" s="251" t="s">
        <v>213</v>
      </c>
      <c r="K43" s="251" t="s">
        <v>53</v>
      </c>
      <c r="L43" s="312">
        <v>0</v>
      </c>
      <c r="M43" s="272">
        <v>44593</v>
      </c>
      <c r="N43" s="272">
        <v>44925</v>
      </c>
      <c r="O43" s="272">
        <v>44652</v>
      </c>
      <c r="P43" s="273">
        <f t="shared" si="0"/>
        <v>0.17771084337349397</v>
      </c>
      <c r="Q43" s="273">
        <f t="shared" si="1"/>
        <v>0.17771084337349397</v>
      </c>
      <c r="R43" s="274">
        <v>1</v>
      </c>
      <c r="S43" s="275">
        <v>0.25</v>
      </c>
      <c r="T43" s="275">
        <v>0.5</v>
      </c>
      <c r="U43" s="275">
        <v>0.75</v>
      </c>
      <c r="V43" s="275">
        <v>1</v>
      </c>
      <c r="W43" s="275">
        <v>0.25</v>
      </c>
      <c r="X43" s="275" t="s">
        <v>214</v>
      </c>
      <c r="Y43" s="341" t="s">
        <v>215</v>
      </c>
      <c r="Z43" s="316">
        <v>0</v>
      </c>
      <c r="AA43" s="275">
        <v>0</v>
      </c>
      <c r="AB43" s="275" t="s">
        <v>196</v>
      </c>
      <c r="AC43" s="277" t="s">
        <v>53</v>
      </c>
      <c r="AD43" s="276"/>
      <c r="AE43" s="277"/>
      <c r="AF43" s="277"/>
      <c r="AG43" s="276"/>
      <c r="AH43" s="277"/>
      <c r="AI43" s="277"/>
      <c r="AJ43" s="278"/>
    </row>
    <row r="44" spans="1:36" ht="89.25" hidden="1" customHeight="1" outlineLevel="1" x14ac:dyDescent="0.2">
      <c r="A44" s="637"/>
      <c r="B44" s="581"/>
      <c r="C44" s="581"/>
      <c r="D44" s="531"/>
      <c r="E44" s="604"/>
      <c r="F44" s="604"/>
      <c r="G44" s="598"/>
      <c r="H44" s="3" t="s">
        <v>216</v>
      </c>
      <c r="I44" s="698"/>
      <c r="J44" s="251" t="s">
        <v>217</v>
      </c>
      <c r="K44" s="251" t="s">
        <v>53</v>
      </c>
      <c r="L44" s="312">
        <v>0</v>
      </c>
      <c r="M44" s="272">
        <v>44593</v>
      </c>
      <c r="N44" s="272">
        <v>44925</v>
      </c>
      <c r="O44" s="272">
        <v>44652</v>
      </c>
      <c r="P44" s="273">
        <f t="shared" si="0"/>
        <v>0.17771084337349397</v>
      </c>
      <c r="Q44" s="273">
        <f t="shared" si="1"/>
        <v>0.17771084337349397</v>
      </c>
      <c r="R44" s="274">
        <v>1</v>
      </c>
      <c r="S44" s="275">
        <v>0.25</v>
      </c>
      <c r="T44" s="275">
        <v>0.5</v>
      </c>
      <c r="U44" s="275">
        <v>0.75</v>
      </c>
      <c r="V44" s="275">
        <v>1</v>
      </c>
      <c r="W44" s="275">
        <v>0.25</v>
      </c>
      <c r="X44" s="275" t="s">
        <v>218</v>
      </c>
      <c r="Y44" s="341" t="s">
        <v>219</v>
      </c>
      <c r="Z44" s="316">
        <v>0</v>
      </c>
      <c r="AA44" s="275">
        <v>0.7</v>
      </c>
      <c r="AB44" s="277" t="s">
        <v>220</v>
      </c>
      <c r="AC44" s="277" t="s">
        <v>221</v>
      </c>
      <c r="AD44" s="276"/>
      <c r="AE44" s="277"/>
      <c r="AF44" s="277"/>
      <c r="AG44" s="276"/>
      <c r="AH44" s="277"/>
      <c r="AI44" s="277"/>
      <c r="AJ44" s="278"/>
    </row>
    <row r="45" spans="1:36" ht="56.25" hidden="1" customHeight="1" outlineLevel="1" x14ac:dyDescent="0.2">
      <c r="A45" s="637"/>
      <c r="B45" s="547"/>
      <c r="C45" s="547"/>
      <c r="D45" s="684"/>
      <c r="E45" s="578"/>
      <c r="F45" s="578"/>
      <c r="G45" s="599"/>
      <c r="H45" s="3" t="s">
        <v>222</v>
      </c>
      <c r="I45" s="699"/>
      <c r="J45" s="251" t="s">
        <v>223</v>
      </c>
      <c r="K45" s="251" t="s">
        <v>53</v>
      </c>
      <c r="L45" s="312">
        <v>0</v>
      </c>
      <c r="M45" s="272">
        <v>44593</v>
      </c>
      <c r="N45" s="272">
        <v>44925</v>
      </c>
      <c r="O45" s="272">
        <v>44652</v>
      </c>
      <c r="P45" s="273">
        <f t="shared" si="0"/>
        <v>0.17771084337349397</v>
      </c>
      <c r="Q45" s="273">
        <f t="shared" si="1"/>
        <v>0.17771084337349397</v>
      </c>
      <c r="R45" s="274">
        <v>1</v>
      </c>
      <c r="S45" s="275">
        <v>0.25</v>
      </c>
      <c r="T45" s="275">
        <v>0.5</v>
      </c>
      <c r="U45" s="275">
        <v>0.75</v>
      </c>
      <c r="V45" s="275">
        <v>1</v>
      </c>
      <c r="W45" s="275">
        <v>0.25</v>
      </c>
      <c r="X45" s="275" t="s">
        <v>224</v>
      </c>
      <c r="Y45" s="343" t="s">
        <v>225</v>
      </c>
      <c r="Z45" s="316">
        <v>0</v>
      </c>
      <c r="AA45" s="275">
        <v>0.5</v>
      </c>
      <c r="AB45" s="277" t="s">
        <v>226</v>
      </c>
      <c r="AC45" s="473" t="s">
        <v>227</v>
      </c>
      <c r="AD45" s="276"/>
      <c r="AE45" s="277"/>
      <c r="AF45" s="277"/>
      <c r="AG45" s="276"/>
      <c r="AH45" s="277"/>
      <c r="AI45" s="277"/>
      <c r="AJ45" s="278"/>
    </row>
    <row r="46" spans="1:36" ht="90" hidden="1" customHeight="1" outlineLevel="1" x14ac:dyDescent="0.2">
      <c r="A46" s="637"/>
      <c r="B46" s="546" t="s">
        <v>40</v>
      </c>
      <c r="C46" s="546" t="s">
        <v>41</v>
      </c>
      <c r="D46" s="628" t="s">
        <v>228</v>
      </c>
      <c r="E46" s="628" t="s">
        <v>190</v>
      </c>
      <c r="F46" s="628" t="s">
        <v>191</v>
      </c>
      <c r="G46" s="779" t="s">
        <v>229</v>
      </c>
      <c r="H46" s="240" t="s">
        <v>230</v>
      </c>
      <c r="I46" s="711" t="s">
        <v>194</v>
      </c>
      <c r="J46" s="251" t="s">
        <v>231</v>
      </c>
      <c r="K46" s="313">
        <v>47000000</v>
      </c>
      <c r="L46" s="316">
        <v>0</v>
      </c>
      <c r="M46" s="272">
        <v>44593</v>
      </c>
      <c r="N46" s="272">
        <v>44925</v>
      </c>
      <c r="O46" s="272">
        <v>44652</v>
      </c>
      <c r="P46" s="273">
        <f t="shared" si="0"/>
        <v>0.17771084337349397</v>
      </c>
      <c r="Q46" s="273">
        <f t="shared" si="1"/>
        <v>0.17771084337349397</v>
      </c>
      <c r="R46" s="274">
        <v>1</v>
      </c>
      <c r="S46" s="275">
        <v>0.25</v>
      </c>
      <c r="T46" s="275">
        <v>0.5</v>
      </c>
      <c r="U46" s="275">
        <v>0.75</v>
      </c>
      <c r="V46" s="275">
        <v>1</v>
      </c>
      <c r="W46" s="275">
        <v>0.5</v>
      </c>
      <c r="X46" s="275" t="s">
        <v>232</v>
      </c>
      <c r="Y46" s="341" t="s">
        <v>233</v>
      </c>
      <c r="Z46" s="316">
        <v>0</v>
      </c>
      <c r="AA46" s="487">
        <v>0.8</v>
      </c>
      <c r="AB46" s="277" t="s">
        <v>2175</v>
      </c>
      <c r="AC46" s="277" t="s">
        <v>2183</v>
      </c>
      <c r="AD46" s="276"/>
      <c r="AE46" s="277"/>
      <c r="AF46" s="277"/>
      <c r="AG46" s="276"/>
      <c r="AH46" s="277"/>
      <c r="AI46" s="277"/>
      <c r="AJ46" s="278"/>
    </row>
    <row r="47" spans="1:36" ht="56.25" hidden="1" customHeight="1" outlineLevel="1" x14ac:dyDescent="0.2">
      <c r="A47" s="637"/>
      <c r="B47" s="581"/>
      <c r="C47" s="581"/>
      <c r="D47" s="629"/>
      <c r="E47" s="629"/>
      <c r="F47" s="629"/>
      <c r="G47" s="780"/>
      <c r="H47" s="240" t="s">
        <v>234</v>
      </c>
      <c r="I47" s="712"/>
      <c r="J47" s="251" t="s">
        <v>231</v>
      </c>
      <c r="K47" s="262" t="s">
        <v>53</v>
      </c>
      <c r="L47" s="316">
        <v>0</v>
      </c>
      <c r="M47" s="272">
        <v>44593</v>
      </c>
      <c r="N47" s="272">
        <v>44925</v>
      </c>
      <c r="O47" s="272">
        <v>44652</v>
      </c>
      <c r="P47" s="273">
        <f t="shared" si="0"/>
        <v>0.17771084337349397</v>
      </c>
      <c r="Q47" s="273">
        <f t="shared" si="1"/>
        <v>0.17771084337349397</v>
      </c>
      <c r="R47" s="274">
        <v>1</v>
      </c>
      <c r="S47" s="275">
        <v>0.25</v>
      </c>
      <c r="T47" s="275">
        <v>0.5</v>
      </c>
      <c r="U47" s="275">
        <v>0.75</v>
      </c>
      <c r="V47" s="275">
        <v>1</v>
      </c>
      <c r="W47" s="275">
        <v>0</v>
      </c>
      <c r="X47" s="275" t="s">
        <v>235</v>
      </c>
      <c r="Y47" s="341" t="s">
        <v>53</v>
      </c>
      <c r="Z47" s="316">
        <v>0</v>
      </c>
      <c r="AA47" s="487">
        <v>0</v>
      </c>
      <c r="AB47" s="275" t="s">
        <v>2176</v>
      </c>
      <c r="AC47" s="341" t="s">
        <v>53</v>
      </c>
      <c r="AD47" s="276"/>
      <c r="AE47" s="277"/>
      <c r="AF47" s="277"/>
      <c r="AG47" s="276"/>
      <c r="AH47" s="277"/>
      <c r="AI47" s="277"/>
      <c r="AJ47" s="278"/>
    </row>
    <row r="48" spans="1:36" ht="56.25" hidden="1" customHeight="1" outlineLevel="1" x14ac:dyDescent="0.2">
      <c r="A48" s="637"/>
      <c r="B48" s="581"/>
      <c r="C48" s="581"/>
      <c r="D48" s="629"/>
      <c r="E48" s="629"/>
      <c r="F48" s="629"/>
      <c r="G48" s="780"/>
      <c r="H48" s="240" t="s">
        <v>236</v>
      </c>
      <c r="I48" s="712"/>
      <c r="J48" s="251" t="s">
        <v>237</v>
      </c>
      <c r="K48" s="262" t="s">
        <v>53</v>
      </c>
      <c r="L48" s="316">
        <v>0</v>
      </c>
      <c r="M48" s="272">
        <v>44593</v>
      </c>
      <c r="N48" s="272">
        <v>44925</v>
      </c>
      <c r="O48" s="272">
        <v>44652</v>
      </c>
      <c r="P48" s="273">
        <f t="shared" si="0"/>
        <v>0.17771084337349397</v>
      </c>
      <c r="Q48" s="273">
        <f t="shared" si="1"/>
        <v>0.17771084337349397</v>
      </c>
      <c r="R48" s="274">
        <v>1</v>
      </c>
      <c r="S48" s="275">
        <v>0.25</v>
      </c>
      <c r="T48" s="275">
        <v>0.5</v>
      </c>
      <c r="U48" s="275">
        <v>0.75</v>
      </c>
      <c r="V48" s="275">
        <v>1</v>
      </c>
      <c r="W48" s="275">
        <v>0</v>
      </c>
      <c r="X48" s="275" t="s">
        <v>235</v>
      </c>
      <c r="Y48" s="341" t="s">
        <v>53</v>
      </c>
      <c r="Z48" s="316">
        <v>0</v>
      </c>
      <c r="AA48" s="487">
        <v>0</v>
      </c>
      <c r="AB48" s="275" t="s">
        <v>2176</v>
      </c>
      <c r="AC48" s="341" t="s">
        <v>53</v>
      </c>
      <c r="AD48" s="276"/>
      <c r="AE48" s="277"/>
      <c r="AF48" s="277"/>
      <c r="AG48" s="276"/>
      <c r="AH48" s="277"/>
      <c r="AI48" s="277"/>
      <c r="AJ48" s="278"/>
    </row>
    <row r="49" spans="1:36" ht="80.25" hidden="1" customHeight="1" outlineLevel="1" x14ac:dyDescent="0.2">
      <c r="A49" s="637"/>
      <c r="B49" s="581"/>
      <c r="C49" s="581"/>
      <c r="D49" s="629"/>
      <c r="E49" s="629"/>
      <c r="F49" s="629"/>
      <c r="G49" s="780"/>
      <c r="H49" s="240" t="s">
        <v>238</v>
      </c>
      <c r="I49" s="712"/>
      <c r="J49" s="251" t="s">
        <v>239</v>
      </c>
      <c r="K49" s="262" t="s">
        <v>53</v>
      </c>
      <c r="L49" s="316">
        <v>0</v>
      </c>
      <c r="M49" s="272">
        <v>44593</v>
      </c>
      <c r="N49" s="272">
        <v>44925</v>
      </c>
      <c r="O49" s="272">
        <v>44652</v>
      </c>
      <c r="P49" s="273">
        <f t="shared" si="0"/>
        <v>0.17771084337349397</v>
      </c>
      <c r="Q49" s="273">
        <f t="shared" si="1"/>
        <v>0.17771084337349397</v>
      </c>
      <c r="R49" s="274">
        <v>1</v>
      </c>
      <c r="S49" s="275">
        <v>0.25</v>
      </c>
      <c r="T49" s="275">
        <v>0.5</v>
      </c>
      <c r="U49" s="275">
        <v>0.75</v>
      </c>
      <c r="V49" s="275">
        <v>1</v>
      </c>
      <c r="W49" s="275">
        <v>0.15</v>
      </c>
      <c r="X49" s="275" t="s">
        <v>240</v>
      </c>
      <c r="Y49" s="341" t="s">
        <v>241</v>
      </c>
      <c r="Z49" s="316">
        <v>0</v>
      </c>
      <c r="AA49" s="487">
        <v>0.4</v>
      </c>
      <c r="AB49" s="277" t="s">
        <v>2177</v>
      </c>
      <c r="AC49" s="473" t="s">
        <v>2178</v>
      </c>
      <c r="AD49" s="276"/>
      <c r="AE49" s="277"/>
      <c r="AF49" s="277"/>
      <c r="AG49" s="276"/>
      <c r="AH49" s="277"/>
      <c r="AI49" s="277"/>
      <c r="AJ49" s="278"/>
    </row>
    <row r="50" spans="1:36" ht="115.5" hidden="1" customHeight="1" outlineLevel="1" x14ac:dyDescent="0.2">
      <c r="A50" s="637"/>
      <c r="B50" s="581"/>
      <c r="C50" s="581"/>
      <c r="D50" s="629"/>
      <c r="E50" s="629"/>
      <c r="F50" s="629"/>
      <c r="G50" s="780"/>
      <c r="H50" s="240" t="s">
        <v>242</v>
      </c>
      <c r="I50" s="712"/>
      <c r="J50" s="251" t="s">
        <v>243</v>
      </c>
      <c r="K50" s="262" t="s">
        <v>53</v>
      </c>
      <c r="L50" s="316">
        <v>0</v>
      </c>
      <c r="M50" s="272">
        <v>44593</v>
      </c>
      <c r="N50" s="272">
        <v>44925</v>
      </c>
      <c r="O50" s="272">
        <v>44652</v>
      </c>
      <c r="P50" s="273">
        <f t="shared" si="0"/>
        <v>0.17771084337349397</v>
      </c>
      <c r="Q50" s="273">
        <f t="shared" si="1"/>
        <v>0.17771084337349397</v>
      </c>
      <c r="R50" s="274">
        <v>1</v>
      </c>
      <c r="S50" s="275">
        <v>0.25</v>
      </c>
      <c r="T50" s="275">
        <v>0.5</v>
      </c>
      <c r="U50" s="275">
        <v>0.75</v>
      </c>
      <c r="V50" s="275">
        <v>1</v>
      </c>
      <c r="W50" s="275">
        <v>0.25</v>
      </c>
      <c r="X50" s="275" t="s">
        <v>244</v>
      </c>
      <c r="Y50" s="341" t="s">
        <v>53</v>
      </c>
      <c r="Z50" s="316">
        <v>0</v>
      </c>
      <c r="AA50" s="487">
        <v>0.85</v>
      </c>
      <c r="AB50" s="277" t="s">
        <v>2179</v>
      </c>
      <c r="AC50" s="277" t="s">
        <v>2184</v>
      </c>
      <c r="AD50" s="276"/>
      <c r="AE50" s="277"/>
      <c r="AF50" s="277"/>
      <c r="AG50" s="276"/>
      <c r="AH50" s="277"/>
      <c r="AI50" s="277"/>
      <c r="AJ50" s="278"/>
    </row>
    <row r="51" spans="1:36" ht="151.5" hidden="1" customHeight="1" outlineLevel="1" x14ac:dyDescent="0.2">
      <c r="A51" s="637"/>
      <c r="B51" s="581"/>
      <c r="C51" s="581"/>
      <c r="D51" s="629"/>
      <c r="E51" s="629"/>
      <c r="F51" s="629"/>
      <c r="G51" s="780"/>
      <c r="H51" s="240" t="s">
        <v>245</v>
      </c>
      <c r="I51" s="712"/>
      <c r="J51" s="272" t="s">
        <v>246</v>
      </c>
      <c r="K51" s="262" t="s">
        <v>53</v>
      </c>
      <c r="L51" s="316">
        <v>0</v>
      </c>
      <c r="M51" s="272">
        <v>44593</v>
      </c>
      <c r="N51" s="272">
        <v>44925</v>
      </c>
      <c r="O51" s="272">
        <v>44652</v>
      </c>
      <c r="P51" s="273">
        <f t="shared" si="0"/>
        <v>0.17771084337349397</v>
      </c>
      <c r="Q51" s="273">
        <f t="shared" si="1"/>
        <v>0.17771084337349397</v>
      </c>
      <c r="R51" s="274">
        <v>1</v>
      </c>
      <c r="S51" s="275">
        <v>0.25</v>
      </c>
      <c r="T51" s="275">
        <v>0.5</v>
      </c>
      <c r="U51" s="275">
        <v>0.75</v>
      </c>
      <c r="V51" s="275">
        <v>1</v>
      </c>
      <c r="W51" s="275">
        <v>0.5</v>
      </c>
      <c r="X51" s="275" t="s">
        <v>247</v>
      </c>
      <c r="Y51" s="341" t="s">
        <v>53</v>
      </c>
      <c r="Z51" s="316">
        <v>0</v>
      </c>
      <c r="AA51" s="487">
        <v>0.75</v>
      </c>
      <c r="AB51" s="488" t="s">
        <v>2180</v>
      </c>
      <c r="AC51" s="488" t="s">
        <v>2185</v>
      </c>
      <c r="AD51" s="276"/>
      <c r="AE51" s="277"/>
      <c r="AF51" s="277"/>
      <c r="AG51" s="276"/>
      <c r="AH51" s="277"/>
      <c r="AI51" s="277"/>
      <c r="AJ51" s="278"/>
    </row>
    <row r="52" spans="1:36" ht="75" hidden="1" customHeight="1" outlineLevel="1" x14ac:dyDescent="0.2">
      <c r="A52" s="637"/>
      <c r="B52" s="581"/>
      <c r="C52" s="581"/>
      <c r="D52" s="629"/>
      <c r="E52" s="629"/>
      <c r="F52" s="629"/>
      <c r="G52" s="781"/>
      <c r="H52" s="240" t="s">
        <v>248</v>
      </c>
      <c r="I52" s="713"/>
      <c r="J52" s="272" t="s">
        <v>249</v>
      </c>
      <c r="K52" s="262" t="s">
        <v>53</v>
      </c>
      <c r="L52" s="316">
        <v>0</v>
      </c>
      <c r="M52" s="272">
        <v>44593</v>
      </c>
      <c r="N52" s="272">
        <v>44925</v>
      </c>
      <c r="O52" s="272">
        <v>44652</v>
      </c>
      <c r="P52" s="273">
        <f t="shared" si="0"/>
        <v>0.17771084337349397</v>
      </c>
      <c r="Q52" s="273">
        <f t="shared" si="1"/>
        <v>0.17771084337349397</v>
      </c>
      <c r="R52" s="274">
        <v>1</v>
      </c>
      <c r="S52" s="275">
        <v>0.25</v>
      </c>
      <c r="T52" s="275">
        <v>0.5</v>
      </c>
      <c r="U52" s="275">
        <v>0.75</v>
      </c>
      <c r="V52" s="275">
        <v>1</v>
      </c>
      <c r="W52" s="275">
        <v>0.5</v>
      </c>
      <c r="X52" s="275" t="s">
        <v>250</v>
      </c>
      <c r="Y52" s="341" t="s">
        <v>53</v>
      </c>
      <c r="Z52" s="316">
        <v>0</v>
      </c>
      <c r="AA52" s="487">
        <v>0.9</v>
      </c>
      <c r="AB52" s="277" t="s">
        <v>2181</v>
      </c>
      <c r="AC52" s="277" t="s">
        <v>2186</v>
      </c>
      <c r="AD52" s="276"/>
      <c r="AE52" s="277"/>
      <c r="AF52" s="277"/>
      <c r="AG52" s="276"/>
      <c r="AH52" s="277"/>
      <c r="AI52" s="277"/>
      <c r="AJ52" s="278"/>
    </row>
    <row r="53" spans="1:36" ht="123.75" hidden="1" customHeight="1" outlineLevel="1" x14ac:dyDescent="0.2">
      <c r="A53" s="637"/>
      <c r="B53" s="547"/>
      <c r="C53" s="547"/>
      <c r="D53" s="629"/>
      <c r="E53" s="690"/>
      <c r="F53" s="690"/>
      <c r="G53" s="5" t="s">
        <v>251</v>
      </c>
      <c r="H53" s="241" t="s">
        <v>252</v>
      </c>
      <c r="I53" s="241" t="s">
        <v>194</v>
      </c>
      <c r="J53" s="251" t="s">
        <v>253</v>
      </c>
      <c r="K53" s="262" t="s">
        <v>53</v>
      </c>
      <c r="L53" s="316">
        <v>0</v>
      </c>
      <c r="M53" s="272">
        <v>44593</v>
      </c>
      <c r="N53" s="272">
        <v>44925</v>
      </c>
      <c r="O53" s="272">
        <v>44652</v>
      </c>
      <c r="P53" s="273">
        <f t="shared" si="0"/>
        <v>0.17771084337349397</v>
      </c>
      <c r="Q53" s="273">
        <f t="shared" si="1"/>
        <v>0.17771084337349397</v>
      </c>
      <c r="R53" s="274">
        <v>0.7</v>
      </c>
      <c r="S53" s="275">
        <v>0.55000000000000004</v>
      </c>
      <c r="T53" s="275">
        <v>0.6</v>
      </c>
      <c r="U53" s="275">
        <v>0.65</v>
      </c>
      <c r="V53" s="275">
        <v>0.7</v>
      </c>
      <c r="W53" s="275">
        <v>0.25</v>
      </c>
      <c r="X53" s="345" t="s">
        <v>254</v>
      </c>
      <c r="Y53" s="341" t="s">
        <v>255</v>
      </c>
      <c r="Z53" s="316">
        <v>0</v>
      </c>
      <c r="AA53" s="487">
        <v>0.4</v>
      </c>
      <c r="AB53" s="488" t="s">
        <v>2182</v>
      </c>
      <c r="AC53" s="277" t="s">
        <v>2187</v>
      </c>
      <c r="AD53" s="276"/>
      <c r="AE53" s="277"/>
      <c r="AF53" s="277"/>
      <c r="AG53" s="276"/>
      <c r="AH53" s="277"/>
      <c r="AI53" s="277"/>
      <c r="AJ53" s="278"/>
    </row>
    <row r="54" spans="1:36" ht="163.5" hidden="1" customHeight="1" outlineLevel="1" x14ac:dyDescent="0.2">
      <c r="A54" s="637"/>
      <c r="B54" s="791" t="s">
        <v>40</v>
      </c>
      <c r="C54" s="791" t="s">
        <v>256</v>
      </c>
      <c r="D54" s="794" t="s">
        <v>257</v>
      </c>
      <c r="E54" s="782" t="s">
        <v>258</v>
      </c>
      <c r="F54" s="782" t="s">
        <v>259</v>
      </c>
      <c r="G54" s="702"/>
      <c r="H54" s="261" t="s">
        <v>260</v>
      </c>
      <c r="I54" s="654" t="s">
        <v>194</v>
      </c>
      <c r="J54" s="251" t="s">
        <v>261</v>
      </c>
      <c r="K54" s="262" t="s">
        <v>53</v>
      </c>
      <c r="L54" s="316">
        <v>0</v>
      </c>
      <c r="M54" s="272">
        <v>44593</v>
      </c>
      <c r="N54" s="272">
        <v>44925</v>
      </c>
      <c r="O54" s="272">
        <v>44652</v>
      </c>
      <c r="P54" s="273">
        <f t="shared" si="0"/>
        <v>0.17771084337349397</v>
      </c>
      <c r="Q54" s="273">
        <f t="shared" si="1"/>
        <v>0.17771084337349397</v>
      </c>
      <c r="R54" s="274">
        <v>1</v>
      </c>
      <c r="S54" s="275">
        <v>0.25</v>
      </c>
      <c r="T54" s="275">
        <v>0.5</v>
      </c>
      <c r="U54" s="275">
        <v>0.75</v>
      </c>
      <c r="V54" s="275">
        <v>1</v>
      </c>
      <c r="W54" s="275">
        <v>0.8</v>
      </c>
      <c r="X54" s="275" t="s">
        <v>262</v>
      </c>
      <c r="Y54" s="341" t="s">
        <v>263</v>
      </c>
      <c r="Z54" s="316">
        <v>0</v>
      </c>
      <c r="AA54" s="275">
        <v>0.85</v>
      </c>
      <c r="AB54" s="277" t="s">
        <v>2188</v>
      </c>
      <c r="AC54" s="277" t="s">
        <v>263</v>
      </c>
      <c r="AD54" s="276"/>
      <c r="AE54" s="277"/>
      <c r="AF54" s="277"/>
      <c r="AG54" s="276"/>
      <c r="AH54" s="277"/>
      <c r="AI54" s="277"/>
      <c r="AJ54" s="278"/>
    </row>
    <row r="55" spans="1:36" ht="126" hidden="1" customHeight="1" outlineLevel="1" x14ac:dyDescent="0.2">
      <c r="A55" s="637"/>
      <c r="B55" s="792"/>
      <c r="C55" s="792"/>
      <c r="D55" s="795"/>
      <c r="E55" s="783"/>
      <c r="F55" s="783"/>
      <c r="G55" s="703"/>
      <c r="H55" s="261" t="s">
        <v>264</v>
      </c>
      <c r="I55" s="655"/>
      <c r="J55" s="489" t="s">
        <v>265</v>
      </c>
      <c r="K55" s="262" t="s">
        <v>53</v>
      </c>
      <c r="L55" s="316">
        <v>0</v>
      </c>
      <c r="M55" s="272">
        <v>44593</v>
      </c>
      <c r="N55" s="272">
        <v>44925</v>
      </c>
      <c r="O55" s="272">
        <v>44652</v>
      </c>
      <c r="P55" s="273">
        <f t="shared" si="0"/>
        <v>0.17771084337349397</v>
      </c>
      <c r="Q55" s="273">
        <f t="shared" si="1"/>
        <v>0.17771084337349397</v>
      </c>
      <c r="R55" s="274">
        <v>1</v>
      </c>
      <c r="S55" s="275">
        <v>0.25</v>
      </c>
      <c r="T55" s="275">
        <v>0.5</v>
      </c>
      <c r="U55" s="275">
        <v>0.75</v>
      </c>
      <c r="V55" s="275">
        <v>1</v>
      </c>
      <c r="W55" s="275">
        <v>0.13</v>
      </c>
      <c r="X55" s="275" t="s">
        <v>266</v>
      </c>
      <c r="Y55" s="341" t="s">
        <v>267</v>
      </c>
      <c r="Z55" s="316">
        <v>0</v>
      </c>
      <c r="AA55" s="275">
        <v>0.4</v>
      </c>
      <c r="AB55" s="277" t="s">
        <v>2189</v>
      </c>
      <c r="AC55" s="277" t="s">
        <v>53</v>
      </c>
      <c r="AD55" s="276"/>
      <c r="AE55" s="277"/>
      <c r="AF55" s="277"/>
      <c r="AG55" s="276"/>
      <c r="AH55" s="277"/>
      <c r="AI55" s="277"/>
      <c r="AJ55" s="278"/>
    </row>
    <row r="56" spans="1:36" ht="56.25" hidden="1" customHeight="1" outlineLevel="1" x14ac:dyDescent="0.2">
      <c r="A56" s="637"/>
      <c r="B56" s="792"/>
      <c r="C56" s="792"/>
      <c r="D56" s="795"/>
      <c r="E56" s="783"/>
      <c r="F56" s="783"/>
      <c r="G56" s="703"/>
      <c r="H56" s="261" t="s">
        <v>268</v>
      </c>
      <c r="I56" s="655"/>
      <c r="J56" s="251" t="s">
        <v>261</v>
      </c>
      <c r="K56" s="262" t="s">
        <v>53</v>
      </c>
      <c r="L56" s="316">
        <v>0</v>
      </c>
      <c r="M56" s="272">
        <v>44593</v>
      </c>
      <c r="N56" s="272">
        <v>44925</v>
      </c>
      <c r="O56" s="272">
        <v>44652</v>
      </c>
      <c r="P56" s="273">
        <f t="shared" si="0"/>
        <v>0.17771084337349397</v>
      </c>
      <c r="Q56" s="273">
        <f t="shared" si="1"/>
        <v>0.17771084337349397</v>
      </c>
      <c r="R56" s="274">
        <v>1</v>
      </c>
      <c r="S56" s="275">
        <v>0.25</v>
      </c>
      <c r="T56" s="275">
        <v>0.5</v>
      </c>
      <c r="U56" s="275">
        <v>0.75</v>
      </c>
      <c r="V56" s="275">
        <v>1</v>
      </c>
      <c r="W56" s="275">
        <v>0</v>
      </c>
      <c r="X56" s="275" t="s">
        <v>269</v>
      </c>
      <c r="Y56" s="341" t="s">
        <v>53</v>
      </c>
      <c r="Z56" s="316">
        <v>0</v>
      </c>
      <c r="AA56" s="487">
        <v>0</v>
      </c>
      <c r="AB56" s="277" t="s">
        <v>2190</v>
      </c>
      <c r="AC56" s="277" t="s">
        <v>53</v>
      </c>
      <c r="AD56" s="276"/>
      <c r="AE56" s="277"/>
      <c r="AF56" s="277"/>
      <c r="AG56" s="276"/>
      <c r="AH56" s="277"/>
      <c r="AI56" s="277"/>
      <c r="AJ56" s="278"/>
    </row>
    <row r="57" spans="1:36" ht="112.5" hidden="1" customHeight="1" outlineLevel="1" x14ac:dyDescent="0.2">
      <c r="A57" s="637"/>
      <c r="B57" s="792"/>
      <c r="C57" s="792"/>
      <c r="D57" s="795"/>
      <c r="E57" s="783"/>
      <c r="F57" s="783"/>
      <c r="G57" s="703"/>
      <c r="H57" s="261" t="s">
        <v>270</v>
      </c>
      <c r="I57" s="655"/>
      <c r="J57" s="251" t="s">
        <v>261</v>
      </c>
      <c r="K57" s="262" t="s">
        <v>53</v>
      </c>
      <c r="L57" s="316">
        <v>0</v>
      </c>
      <c r="M57" s="272">
        <v>44593</v>
      </c>
      <c r="N57" s="272">
        <v>44925</v>
      </c>
      <c r="O57" s="272">
        <v>44652</v>
      </c>
      <c r="P57" s="273">
        <f t="shared" si="0"/>
        <v>0.17771084337349397</v>
      </c>
      <c r="Q57" s="273">
        <f t="shared" si="1"/>
        <v>0.17771084337349397</v>
      </c>
      <c r="R57" s="274">
        <v>1</v>
      </c>
      <c r="S57" s="275">
        <v>0.25</v>
      </c>
      <c r="T57" s="275">
        <v>0.5</v>
      </c>
      <c r="U57" s="275">
        <v>0.75</v>
      </c>
      <c r="V57" s="275">
        <v>1</v>
      </c>
      <c r="W57" s="275">
        <v>0.2</v>
      </c>
      <c r="X57" s="275" t="s">
        <v>271</v>
      </c>
      <c r="Y57" s="341" t="s">
        <v>272</v>
      </c>
      <c r="Z57" s="316">
        <v>0</v>
      </c>
      <c r="AA57" s="487">
        <v>0.4</v>
      </c>
      <c r="AB57" s="277" t="s">
        <v>2191</v>
      </c>
      <c r="AC57" s="277" t="s">
        <v>2192</v>
      </c>
      <c r="AD57" s="276"/>
      <c r="AE57" s="277"/>
      <c r="AF57" s="277"/>
      <c r="AG57" s="276"/>
      <c r="AH57" s="277"/>
      <c r="AI57" s="277"/>
      <c r="AJ57" s="278"/>
    </row>
    <row r="58" spans="1:36" ht="56.25" hidden="1" customHeight="1" outlineLevel="1" x14ac:dyDescent="0.2">
      <c r="A58" s="637"/>
      <c r="B58" s="792"/>
      <c r="C58" s="792"/>
      <c r="D58" s="795"/>
      <c r="E58" s="783"/>
      <c r="F58" s="783"/>
      <c r="G58" s="703"/>
      <c r="H58" s="261" t="s">
        <v>273</v>
      </c>
      <c r="I58" s="655"/>
      <c r="J58" s="251" t="s">
        <v>261</v>
      </c>
      <c r="K58" s="262" t="s">
        <v>53</v>
      </c>
      <c r="L58" s="316">
        <v>0</v>
      </c>
      <c r="M58" s="272">
        <v>44593</v>
      </c>
      <c r="N58" s="272">
        <v>44925</v>
      </c>
      <c r="O58" s="272">
        <v>44652</v>
      </c>
      <c r="P58" s="273">
        <f t="shared" si="0"/>
        <v>0.17771084337349397</v>
      </c>
      <c r="Q58" s="273">
        <f t="shared" si="1"/>
        <v>0.17771084337349397</v>
      </c>
      <c r="R58" s="274">
        <v>1</v>
      </c>
      <c r="S58" s="275">
        <v>0.25</v>
      </c>
      <c r="T58" s="275">
        <v>0.5</v>
      </c>
      <c r="U58" s="275">
        <v>0.75</v>
      </c>
      <c r="V58" s="275">
        <v>1</v>
      </c>
      <c r="W58" s="275">
        <v>0.8</v>
      </c>
      <c r="X58" s="275" t="s">
        <v>274</v>
      </c>
      <c r="Y58" s="341" t="s">
        <v>275</v>
      </c>
      <c r="Z58" s="316">
        <v>0</v>
      </c>
      <c r="AA58" s="487">
        <v>0.8</v>
      </c>
      <c r="AB58" s="277" t="s">
        <v>2193</v>
      </c>
      <c r="AC58" s="277" t="s">
        <v>53</v>
      </c>
      <c r="AD58" s="276"/>
      <c r="AE58" s="277"/>
      <c r="AF58" s="277"/>
      <c r="AG58" s="276"/>
      <c r="AH58" s="277"/>
      <c r="AI58" s="277"/>
      <c r="AJ58" s="278"/>
    </row>
    <row r="59" spans="1:36" ht="56.25" hidden="1" customHeight="1" outlineLevel="1" x14ac:dyDescent="0.2">
      <c r="A59" s="637"/>
      <c r="B59" s="792"/>
      <c r="C59" s="792"/>
      <c r="D59" s="795"/>
      <c r="E59" s="783"/>
      <c r="F59" s="783"/>
      <c r="G59" s="703"/>
      <c r="H59" s="261" t="s">
        <v>2364</v>
      </c>
      <c r="I59" s="655"/>
      <c r="J59" s="251"/>
      <c r="K59" s="262"/>
      <c r="L59" s="316"/>
      <c r="M59" s="272"/>
      <c r="N59" s="272"/>
      <c r="O59" s="272"/>
      <c r="P59" s="273"/>
      <c r="Q59" s="273"/>
      <c r="R59" s="274"/>
      <c r="S59" s="275"/>
      <c r="T59" s="275"/>
      <c r="U59" s="275"/>
      <c r="V59" s="275"/>
      <c r="W59" s="275">
        <v>0.05</v>
      </c>
      <c r="X59" s="275" t="s">
        <v>53</v>
      </c>
      <c r="Y59" s="341" t="s">
        <v>53</v>
      </c>
      <c r="Z59" s="316">
        <v>0</v>
      </c>
      <c r="AA59" s="275">
        <v>0.12</v>
      </c>
      <c r="AB59" s="275" t="s">
        <v>53</v>
      </c>
      <c r="AC59" s="277" t="s">
        <v>53</v>
      </c>
      <c r="AD59" s="276"/>
      <c r="AE59" s="277"/>
      <c r="AF59" s="277"/>
      <c r="AG59" s="276"/>
      <c r="AH59" s="277"/>
      <c r="AI59" s="277"/>
      <c r="AJ59" s="278"/>
    </row>
    <row r="60" spans="1:36" ht="56.25" hidden="1" customHeight="1" outlineLevel="1" x14ac:dyDescent="0.2">
      <c r="A60" s="637"/>
      <c r="B60" s="792"/>
      <c r="C60" s="792"/>
      <c r="D60" s="795"/>
      <c r="E60" s="783"/>
      <c r="F60" s="783"/>
      <c r="G60" s="703"/>
      <c r="H60" s="261" t="s">
        <v>2363</v>
      </c>
      <c r="I60" s="655"/>
      <c r="J60" s="251" t="s">
        <v>276</v>
      </c>
      <c r="K60" s="262"/>
      <c r="L60" s="316"/>
      <c r="M60" s="272"/>
      <c r="N60" s="272"/>
      <c r="O60" s="272"/>
      <c r="P60" s="273"/>
      <c r="Q60" s="273"/>
      <c r="R60" s="274"/>
      <c r="S60" s="275"/>
      <c r="T60" s="275"/>
      <c r="U60" s="275"/>
      <c r="V60" s="275"/>
      <c r="W60" s="275"/>
      <c r="X60" s="275" t="s">
        <v>53</v>
      </c>
      <c r="Y60" s="341" t="s">
        <v>53</v>
      </c>
      <c r="Z60" s="316">
        <v>0</v>
      </c>
      <c r="AA60" s="487">
        <v>0</v>
      </c>
      <c r="AB60" s="275" t="s">
        <v>53</v>
      </c>
      <c r="AC60" s="277" t="s">
        <v>53</v>
      </c>
      <c r="AD60" s="276"/>
      <c r="AE60" s="277"/>
      <c r="AF60" s="277"/>
      <c r="AG60" s="276"/>
      <c r="AH60" s="277"/>
      <c r="AI60" s="277"/>
      <c r="AJ60" s="278"/>
    </row>
    <row r="61" spans="1:36" ht="56.25" hidden="1" customHeight="1" outlineLevel="1" x14ac:dyDescent="0.2">
      <c r="A61" s="637"/>
      <c r="B61" s="792"/>
      <c r="C61" s="792"/>
      <c r="D61" s="795"/>
      <c r="E61" s="783"/>
      <c r="F61" s="783"/>
      <c r="G61" s="703"/>
      <c r="H61" s="261" t="s">
        <v>2362</v>
      </c>
      <c r="I61" s="655"/>
      <c r="J61" s="489" t="s">
        <v>276</v>
      </c>
      <c r="K61" s="262" t="s">
        <v>128</v>
      </c>
      <c r="L61" s="316">
        <v>0</v>
      </c>
      <c r="M61" s="272"/>
      <c r="N61" s="272"/>
      <c r="O61" s="272"/>
      <c r="P61" s="273"/>
      <c r="Q61" s="273"/>
      <c r="R61" s="274"/>
      <c r="S61" s="275"/>
      <c r="T61" s="275"/>
      <c r="U61" s="275"/>
      <c r="V61" s="275"/>
      <c r="W61" s="275">
        <v>0</v>
      </c>
      <c r="X61" s="275" t="s">
        <v>53</v>
      </c>
      <c r="Y61" s="341" t="s">
        <v>53</v>
      </c>
      <c r="Z61" s="316">
        <v>0</v>
      </c>
      <c r="AA61" s="487">
        <v>0</v>
      </c>
      <c r="AB61" s="275" t="s">
        <v>53</v>
      </c>
      <c r="AC61" s="277" t="s">
        <v>53</v>
      </c>
      <c r="AD61" s="276"/>
      <c r="AE61" s="277"/>
      <c r="AF61" s="277"/>
      <c r="AG61" s="276"/>
      <c r="AH61" s="277"/>
      <c r="AI61" s="277"/>
      <c r="AJ61" s="278"/>
    </row>
    <row r="62" spans="1:36" ht="56.25" hidden="1" customHeight="1" outlineLevel="1" x14ac:dyDescent="0.2">
      <c r="A62" s="637"/>
      <c r="B62" s="792"/>
      <c r="C62" s="792"/>
      <c r="D62" s="795"/>
      <c r="E62" s="783"/>
      <c r="F62" s="783"/>
      <c r="G62" s="703"/>
      <c r="H62" s="261" t="s">
        <v>2361</v>
      </c>
      <c r="I62" s="656"/>
      <c r="J62" s="489" t="s">
        <v>276</v>
      </c>
      <c r="K62" s="262" t="s">
        <v>128</v>
      </c>
      <c r="L62" s="316">
        <v>0</v>
      </c>
      <c r="M62" s="272"/>
      <c r="N62" s="272"/>
      <c r="O62" s="272"/>
      <c r="P62" s="273"/>
      <c r="Q62" s="273"/>
      <c r="R62" s="274"/>
      <c r="S62" s="275"/>
      <c r="T62" s="275"/>
      <c r="U62" s="275"/>
      <c r="V62" s="275"/>
      <c r="W62" s="275">
        <v>0</v>
      </c>
      <c r="X62" s="275" t="s">
        <v>53</v>
      </c>
      <c r="Y62" s="341" t="s">
        <v>53</v>
      </c>
      <c r="Z62" s="316">
        <v>0</v>
      </c>
      <c r="AA62" s="275">
        <v>0</v>
      </c>
      <c r="AB62" s="275" t="s">
        <v>53</v>
      </c>
      <c r="AC62" s="277" t="s">
        <v>53</v>
      </c>
      <c r="AD62" s="276"/>
      <c r="AE62" s="277"/>
      <c r="AF62" s="277"/>
      <c r="AG62" s="276"/>
      <c r="AH62" s="277"/>
      <c r="AI62" s="277"/>
      <c r="AJ62" s="278"/>
    </row>
    <row r="63" spans="1:36" ht="131.25" hidden="1" customHeight="1" outlineLevel="1" x14ac:dyDescent="0.2">
      <c r="A63" s="637"/>
      <c r="B63" s="793"/>
      <c r="C63" s="793"/>
      <c r="D63" s="795"/>
      <c r="E63" s="787"/>
      <c r="F63" s="787"/>
      <c r="G63" s="703"/>
      <c r="H63" s="261" t="s">
        <v>303</v>
      </c>
      <c r="I63" s="482"/>
      <c r="J63" s="12" t="s">
        <v>304</v>
      </c>
      <c r="K63" s="312">
        <v>190556437.5</v>
      </c>
      <c r="L63" s="316">
        <v>0</v>
      </c>
      <c r="M63" s="272">
        <v>44593</v>
      </c>
      <c r="N63" s="272">
        <v>44925</v>
      </c>
      <c r="O63" s="272">
        <v>44652</v>
      </c>
      <c r="P63" s="273">
        <f t="shared" ref="P63" si="2">+(+_xlfn.DAYS(M63,O63))/(+_xlfn.DAYS(M63,N63))</f>
        <v>0.17771084337349397</v>
      </c>
      <c r="Q63" s="273">
        <f t="shared" ref="Q63" si="3">+IF(P63&gt;=100,100,IF(P63&lt;=0,0,P63))</f>
        <v>0.17771084337349397</v>
      </c>
      <c r="R63" s="274">
        <v>1</v>
      </c>
      <c r="S63" s="275">
        <v>0.25</v>
      </c>
      <c r="T63" s="275">
        <v>0.5</v>
      </c>
      <c r="U63" s="275">
        <v>0.75</v>
      </c>
      <c r="V63" s="275">
        <v>1</v>
      </c>
      <c r="W63" s="275">
        <v>0.25</v>
      </c>
      <c r="X63" s="275" t="s">
        <v>305</v>
      </c>
      <c r="Y63" s="341" t="s">
        <v>306</v>
      </c>
      <c r="Z63" s="316">
        <v>85000000</v>
      </c>
      <c r="AA63" s="275">
        <v>0.47</v>
      </c>
      <c r="AB63" s="277" t="s">
        <v>307</v>
      </c>
      <c r="AC63" s="277" t="s">
        <v>1588</v>
      </c>
      <c r="AD63" s="276"/>
      <c r="AE63" s="277"/>
      <c r="AF63" s="277"/>
      <c r="AG63" s="276"/>
      <c r="AH63" s="277"/>
      <c r="AI63" s="277"/>
      <c r="AJ63" s="278"/>
    </row>
    <row r="64" spans="1:36" ht="104.25" hidden="1" customHeight="1" outlineLevel="1" x14ac:dyDescent="0.2">
      <c r="A64" s="637"/>
      <c r="B64" s="685" t="s">
        <v>277</v>
      </c>
      <c r="C64" s="685" t="s">
        <v>278</v>
      </c>
      <c r="D64" s="795"/>
      <c r="E64" s="784" t="s">
        <v>279</v>
      </c>
      <c r="F64" s="784" t="s">
        <v>280</v>
      </c>
      <c r="G64" s="703"/>
      <c r="H64" s="261" t="s">
        <v>281</v>
      </c>
      <c r="I64" s="663" t="s">
        <v>282</v>
      </c>
      <c r="J64" s="251" t="s">
        <v>261</v>
      </c>
      <c r="K64" s="262" t="s">
        <v>53</v>
      </c>
      <c r="L64" s="316">
        <v>0</v>
      </c>
      <c r="M64" s="272">
        <v>44593</v>
      </c>
      <c r="N64" s="272">
        <v>44925</v>
      </c>
      <c r="O64" s="272">
        <v>44652</v>
      </c>
      <c r="P64" s="273">
        <f t="shared" si="0"/>
        <v>0.17771084337349397</v>
      </c>
      <c r="Q64" s="273">
        <f t="shared" si="1"/>
        <v>0.17771084337349397</v>
      </c>
      <c r="R64" s="274">
        <v>1</v>
      </c>
      <c r="S64" s="275">
        <v>0.25</v>
      </c>
      <c r="T64" s="275">
        <v>0.5</v>
      </c>
      <c r="U64" s="275">
        <v>0.75</v>
      </c>
      <c r="V64" s="275">
        <v>1</v>
      </c>
      <c r="W64" s="275">
        <v>0.95</v>
      </c>
      <c r="X64" s="275" t="s">
        <v>283</v>
      </c>
      <c r="Y64" s="341" t="s">
        <v>284</v>
      </c>
      <c r="Z64" s="316">
        <v>0</v>
      </c>
      <c r="AA64" s="487">
        <v>0.99</v>
      </c>
      <c r="AB64" s="277" t="s">
        <v>2194</v>
      </c>
      <c r="AC64" s="277" t="s">
        <v>2200</v>
      </c>
      <c r="AD64" s="276"/>
      <c r="AE64" s="277"/>
      <c r="AF64" s="277"/>
      <c r="AG64" s="276"/>
      <c r="AH64" s="277"/>
      <c r="AI64" s="277"/>
      <c r="AJ64" s="278"/>
    </row>
    <row r="65" spans="1:36" ht="135" hidden="1" customHeight="1" outlineLevel="1" x14ac:dyDescent="0.2">
      <c r="A65" s="637"/>
      <c r="B65" s="686"/>
      <c r="C65" s="686"/>
      <c r="D65" s="795"/>
      <c r="E65" s="785"/>
      <c r="F65" s="785"/>
      <c r="G65" s="703"/>
      <c r="H65" s="261" t="s">
        <v>285</v>
      </c>
      <c r="I65" s="664"/>
      <c r="J65" s="251" t="s">
        <v>261</v>
      </c>
      <c r="K65" s="262" t="s">
        <v>53</v>
      </c>
      <c r="L65" s="316">
        <v>0</v>
      </c>
      <c r="M65" s="272">
        <v>44593</v>
      </c>
      <c r="N65" s="272">
        <v>44925</v>
      </c>
      <c r="O65" s="272">
        <v>44652</v>
      </c>
      <c r="P65" s="273">
        <f t="shared" si="0"/>
        <v>0.17771084337349397</v>
      </c>
      <c r="Q65" s="273">
        <f t="shared" si="1"/>
        <v>0.17771084337349397</v>
      </c>
      <c r="R65" s="274">
        <v>1</v>
      </c>
      <c r="S65" s="275">
        <v>0.25</v>
      </c>
      <c r="T65" s="275">
        <v>0.5</v>
      </c>
      <c r="U65" s="275">
        <v>0.75</v>
      </c>
      <c r="V65" s="275">
        <v>1</v>
      </c>
      <c r="W65" s="275">
        <v>0.8</v>
      </c>
      <c r="X65" s="275" t="s">
        <v>286</v>
      </c>
      <c r="Y65" s="341" t="s">
        <v>287</v>
      </c>
      <c r="Z65" s="316">
        <v>0</v>
      </c>
      <c r="AA65" s="487">
        <v>0.9</v>
      </c>
      <c r="AB65" s="277" t="s">
        <v>2195</v>
      </c>
      <c r="AC65" s="277" t="s">
        <v>53</v>
      </c>
      <c r="AD65" s="276"/>
      <c r="AE65" s="277"/>
      <c r="AF65" s="277"/>
      <c r="AG65" s="276"/>
      <c r="AH65" s="277"/>
      <c r="AI65" s="277"/>
      <c r="AJ65" s="278"/>
    </row>
    <row r="66" spans="1:36" ht="206.25" hidden="1" customHeight="1" outlineLevel="1" x14ac:dyDescent="0.2">
      <c r="A66" s="637"/>
      <c r="B66" s="686"/>
      <c r="C66" s="686"/>
      <c r="D66" s="795"/>
      <c r="E66" s="785"/>
      <c r="F66" s="786"/>
      <c r="G66" s="703"/>
      <c r="H66" s="261" t="s">
        <v>288</v>
      </c>
      <c r="I66" s="664"/>
      <c r="J66" s="251" t="s">
        <v>261</v>
      </c>
      <c r="K66" s="262" t="s">
        <v>53</v>
      </c>
      <c r="L66" s="316">
        <v>0</v>
      </c>
      <c r="M66" s="272">
        <v>44593</v>
      </c>
      <c r="N66" s="272">
        <v>44925</v>
      </c>
      <c r="O66" s="272">
        <v>44652</v>
      </c>
      <c r="P66" s="273">
        <f t="shared" si="0"/>
        <v>0.17771084337349397</v>
      </c>
      <c r="Q66" s="273">
        <f t="shared" si="1"/>
        <v>0.17771084337349397</v>
      </c>
      <c r="R66" s="274">
        <v>1</v>
      </c>
      <c r="S66" s="275">
        <v>0.25</v>
      </c>
      <c r="T66" s="275">
        <v>0.5</v>
      </c>
      <c r="U66" s="275">
        <v>0.75</v>
      </c>
      <c r="V66" s="275">
        <v>1</v>
      </c>
      <c r="W66" s="275">
        <v>0.8</v>
      </c>
      <c r="X66" s="275" t="s">
        <v>289</v>
      </c>
      <c r="Y66" s="341" t="s">
        <v>53</v>
      </c>
      <c r="Z66" s="316">
        <v>0</v>
      </c>
      <c r="AA66" s="487">
        <v>0.82</v>
      </c>
      <c r="AB66" s="277" t="s">
        <v>2196</v>
      </c>
      <c r="AC66" s="277" t="s">
        <v>53</v>
      </c>
      <c r="AD66" s="276"/>
      <c r="AE66" s="277"/>
      <c r="AF66" s="277"/>
      <c r="AG66" s="276"/>
      <c r="AH66" s="277"/>
      <c r="AI66" s="277"/>
      <c r="AJ66" s="278"/>
    </row>
    <row r="67" spans="1:36" ht="118.5" hidden="1" customHeight="1" outlineLevel="1" x14ac:dyDescent="0.2">
      <c r="A67" s="637"/>
      <c r="B67" s="687"/>
      <c r="C67" s="687"/>
      <c r="D67" s="795"/>
      <c r="E67" s="786"/>
      <c r="F67" s="307" t="s">
        <v>290</v>
      </c>
      <c r="G67" s="703"/>
      <c r="H67" s="261" t="s">
        <v>291</v>
      </c>
      <c r="I67" s="806"/>
      <c r="J67" s="251" t="s">
        <v>261</v>
      </c>
      <c r="K67" s="262" t="s">
        <v>53</v>
      </c>
      <c r="L67" s="316">
        <v>0</v>
      </c>
      <c r="M67" s="272">
        <v>44593</v>
      </c>
      <c r="N67" s="272">
        <v>44925</v>
      </c>
      <c r="O67" s="272">
        <v>44652</v>
      </c>
      <c r="P67" s="273">
        <f t="shared" si="0"/>
        <v>0.17771084337349397</v>
      </c>
      <c r="Q67" s="273">
        <f t="shared" si="1"/>
        <v>0.17771084337349397</v>
      </c>
      <c r="R67" s="274">
        <v>1</v>
      </c>
      <c r="S67" s="275">
        <v>0.25</v>
      </c>
      <c r="T67" s="275">
        <v>0.5</v>
      </c>
      <c r="U67" s="275">
        <v>0.75</v>
      </c>
      <c r="V67" s="275">
        <v>1</v>
      </c>
      <c r="W67" s="275">
        <v>0.1</v>
      </c>
      <c r="X67" s="275" t="s">
        <v>292</v>
      </c>
      <c r="Y67" s="341" t="s">
        <v>53</v>
      </c>
      <c r="Z67" s="316">
        <v>0</v>
      </c>
      <c r="AA67" s="275">
        <v>0.1</v>
      </c>
      <c r="AB67" s="12" t="s">
        <v>2197</v>
      </c>
      <c r="AC67" s="277" t="s">
        <v>53</v>
      </c>
      <c r="AD67" s="276"/>
      <c r="AE67" s="277"/>
      <c r="AF67" s="277"/>
      <c r="AG67" s="276"/>
      <c r="AH67" s="277"/>
      <c r="AI67" s="277"/>
      <c r="AJ67" s="278"/>
    </row>
    <row r="68" spans="1:36" ht="142.5" hidden="1" customHeight="1" outlineLevel="1" x14ac:dyDescent="0.2">
      <c r="A68" s="637"/>
      <c r="B68" s="791" t="s">
        <v>293</v>
      </c>
      <c r="C68" s="791" t="s">
        <v>294</v>
      </c>
      <c r="D68" s="795"/>
      <c r="E68" s="782" t="s">
        <v>295</v>
      </c>
      <c r="F68" s="307" t="s">
        <v>296</v>
      </c>
      <c r="G68" s="703"/>
      <c r="H68" s="261" t="s">
        <v>297</v>
      </c>
      <c r="I68" s="663" t="s">
        <v>298</v>
      </c>
      <c r="J68" s="251" t="s">
        <v>261</v>
      </c>
      <c r="K68" s="262" t="s">
        <v>53</v>
      </c>
      <c r="L68" s="316">
        <v>0</v>
      </c>
      <c r="M68" s="272">
        <v>44593</v>
      </c>
      <c r="N68" s="272">
        <v>44925</v>
      </c>
      <c r="O68" s="272">
        <v>44652</v>
      </c>
      <c r="P68" s="273">
        <f t="shared" si="0"/>
        <v>0.17771084337349397</v>
      </c>
      <c r="Q68" s="273">
        <f t="shared" si="1"/>
        <v>0.17771084337349397</v>
      </c>
      <c r="R68" s="274">
        <v>1</v>
      </c>
      <c r="S68" s="275">
        <v>0.25</v>
      </c>
      <c r="T68" s="275">
        <v>0.5</v>
      </c>
      <c r="U68" s="275">
        <v>0.75</v>
      </c>
      <c r="V68" s="275">
        <v>1</v>
      </c>
      <c r="W68" s="275">
        <v>1</v>
      </c>
      <c r="X68" s="275" t="s">
        <v>299</v>
      </c>
      <c r="Y68" s="341" t="s">
        <v>300</v>
      </c>
      <c r="Z68" s="316">
        <v>0</v>
      </c>
      <c r="AA68" s="275">
        <v>1</v>
      </c>
      <c r="AB68" s="277" t="s">
        <v>2198</v>
      </c>
      <c r="AC68" s="277" t="s">
        <v>2199</v>
      </c>
      <c r="AD68" s="276"/>
      <c r="AE68" s="277"/>
      <c r="AF68" s="277"/>
      <c r="AG68" s="276"/>
      <c r="AH68" s="277"/>
      <c r="AI68" s="277"/>
      <c r="AJ68" s="278"/>
    </row>
    <row r="69" spans="1:36" ht="131.25" hidden="1" customHeight="1" outlineLevel="1" x14ac:dyDescent="0.2">
      <c r="A69" s="637"/>
      <c r="B69" s="792"/>
      <c r="C69" s="792"/>
      <c r="D69" s="795"/>
      <c r="E69" s="783"/>
      <c r="F69" s="307" t="s">
        <v>301</v>
      </c>
      <c r="G69" s="703"/>
      <c r="H69" s="261" t="s">
        <v>297</v>
      </c>
      <c r="I69" s="664"/>
      <c r="J69" s="251" t="s">
        <v>261</v>
      </c>
      <c r="K69" s="262" t="s">
        <v>53</v>
      </c>
      <c r="L69" s="316">
        <v>0</v>
      </c>
      <c r="M69" s="272">
        <v>44593</v>
      </c>
      <c r="N69" s="272">
        <v>44925</v>
      </c>
      <c r="O69" s="272">
        <v>44652</v>
      </c>
      <c r="P69" s="273">
        <f t="shared" si="0"/>
        <v>0.17771084337349397</v>
      </c>
      <c r="Q69" s="273">
        <f t="shared" si="1"/>
        <v>0.17771084337349397</v>
      </c>
      <c r="R69" s="274">
        <v>1</v>
      </c>
      <c r="S69" s="275">
        <v>0.25</v>
      </c>
      <c r="T69" s="275">
        <v>0.5</v>
      </c>
      <c r="U69" s="275">
        <v>0.75</v>
      </c>
      <c r="V69" s="275">
        <v>1</v>
      </c>
      <c r="W69" s="275">
        <v>0</v>
      </c>
      <c r="X69" s="275" t="s">
        <v>302</v>
      </c>
      <c r="Y69" s="341" t="s">
        <v>53</v>
      </c>
      <c r="Z69" s="316">
        <v>0</v>
      </c>
      <c r="AA69" s="275">
        <v>0</v>
      </c>
      <c r="AB69" s="275" t="s">
        <v>302</v>
      </c>
      <c r="AC69" s="277" t="s">
        <v>53</v>
      </c>
      <c r="AD69" s="276"/>
      <c r="AE69" s="277"/>
      <c r="AF69" s="277"/>
      <c r="AG69" s="276"/>
      <c r="AH69" s="277"/>
      <c r="AI69" s="277"/>
      <c r="AJ69" s="278"/>
    </row>
    <row r="70" spans="1:36" ht="148.5" hidden="1" customHeight="1" outlineLevel="1" x14ac:dyDescent="0.2">
      <c r="A70" s="637"/>
      <c r="B70" s="546" t="s">
        <v>293</v>
      </c>
      <c r="C70" s="546" t="s">
        <v>308</v>
      </c>
      <c r="D70" s="788" t="s">
        <v>309</v>
      </c>
      <c r="E70" s="678" t="s">
        <v>310</v>
      </c>
      <c r="F70" s="678" t="s">
        <v>311</v>
      </c>
      <c r="G70" s="198" t="s">
        <v>312</v>
      </c>
      <c r="H70" s="6" t="s">
        <v>313</v>
      </c>
      <c r="I70" s="660" t="s">
        <v>314</v>
      </c>
      <c r="J70" s="262" t="s">
        <v>315</v>
      </c>
      <c r="K70" s="312">
        <v>12543214</v>
      </c>
      <c r="L70" s="316">
        <v>0</v>
      </c>
      <c r="M70" s="272">
        <v>44593</v>
      </c>
      <c r="N70" s="272">
        <v>44925</v>
      </c>
      <c r="O70" s="272">
        <v>44652</v>
      </c>
      <c r="P70" s="273">
        <f t="shared" si="0"/>
        <v>0.17771084337349397</v>
      </c>
      <c r="Q70" s="273">
        <f t="shared" si="1"/>
        <v>0.17771084337349397</v>
      </c>
      <c r="R70" s="274">
        <v>0.8</v>
      </c>
      <c r="S70" s="275">
        <v>0.72</v>
      </c>
      <c r="T70" s="275">
        <v>0.74</v>
      </c>
      <c r="U70" s="275">
        <v>0.76</v>
      </c>
      <c r="V70" s="275">
        <v>0.8</v>
      </c>
      <c r="W70" s="275">
        <v>0.35</v>
      </c>
      <c r="X70" s="275" t="s">
        <v>316</v>
      </c>
      <c r="Y70" s="341" t="s">
        <v>267</v>
      </c>
      <c r="Z70" s="316">
        <v>0</v>
      </c>
      <c r="AA70" s="275">
        <v>0.35</v>
      </c>
      <c r="AB70" s="277" t="s">
        <v>317</v>
      </c>
      <c r="AC70" s="277" t="s">
        <v>53</v>
      </c>
      <c r="AD70" s="276"/>
      <c r="AE70" s="277"/>
      <c r="AF70" s="277"/>
      <c r="AG70" s="276"/>
      <c r="AH70" s="277"/>
      <c r="AI70" s="277"/>
      <c r="AJ70" s="278"/>
    </row>
    <row r="71" spans="1:36" ht="93.6" hidden="1" customHeight="1" outlineLevel="1" x14ac:dyDescent="0.2">
      <c r="A71" s="637"/>
      <c r="B71" s="581"/>
      <c r="C71" s="581"/>
      <c r="D71" s="789"/>
      <c r="E71" s="679"/>
      <c r="F71" s="679"/>
      <c r="G71" s="198" t="s">
        <v>318</v>
      </c>
      <c r="H71" s="7" t="s">
        <v>319</v>
      </c>
      <c r="I71" s="661"/>
      <c r="J71" s="262" t="s">
        <v>320</v>
      </c>
      <c r="K71" s="313">
        <v>5000000</v>
      </c>
      <c r="L71" s="316">
        <v>0</v>
      </c>
      <c r="M71" s="272">
        <v>44593</v>
      </c>
      <c r="N71" s="272">
        <v>44925</v>
      </c>
      <c r="O71" s="272">
        <v>44652</v>
      </c>
      <c r="P71" s="273">
        <f t="shared" si="0"/>
        <v>0.17771084337349397</v>
      </c>
      <c r="Q71" s="273">
        <f t="shared" si="1"/>
        <v>0.17771084337349397</v>
      </c>
      <c r="R71" s="274">
        <v>1</v>
      </c>
      <c r="S71" s="275">
        <v>0.25</v>
      </c>
      <c r="T71" s="275">
        <v>0.5</v>
      </c>
      <c r="U71" s="275">
        <v>0.75</v>
      </c>
      <c r="V71" s="275">
        <v>1</v>
      </c>
      <c r="W71" s="275">
        <v>0</v>
      </c>
      <c r="X71" s="275" t="s">
        <v>321</v>
      </c>
      <c r="Y71" s="262" t="s">
        <v>53</v>
      </c>
      <c r="Z71" s="316">
        <v>0</v>
      </c>
      <c r="AA71" s="275">
        <v>0.15</v>
      </c>
      <c r="AB71" s="277" t="s">
        <v>322</v>
      </c>
      <c r="AC71" s="277" t="s">
        <v>53</v>
      </c>
      <c r="AD71" s="276"/>
      <c r="AE71" s="277"/>
      <c r="AF71" s="277"/>
      <c r="AG71" s="276"/>
      <c r="AH71" s="277"/>
      <c r="AI71" s="277"/>
      <c r="AJ71" s="278"/>
    </row>
    <row r="72" spans="1:36" ht="70.150000000000006" hidden="1" customHeight="1" outlineLevel="1" x14ac:dyDescent="0.2">
      <c r="A72" s="637"/>
      <c r="B72" s="581"/>
      <c r="C72" s="581"/>
      <c r="D72" s="789"/>
      <c r="E72" s="679"/>
      <c r="F72" s="679"/>
      <c r="G72" s="198" t="s">
        <v>323</v>
      </c>
      <c r="H72" s="6" t="s">
        <v>324</v>
      </c>
      <c r="I72" s="661"/>
      <c r="J72" s="262" t="s">
        <v>325</v>
      </c>
      <c r="K72" s="262" t="s">
        <v>53</v>
      </c>
      <c r="L72" s="316">
        <v>0</v>
      </c>
      <c r="M72" s="272">
        <v>44593</v>
      </c>
      <c r="N72" s="272">
        <v>44925</v>
      </c>
      <c r="O72" s="272">
        <v>44652</v>
      </c>
      <c r="P72" s="273">
        <f t="shared" si="0"/>
        <v>0.17771084337349397</v>
      </c>
      <c r="Q72" s="273">
        <f t="shared" si="1"/>
        <v>0.17771084337349397</v>
      </c>
      <c r="R72" s="274">
        <v>1</v>
      </c>
      <c r="S72" s="275">
        <v>0.25</v>
      </c>
      <c r="T72" s="275">
        <v>0.5</v>
      </c>
      <c r="U72" s="275">
        <v>0.75</v>
      </c>
      <c r="V72" s="275">
        <v>1</v>
      </c>
      <c r="W72" s="275">
        <v>0</v>
      </c>
      <c r="X72" s="275" t="s">
        <v>321</v>
      </c>
      <c r="Y72" s="262" t="s">
        <v>53</v>
      </c>
      <c r="Z72" s="316">
        <v>0</v>
      </c>
      <c r="AA72" s="275">
        <v>0</v>
      </c>
      <c r="AB72" s="275" t="s">
        <v>321</v>
      </c>
      <c r="AC72" s="277" t="s">
        <v>53</v>
      </c>
      <c r="AD72" s="276"/>
      <c r="AE72" s="277"/>
      <c r="AF72" s="277"/>
      <c r="AG72" s="276"/>
      <c r="AH72" s="277"/>
      <c r="AI72" s="277"/>
      <c r="AJ72" s="278"/>
    </row>
    <row r="73" spans="1:36" ht="70.150000000000006" hidden="1" customHeight="1" outlineLevel="1" x14ac:dyDescent="0.2">
      <c r="A73" s="637"/>
      <c r="B73" s="581"/>
      <c r="C73" s="581"/>
      <c r="D73" s="789"/>
      <c r="E73" s="679"/>
      <c r="F73" s="679"/>
      <c r="G73" s="438" t="s">
        <v>326</v>
      </c>
      <c r="H73" s="6" t="s">
        <v>327</v>
      </c>
      <c r="I73" s="661"/>
      <c r="J73" s="262" t="s">
        <v>328</v>
      </c>
      <c r="K73" s="313">
        <v>600000</v>
      </c>
      <c r="L73" s="316">
        <v>0</v>
      </c>
      <c r="M73" s="272">
        <v>44593</v>
      </c>
      <c r="N73" s="272">
        <v>44925</v>
      </c>
      <c r="O73" s="272">
        <v>44652</v>
      </c>
      <c r="P73" s="273">
        <f t="shared" si="0"/>
        <v>0.17771084337349397</v>
      </c>
      <c r="Q73" s="273">
        <f t="shared" si="1"/>
        <v>0.17771084337349397</v>
      </c>
      <c r="R73" s="274">
        <v>1</v>
      </c>
      <c r="S73" s="275">
        <v>0.25</v>
      </c>
      <c r="T73" s="275">
        <v>0.5</v>
      </c>
      <c r="U73" s="275">
        <v>0.75</v>
      </c>
      <c r="V73" s="275">
        <v>1</v>
      </c>
      <c r="W73" s="275">
        <v>0.25</v>
      </c>
      <c r="X73" s="275" t="s">
        <v>329</v>
      </c>
      <c r="Y73" s="262" t="s">
        <v>53</v>
      </c>
      <c r="Z73" s="316">
        <v>0</v>
      </c>
      <c r="AA73" s="275">
        <v>1</v>
      </c>
      <c r="AB73" s="277" t="s">
        <v>330</v>
      </c>
      <c r="AC73" s="277" t="s">
        <v>53</v>
      </c>
      <c r="AD73" s="276"/>
      <c r="AE73" s="277"/>
      <c r="AF73" s="277"/>
      <c r="AG73" s="276"/>
      <c r="AH73" s="277"/>
      <c r="AI73" s="277"/>
      <c r="AJ73" s="278"/>
    </row>
    <row r="74" spans="1:36" ht="84" hidden="1" customHeight="1" outlineLevel="1" x14ac:dyDescent="0.2">
      <c r="A74" s="637"/>
      <c r="B74" s="581"/>
      <c r="C74" s="581"/>
      <c r="D74" s="789"/>
      <c r="E74" s="679"/>
      <c r="F74" s="679"/>
      <c r="G74" s="438" t="s">
        <v>331</v>
      </c>
      <c r="H74" s="6" t="s">
        <v>332</v>
      </c>
      <c r="I74" s="661"/>
      <c r="J74" s="262" t="s">
        <v>333</v>
      </c>
      <c r="K74" s="313">
        <v>10000000</v>
      </c>
      <c r="L74" s="316">
        <v>0</v>
      </c>
      <c r="M74" s="272">
        <v>44593</v>
      </c>
      <c r="N74" s="272">
        <v>44925</v>
      </c>
      <c r="O74" s="272">
        <v>44652</v>
      </c>
      <c r="P74" s="273">
        <f t="shared" si="0"/>
        <v>0.17771084337349397</v>
      </c>
      <c r="Q74" s="273">
        <f t="shared" si="1"/>
        <v>0.17771084337349397</v>
      </c>
      <c r="R74" s="274">
        <v>1</v>
      </c>
      <c r="S74" s="275">
        <v>0.25</v>
      </c>
      <c r="T74" s="275">
        <v>0.5</v>
      </c>
      <c r="U74" s="275">
        <v>0.75</v>
      </c>
      <c r="V74" s="275">
        <v>1</v>
      </c>
      <c r="W74" s="275">
        <v>0.25</v>
      </c>
      <c r="X74" s="275" t="s">
        <v>334</v>
      </c>
      <c r="Y74" s="262" t="s">
        <v>53</v>
      </c>
      <c r="Z74" s="316">
        <v>0</v>
      </c>
      <c r="AA74" s="275">
        <v>0.25</v>
      </c>
      <c r="AB74" s="277" t="s">
        <v>335</v>
      </c>
      <c r="AC74" s="277" t="s">
        <v>53</v>
      </c>
      <c r="AD74" s="276"/>
      <c r="AE74" s="277"/>
      <c r="AF74" s="277"/>
      <c r="AG74" s="276"/>
      <c r="AH74" s="277"/>
      <c r="AI74" s="277"/>
      <c r="AJ74" s="278"/>
    </row>
    <row r="75" spans="1:36" ht="70.150000000000006" hidden="1" customHeight="1" outlineLevel="1" x14ac:dyDescent="0.2">
      <c r="A75" s="637"/>
      <c r="B75" s="581"/>
      <c r="C75" s="581"/>
      <c r="D75" s="789"/>
      <c r="E75" s="679"/>
      <c r="F75" s="679"/>
      <c r="G75" s="709" t="s">
        <v>336</v>
      </c>
      <c r="H75" s="6" t="s">
        <v>337</v>
      </c>
      <c r="I75" s="661"/>
      <c r="J75" s="262" t="s">
        <v>338</v>
      </c>
      <c r="K75" s="313">
        <v>33000000</v>
      </c>
      <c r="L75" s="316">
        <v>0</v>
      </c>
      <c r="M75" s="272">
        <v>44593</v>
      </c>
      <c r="N75" s="272">
        <v>44925</v>
      </c>
      <c r="O75" s="272">
        <v>44652</v>
      </c>
      <c r="P75" s="273">
        <f t="shared" si="0"/>
        <v>0.17771084337349397</v>
      </c>
      <c r="Q75" s="273">
        <f t="shared" si="1"/>
        <v>0.17771084337349397</v>
      </c>
      <c r="R75" s="274">
        <v>1</v>
      </c>
      <c r="S75" s="275">
        <v>0.25</v>
      </c>
      <c r="T75" s="275">
        <v>0.5</v>
      </c>
      <c r="U75" s="275">
        <v>0.75</v>
      </c>
      <c r="V75" s="275">
        <v>1</v>
      </c>
      <c r="W75" s="275">
        <v>0.25</v>
      </c>
      <c r="X75" s="275" t="s">
        <v>339</v>
      </c>
      <c r="Y75" s="341" t="s">
        <v>340</v>
      </c>
      <c r="Z75" s="316">
        <v>0</v>
      </c>
      <c r="AA75" s="275">
        <v>0.5</v>
      </c>
      <c r="AB75" s="275" t="s">
        <v>339</v>
      </c>
      <c r="AC75" s="277" t="s">
        <v>2201</v>
      </c>
      <c r="AD75" s="276"/>
      <c r="AE75" s="277"/>
      <c r="AF75" s="277"/>
      <c r="AG75" s="276"/>
      <c r="AH75" s="277"/>
      <c r="AI75" s="277"/>
      <c r="AJ75" s="278"/>
    </row>
    <row r="76" spans="1:36" ht="70.150000000000006" hidden="1" customHeight="1" outlineLevel="1" x14ac:dyDescent="0.2">
      <c r="A76" s="637"/>
      <c r="B76" s="581"/>
      <c r="C76" s="581"/>
      <c r="D76" s="789"/>
      <c r="E76" s="679"/>
      <c r="F76" s="679"/>
      <c r="G76" s="710"/>
      <c r="H76" s="6" t="s">
        <v>341</v>
      </c>
      <c r="I76" s="661"/>
      <c r="J76" s="262" t="s">
        <v>338</v>
      </c>
      <c r="K76" s="313">
        <f>1800000*11</f>
        <v>19800000</v>
      </c>
      <c r="L76" s="316">
        <v>0</v>
      </c>
      <c r="M76" s="272">
        <v>44593</v>
      </c>
      <c r="N76" s="272">
        <v>44925</v>
      </c>
      <c r="O76" s="272">
        <v>44652</v>
      </c>
      <c r="P76" s="273">
        <f t="shared" si="0"/>
        <v>0.17771084337349397</v>
      </c>
      <c r="Q76" s="273">
        <f t="shared" si="1"/>
        <v>0.17771084337349397</v>
      </c>
      <c r="R76" s="274">
        <v>1</v>
      </c>
      <c r="S76" s="275">
        <v>0.25</v>
      </c>
      <c r="T76" s="275">
        <v>0.5</v>
      </c>
      <c r="U76" s="275">
        <v>0.75</v>
      </c>
      <c r="V76" s="275">
        <v>1</v>
      </c>
      <c r="W76" s="275">
        <v>0</v>
      </c>
      <c r="X76" s="275" t="s">
        <v>342</v>
      </c>
      <c r="Y76" s="262" t="s">
        <v>53</v>
      </c>
      <c r="Z76" s="316">
        <v>0</v>
      </c>
      <c r="AA76" s="275">
        <v>0.5</v>
      </c>
      <c r="AB76" s="277" t="s">
        <v>343</v>
      </c>
      <c r="AC76" s="277" t="s">
        <v>53</v>
      </c>
      <c r="AD76" s="276"/>
      <c r="AE76" s="277"/>
      <c r="AF76" s="277"/>
      <c r="AG76" s="276"/>
      <c r="AH76" s="277"/>
      <c r="AI76" s="277"/>
      <c r="AJ76" s="278"/>
    </row>
    <row r="77" spans="1:36" ht="99" hidden="1" customHeight="1" outlineLevel="1" x14ac:dyDescent="0.2">
      <c r="A77" s="637"/>
      <c r="B77" s="581"/>
      <c r="C77" s="581"/>
      <c r="D77" s="789"/>
      <c r="E77" s="679"/>
      <c r="F77" s="679"/>
      <c r="G77" s="660" t="s">
        <v>344</v>
      </c>
      <c r="H77" s="6" t="s">
        <v>345</v>
      </c>
      <c r="I77" s="661"/>
      <c r="J77" s="262" t="s">
        <v>346</v>
      </c>
      <c r="K77" s="262" t="s">
        <v>128</v>
      </c>
      <c r="L77" s="316">
        <v>0</v>
      </c>
      <c r="M77" s="272">
        <v>44593</v>
      </c>
      <c r="N77" s="272">
        <v>44925</v>
      </c>
      <c r="O77" s="272">
        <v>44652</v>
      </c>
      <c r="P77" s="273">
        <f t="shared" si="0"/>
        <v>0.17771084337349397</v>
      </c>
      <c r="Q77" s="273">
        <f t="shared" si="1"/>
        <v>0.17771084337349397</v>
      </c>
      <c r="R77" s="274">
        <v>1</v>
      </c>
      <c r="S77" s="275">
        <v>0.25</v>
      </c>
      <c r="T77" s="275">
        <v>0.5</v>
      </c>
      <c r="U77" s="275">
        <v>0.75</v>
      </c>
      <c r="V77" s="275">
        <v>1</v>
      </c>
      <c r="W77" s="275">
        <v>0.8</v>
      </c>
      <c r="X77" s="275" t="s">
        <v>347</v>
      </c>
      <c r="Y77" s="341" t="s">
        <v>348</v>
      </c>
      <c r="Z77" s="316">
        <v>0</v>
      </c>
      <c r="AA77" s="275">
        <v>1</v>
      </c>
      <c r="AB77" s="277" t="s">
        <v>349</v>
      </c>
      <c r="AC77" s="277" t="s">
        <v>350</v>
      </c>
      <c r="AD77" s="276"/>
      <c r="AE77" s="277"/>
      <c r="AF77" s="277"/>
      <c r="AG77" s="276"/>
      <c r="AH77" s="277"/>
      <c r="AI77" s="277"/>
      <c r="AJ77" s="278"/>
    </row>
    <row r="78" spans="1:36" ht="94.5" hidden="1" customHeight="1" outlineLevel="1" x14ac:dyDescent="0.2">
      <c r="A78" s="637"/>
      <c r="B78" s="581"/>
      <c r="C78" s="581"/>
      <c r="D78" s="789"/>
      <c r="E78" s="679"/>
      <c r="F78" s="679"/>
      <c r="G78" s="661"/>
      <c r="H78" s="6" t="s">
        <v>351</v>
      </c>
      <c r="I78" s="661"/>
      <c r="J78" s="262" t="s">
        <v>352</v>
      </c>
      <c r="K78" s="262" t="s">
        <v>128</v>
      </c>
      <c r="L78" s="316">
        <v>0</v>
      </c>
      <c r="M78" s="272">
        <v>44593</v>
      </c>
      <c r="N78" s="272">
        <v>44925</v>
      </c>
      <c r="O78" s="272">
        <v>44652</v>
      </c>
      <c r="P78" s="273">
        <f t="shared" si="0"/>
        <v>0.17771084337349397</v>
      </c>
      <c r="Q78" s="273">
        <f t="shared" si="1"/>
        <v>0.17771084337349397</v>
      </c>
      <c r="R78" s="274">
        <v>1</v>
      </c>
      <c r="S78" s="275">
        <v>0.25</v>
      </c>
      <c r="T78" s="275">
        <v>0.5</v>
      </c>
      <c r="U78" s="275">
        <v>0.75</v>
      </c>
      <c r="V78" s="275">
        <v>1</v>
      </c>
      <c r="W78" s="275">
        <v>0.25</v>
      </c>
      <c r="X78" s="275" t="s">
        <v>353</v>
      </c>
      <c r="Y78" s="262" t="s">
        <v>53</v>
      </c>
      <c r="Z78" s="316">
        <v>0</v>
      </c>
      <c r="AA78" s="275">
        <v>0.25</v>
      </c>
      <c r="AB78" s="277" t="s">
        <v>354</v>
      </c>
      <c r="AC78" s="277" t="s">
        <v>53</v>
      </c>
      <c r="AD78" s="276"/>
      <c r="AE78" s="277"/>
      <c r="AF78" s="277"/>
      <c r="AG78" s="276"/>
      <c r="AH78" s="277"/>
      <c r="AI78" s="277"/>
      <c r="AJ78" s="278"/>
    </row>
    <row r="79" spans="1:36" ht="56.25" hidden="1" customHeight="1" outlineLevel="1" x14ac:dyDescent="0.2">
      <c r="A79" s="637"/>
      <c r="B79" s="581"/>
      <c r="C79" s="581"/>
      <c r="D79" s="789"/>
      <c r="E79" s="679"/>
      <c r="F79" s="679"/>
      <c r="G79" s="662"/>
      <c r="H79" s="6" t="s">
        <v>355</v>
      </c>
      <c r="I79" s="661"/>
      <c r="J79" s="262" t="s">
        <v>356</v>
      </c>
      <c r="K79" s="262" t="s">
        <v>357</v>
      </c>
      <c r="L79" s="316">
        <v>0</v>
      </c>
      <c r="M79" s="272">
        <v>44593</v>
      </c>
      <c r="N79" s="272">
        <v>44925</v>
      </c>
      <c r="O79" s="272">
        <v>44652</v>
      </c>
      <c r="P79" s="273">
        <f t="shared" si="0"/>
        <v>0.17771084337349397</v>
      </c>
      <c r="Q79" s="273">
        <f t="shared" si="1"/>
        <v>0.17771084337349397</v>
      </c>
      <c r="R79" s="274">
        <v>1</v>
      </c>
      <c r="S79" s="275">
        <v>0.25</v>
      </c>
      <c r="T79" s="275">
        <v>0.5</v>
      </c>
      <c r="U79" s="275">
        <v>0.75</v>
      </c>
      <c r="V79" s="275">
        <v>1</v>
      </c>
      <c r="W79" s="275">
        <v>0.25</v>
      </c>
      <c r="X79" s="275" t="s">
        <v>358</v>
      </c>
      <c r="Y79" s="341" t="s">
        <v>359</v>
      </c>
      <c r="Z79" s="316">
        <v>0</v>
      </c>
      <c r="AA79" s="275">
        <v>0.5</v>
      </c>
      <c r="AB79" s="277" t="s">
        <v>360</v>
      </c>
      <c r="AC79" s="277" t="s">
        <v>53</v>
      </c>
      <c r="AD79" s="276"/>
      <c r="AE79" s="277"/>
      <c r="AF79" s="277"/>
      <c r="AG79" s="276"/>
      <c r="AH79" s="277"/>
      <c r="AI79" s="277"/>
      <c r="AJ79" s="278"/>
    </row>
    <row r="80" spans="1:36" ht="75" hidden="1" customHeight="1" outlineLevel="1" x14ac:dyDescent="0.2">
      <c r="A80" s="637"/>
      <c r="B80" s="581"/>
      <c r="C80" s="581"/>
      <c r="D80" s="789"/>
      <c r="E80" s="679"/>
      <c r="F80" s="679"/>
      <c r="G80" s="6" t="s">
        <v>361</v>
      </c>
      <c r="H80" s="6" t="s">
        <v>362</v>
      </c>
      <c r="I80" s="661"/>
      <c r="J80" s="280" t="s">
        <v>363</v>
      </c>
      <c r="K80" s="312">
        <v>2500000</v>
      </c>
      <c r="L80" s="316">
        <v>0</v>
      </c>
      <c r="M80" s="272">
        <v>44593</v>
      </c>
      <c r="N80" s="272">
        <v>44925</v>
      </c>
      <c r="O80" s="272">
        <v>44652</v>
      </c>
      <c r="P80" s="273">
        <f t="shared" si="0"/>
        <v>0.17771084337349397</v>
      </c>
      <c r="Q80" s="273">
        <f t="shared" si="1"/>
        <v>0.17771084337349397</v>
      </c>
      <c r="R80" s="274">
        <v>1</v>
      </c>
      <c r="S80" s="275">
        <v>0.25</v>
      </c>
      <c r="T80" s="275">
        <v>0.5</v>
      </c>
      <c r="U80" s="275">
        <v>0.75</v>
      </c>
      <c r="V80" s="275">
        <v>1</v>
      </c>
      <c r="W80" s="275">
        <v>0.3</v>
      </c>
      <c r="X80" s="275" t="s">
        <v>364</v>
      </c>
      <c r="Y80" s="341" t="s">
        <v>365</v>
      </c>
      <c r="Z80" s="316">
        <v>0</v>
      </c>
      <c r="AA80" s="275">
        <v>0.3</v>
      </c>
      <c r="AB80" s="277" t="s">
        <v>366</v>
      </c>
      <c r="AC80" s="277" t="s">
        <v>417</v>
      </c>
      <c r="AD80" s="276"/>
      <c r="AE80" s="277"/>
      <c r="AF80" s="277"/>
      <c r="AG80" s="276"/>
      <c r="AH80" s="277"/>
      <c r="AI80" s="277"/>
      <c r="AJ80" s="278"/>
    </row>
    <row r="81" spans="1:36" ht="56.25" hidden="1" customHeight="1" outlineLevel="1" x14ac:dyDescent="0.2">
      <c r="A81" s="637"/>
      <c r="B81" s="581"/>
      <c r="C81" s="581"/>
      <c r="D81" s="789"/>
      <c r="E81" s="679"/>
      <c r="F81" s="679"/>
      <c r="G81" s="660" t="s">
        <v>367</v>
      </c>
      <c r="H81" s="6" t="s">
        <v>368</v>
      </c>
      <c r="I81" s="661"/>
      <c r="J81" s="262" t="s">
        <v>369</v>
      </c>
      <c r="K81" s="262" t="s">
        <v>53</v>
      </c>
      <c r="L81" s="316">
        <v>0</v>
      </c>
      <c r="M81" s="272">
        <v>44593</v>
      </c>
      <c r="N81" s="272">
        <v>44925</v>
      </c>
      <c r="O81" s="272">
        <v>44652</v>
      </c>
      <c r="P81" s="273">
        <f t="shared" si="0"/>
        <v>0.17771084337349397</v>
      </c>
      <c r="Q81" s="273">
        <f t="shared" si="1"/>
        <v>0.17771084337349397</v>
      </c>
      <c r="R81" s="274">
        <v>1</v>
      </c>
      <c r="S81" s="275">
        <v>0.25</v>
      </c>
      <c r="T81" s="275">
        <v>0.5</v>
      </c>
      <c r="U81" s="275">
        <v>0.75</v>
      </c>
      <c r="V81" s="275">
        <v>1</v>
      </c>
      <c r="W81" s="275">
        <v>0</v>
      </c>
      <c r="X81" s="275" t="s">
        <v>370</v>
      </c>
      <c r="Y81" s="341" t="s">
        <v>53</v>
      </c>
      <c r="Z81" s="316">
        <v>0</v>
      </c>
      <c r="AA81" s="275">
        <v>0</v>
      </c>
      <c r="AB81" s="275" t="s">
        <v>370</v>
      </c>
      <c r="AC81" s="277" t="s">
        <v>53</v>
      </c>
      <c r="AD81" s="276"/>
      <c r="AE81" s="277"/>
      <c r="AF81" s="277"/>
      <c r="AG81" s="276"/>
      <c r="AH81" s="277"/>
      <c r="AI81" s="277"/>
      <c r="AJ81" s="278"/>
    </row>
    <row r="82" spans="1:36" ht="56.25" hidden="1" customHeight="1" outlineLevel="1" x14ac:dyDescent="0.2">
      <c r="A82" s="637"/>
      <c r="B82" s="581"/>
      <c r="C82" s="581"/>
      <c r="D82" s="789"/>
      <c r="E82" s="679"/>
      <c r="F82" s="679"/>
      <c r="G82" s="662"/>
      <c r="H82" s="6" t="s">
        <v>371</v>
      </c>
      <c r="I82" s="661"/>
      <c r="J82" s="262" t="s">
        <v>372</v>
      </c>
      <c r="K82" s="262" t="s">
        <v>53</v>
      </c>
      <c r="L82" s="316">
        <v>0</v>
      </c>
      <c r="M82" s="272">
        <v>44593</v>
      </c>
      <c r="N82" s="272">
        <v>44925</v>
      </c>
      <c r="O82" s="272">
        <v>44652</v>
      </c>
      <c r="P82" s="273">
        <f t="shared" si="0"/>
        <v>0.17771084337349397</v>
      </c>
      <c r="Q82" s="273">
        <f t="shared" si="1"/>
        <v>0.17771084337349397</v>
      </c>
      <c r="R82" s="274">
        <v>1</v>
      </c>
      <c r="S82" s="275">
        <v>0.25</v>
      </c>
      <c r="T82" s="275">
        <v>0.5</v>
      </c>
      <c r="U82" s="275">
        <v>0.75</v>
      </c>
      <c r="V82" s="275">
        <v>1</v>
      </c>
      <c r="W82" s="275">
        <v>0</v>
      </c>
      <c r="X82" s="275" t="s">
        <v>370</v>
      </c>
      <c r="Y82" s="341" t="s">
        <v>53</v>
      </c>
      <c r="Z82" s="316">
        <v>0</v>
      </c>
      <c r="AA82" s="275">
        <v>0</v>
      </c>
      <c r="AB82" s="275" t="s">
        <v>370</v>
      </c>
      <c r="AC82" s="277" t="s">
        <v>53</v>
      </c>
      <c r="AD82" s="276"/>
      <c r="AE82" s="277"/>
      <c r="AF82" s="277"/>
      <c r="AG82" s="276"/>
      <c r="AH82" s="277"/>
      <c r="AI82" s="277"/>
      <c r="AJ82" s="278"/>
    </row>
    <row r="83" spans="1:36" ht="96" hidden="1" customHeight="1" outlineLevel="1" x14ac:dyDescent="0.2">
      <c r="A83" s="637"/>
      <c r="B83" s="581"/>
      <c r="C83" s="581"/>
      <c r="D83" s="789"/>
      <c r="E83" s="679"/>
      <c r="F83" s="679"/>
      <c r="G83" s="199" t="s">
        <v>373</v>
      </c>
      <c r="H83" s="6" t="s">
        <v>374</v>
      </c>
      <c r="I83" s="661"/>
      <c r="J83" s="550" t="s">
        <v>375</v>
      </c>
      <c r="K83" s="312">
        <v>10000000</v>
      </c>
      <c r="L83" s="316">
        <v>0</v>
      </c>
      <c r="M83" s="272">
        <v>44593</v>
      </c>
      <c r="N83" s="272">
        <v>44925</v>
      </c>
      <c r="O83" s="272">
        <v>44652</v>
      </c>
      <c r="P83" s="273">
        <f t="shared" si="0"/>
        <v>0.17771084337349397</v>
      </c>
      <c r="Q83" s="273">
        <f t="shared" si="1"/>
        <v>0.17771084337349397</v>
      </c>
      <c r="R83" s="274">
        <v>1</v>
      </c>
      <c r="S83" s="275">
        <v>0.25</v>
      </c>
      <c r="T83" s="275">
        <v>0.5</v>
      </c>
      <c r="U83" s="275">
        <v>0.75</v>
      </c>
      <c r="V83" s="275">
        <v>1</v>
      </c>
      <c r="W83" s="275">
        <v>0.3</v>
      </c>
      <c r="X83" s="275" t="s">
        <v>376</v>
      </c>
      <c r="Y83" s="341" t="s">
        <v>53</v>
      </c>
      <c r="Z83" s="316">
        <v>0</v>
      </c>
      <c r="AA83" s="275">
        <v>0.6</v>
      </c>
      <c r="AB83" s="277" t="s">
        <v>2334</v>
      </c>
      <c r="AC83" s="277" t="s">
        <v>377</v>
      </c>
      <c r="AD83" s="276"/>
      <c r="AE83" s="277"/>
      <c r="AF83" s="277"/>
      <c r="AG83" s="276"/>
      <c r="AH83" s="277"/>
      <c r="AI83" s="277"/>
      <c r="AJ83" s="278"/>
    </row>
    <row r="84" spans="1:36" ht="46.5" hidden="1" customHeight="1" outlineLevel="1" x14ac:dyDescent="0.2">
      <c r="A84" s="637"/>
      <c r="B84" s="581"/>
      <c r="C84" s="581"/>
      <c r="D84" s="789"/>
      <c r="E84" s="679"/>
      <c r="F84" s="679"/>
      <c r="G84" s="199" t="s">
        <v>378</v>
      </c>
      <c r="H84" s="6" t="s">
        <v>379</v>
      </c>
      <c r="I84" s="661"/>
      <c r="J84" s="552"/>
      <c r="K84" s="312">
        <v>10000000</v>
      </c>
      <c r="L84" s="316">
        <v>0</v>
      </c>
      <c r="M84" s="272">
        <v>44593</v>
      </c>
      <c r="N84" s="272">
        <v>44925</v>
      </c>
      <c r="O84" s="272">
        <v>44652</v>
      </c>
      <c r="P84" s="273">
        <f t="shared" si="0"/>
        <v>0.17771084337349397</v>
      </c>
      <c r="Q84" s="273">
        <f t="shared" si="1"/>
        <v>0.17771084337349397</v>
      </c>
      <c r="R84" s="274">
        <v>1</v>
      </c>
      <c r="S84" s="275">
        <v>0.25</v>
      </c>
      <c r="T84" s="275">
        <v>0.5</v>
      </c>
      <c r="U84" s="275">
        <v>0.75</v>
      </c>
      <c r="V84" s="275">
        <v>1</v>
      </c>
      <c r="W84" s="275">
        <v>0</v>
      </c>
      <c r="X84" s="275" t="s">
        <v>380</v>
      </c>
      <c r="Y84" s="341" t="s">
        <v>53</v>
      </c>
      <c r="Z84" s="316">
        <v>0</v>
      </c>
      <c r="AA84" s="275">
        <v>0.3</v>
      </c>
      <c r="AB84" s="277" t="s">
        <v>381</v>
      </c>
      <c r="AC84" s="277" t="s">
        <v>53</v>
      </c>
      <c r="AD84" s="276"/>
      <c r="AE84" s="277"/>
      <c r="AF84" s="277"/>
      <c r="AG84" s="276"/>
      <c r="AH84" s="277"/>
      <c r="AI84" s="277"/>
      <c r="AJ84" s="278"/>
    </row>
    <row r="85" spans="1:36" ht="75" hidden="1" customHeight="1" outlineLevel="1" x14ac:dyDescent="0.2">
      <c r="A85" s="637"/>
      <c r="B85" s="581"/>
      <c r="C85" s="581"/>
      <c r="D85" s="789"/>
      <c r="E85" s="679"/>
      <c r="F85" s="679"/>
      <c r="G85" s="6" t="s">
        <v>382</v>
      </c>
      <c r="H85" s="6" t="s">
        <v>383</v>
      </c>
      <c r="I85" s="661"/>
      <c r="J85" s="251" t="s">
        <v>384</v>
      </c>
      <c r="K85" s="312">
        <v>22000000</v>
      </c>
      <c r="L85" s="316">
        <v>0</v>
      </c>
      <c r="M85" s="272">
        <v>44593</v>
      </c>
      <c r="N85" s="272">
        <v>44925</v>
      </c>
      <c r="O85" s="272">
        <v>44652</v>
      </c>
      <c r="P85" s="273">
        <f t="shared" si="0"/>
        <v>0.17771084337349397</v>
      </c>
      <c r="Q85" s="273">
        <f t="shared" si="1"/>
        <v>0.17771084337349397</v>
      </c>
      <c r="R85" s="274">
        <v>1</v>
      </c>
      <c r="S85" s="275">
        <v>0.25</v>
      </c>
      <c r="T85" s="275">
        <v>0.5</v>
      </c>
      <c r="U85" s="275">
        <v>0.75</v>
      </c>
      <c r="V85" s="275">
        <v>1</v>
      </c>
      <c r="W85" s="275">
        <v>0.1</v>
      </c>
      <c r="X85" s="275" t="s">
        <v>385</v>
      </c>
      <c r="Y85" s="341" t="s">
        <v>53</v>
      </c>
      <c r="Z85" s="316">
        <v>0</v>
      </c>
      <c r="AA85" s="275">
        <v>0.2</v>
      </c>
      <c r="AB85" s="277" t="s">
        <v>386</v>
      </c>
      <c r="AC85" s="277" t="s">
        <v>387</v>
      </c>
      <c r="AD85" s="276"/>
      <c r="AE85" s="277"/>
      <c r="AF85" s="277"/>
      <c r="AG85" s="276"/>
      <c r="AH85" s="277"/>
      <c r="AI85" s="277"/>
      <c r="AJ85" s="278"/>
    </row>
    <row r="86" spans="1:36" ht="75" hidden="1" customHeight="1" outlineLevel="1" x14ac:dyDescent="0.2">
      <c r="A86" s="637"/>
      <c r="B86" s="581"/>
      <c r="C86" s="581"/>
      <c r="D86" s="789"/>
      <c r="E86" s="679"/>
      <c r="F86" s="679"/>
      <c r="G86" s="6" t="s">
        <v>388</v>
      </c>
      <c r="H86" s="7" t="s">
        <v>389</v>
      </c>
      <c r="I86" s="661"/>
      <c r="J86" s="404" t="s">
        <v>390</v>
      </c>
      <c r="K86" s="312">
        <v>10000000</v>
      </c>
      <c r="L86" s="316">
        <v>0</v>
      </c>
      <c r="M86" s="272">
        <v>44593</v>
      </c>
      <c r="N86" s="272">
        <v>44925</v>
      </c>
      <c r="O86" s="272">
        <v>44652</v>
      </c>
      <c r="P86" s="273">
        <f t="shared" si="0"/>
        <v>0.17771084337349397</v>
      </c>
      <c r="Q86" s="273">
        <f t="shared" si="1"/>
        <v>0.17771084337349397</v>
      </c>
      <c r="R86" s="274">
        <v>1</v>
      </c>
      <c r="S86" s="275">
        <v>0.25</v>
      </c>
      <c r="T86" s="275">
        <v>0.5</v>
      </c>
      <c r="U86" s="275">
        <v>0.75</v>
      </c>
      <c r="V86" s="275">
        <v>1</v>
      </c>
      <c r="W86" s="275">
        <v>0</v>
      </c>
      <c r="X86" s="275" t="s">
        <v>391</v>
      </c>
      <c r="Y86" s="341" t="s">
        <v>53</v>
      </c>
      <c r="Z86" s="316">
        <v>0</v>
      </c>
      <c r="AA86" s="275">
        <v>0</v>
      </c>
      <c r="AB86" s="277" t="s">
        <v>317</v>
      </c>
      <c r="AC86" s="277" t="s">
        <v>53</v>
      </c>
      <c r="AD86" s="276"/>
      <c r="AE86" s="277"/>
      <c r="AF86" s="277"/>
      <c r="AG86" s="276"/>
      <c r="AH86" s="277"/>
      <c r="AI86" s="277"/>
      <c r="AJ86" s="278"/>
    </row>
    <row r="87" spans="1:36" ht="56.25" hidden="1" customHeight="1" outlineLevel="1" x14ac:dyDescent="0.2">
      <c r="A87" s="637"/>
      <c r="B87" s="581"/>
      <c r="C87" s="581"/>
      <c r="D87" s="789"/>
      <c r="E87" s="679"/>
      <c r="F87" s="679"/>
      <c r="G87" s="6" t="s">
        <v>392</v>
      </c>
      <c r="H87" s="6" t="s">
        <v>393</v>
      </c>
      <c r="I87" s="661"/>
      <c r="J87" s="404" t="s">
        <v>394</v>
      </c>
      <c r="K87" s="262" t="s">
        <v>53</v>
      </c>
      <c r="L87" s="316">
        <v>0</v>
      </c>
      <c r="M87" s="272">
        <v>44593</v>
      </c>
      <c r="N87" s="272">
        <v>44925</v>
      </c>
      <c r="O87" s="272">
        <v>44652</v>
      </c>
      <c r="P87" s="273">
        <f t="shared" si="0"/>
        <v>0.17771084337349397</v>
      </c>
      <c r="Q87" s="273">
        <f t="shared" si="1"/>
        <v>0.17771084337349397</v>
      </c>
      <c r="R87" s="274">
        <v>1</v>
      </c>
      <c r="S87" s="275">
        <v>0.25</v>
      </c>
      <c r="T87" s="275">
        <v>0.5</v>
      </c>
      <c r="U87" s="275">
        <v>0.75</v>
      </c>
      <c r="V87" s="275">
        <v>1</v>
      </c>
      <c r="W87" s="275">
        <v>0</v>
      </c>
      <c r="X87" s="275" t="s">
        <v>391</v>
      </c>
      <c r="Y87" s="341" t="s">
        <v>53</v>
      </c>
      <c r="Z87" s="316">
        <v>0</v>
      </c>
      <c r="AA87" s="275">
        <v>0</v>
      </c>
      <c r="AB87" s="277" t="s">
        <v>317</v>
      </c>
      <c r="AC87" s="277" t="s">
        <v>53</v>
      </c>
      <c r="AD87" s="276"/>
      <c r="AE87" s="277"/>
      <c r="AF87" s="277"/>
      <c r="AG87" s="276"/>
      <c r="AH87" s="277"/>
      <c r="AI87" s="277"/>
      <c r="AJ87" s="278"/>
    </row>
    <row r="88" spans="1:36" ht="56.25" hidden="1" customHeight="1" outlineLevel="1" x14ac:dyDescent="0.2">
      <c r="A88" s="637"/>
      <c r="B88" s="581"/>
      <c r="C88" s="581"/>
      <c r="D88" s="789"/>
      <c r="E88" s="680"/>
      <c r="F88" s="680"/>
      <c r="G88" s="6" t="s">
        <v>395</v>
      </c>
      <c r="H88" s="6" t="s">
        <v>396</v>
      </c>
      <c r="I88" s="662"/>
      <c r="J88" s="404" t="s">
        <v>397</v>
      </c>
      <c r="K88" s="312">
        <v>12000000</v>
      </c>
      <c r="L88" s="316">
        <v>0</v>
      </c>
      <c r="M88" s="272">
        <v>44593</v>
      </c>
      <c r="N88" s="272">
        <v>44925</v>
      </c>
      <c r="O88" s="272">
        <v>44652</v>
      </c>
      <c r="P88" s="273">
        <f t="shared" si="0"/>
        <v>0.17771084337349397</v>
      </c>
      <c r="Q88" s="273">
        <f t="shared" si="1"/>
        <v>0.17771084337349397</v>
      </c>
      <c r="R88" s="274">
        <v>1</v>
      </c>
      <c r="S88" s="275">
        <v>0.25</v>
      </c>
      <c r="T88" s="275">
        <v>0.5</v>
      </c>
      <c r="U88" s="275">
        <v>0.75</v>
      </c>
      <c r="V88" s="275">
        <v>1</v>
      </c>
      <c r="W88" s="275">
        <v>0</v>
      </c>
      <c r="X88" s="275" t="s">
        <v>391</v>
      </c>
      <c r="Y88" s="341" t="s">
        <v>53</v>
      </c>
      <c r="Z88" s="316">
        <v>0</v>
      </c>
      <c r="AA88" s="275">
        <v>0</v>
      </c>
      <c r="AB88" s="277" t="s">
        <v>317</v>
      </c>
      <c r="AC88" s="277" t="s">
        <v>53</v>
      </c>
      <c r="AD88" s="276"/>
      <c r="AE88" s="277"/>
      <c r="AF88" s="277"/>
      <c r="AG88" s="276"/>
      <c r="AH88" s="277"/>
      <c r="AI88" s="277"/>
      <c r="AJ88" s="278"/>
    </row>
    <row r="89" spans="1:36" ht="56.25" hidden="1" customHeight="1" outlineLevel="1" x14ac:dyDescent="0.2">
      <c r="A89" s="637"/>
      <c r="B89" s="581"/>
      <c r="C89" s="581"/>
      <c r="D89" s="789"/>
      <c r="E89" s="678" t="s">
        <v>398</v>
      </c>
      <c r="F89" s="678" t="s">
        <v>399</v>
      </c>
      <c r="G89" s="199" t="s">
        <v>400</v>
      </c>
      <c r="H89" s="6" t="s">
        <v>401</v>
      </c>
      <c r="I89" s="660" t="s">
        <v>402</v>
      </c>
      <c r="J89" s="251" t="s">
        <v>384</v>
      </c>
      <c r="K89" s="262" t="s">
        <v>53</v>
      </c>
      <c r="L89" s="316">
        <v>0</v>
      </c>
      <c r="M89" s="272">
        <v>44593</v>
      </c>
      <c r="N89" s="272">
        <v>44925</v>
      </c>
      <c r="O89" s="272">
        <v>44652</v>
      </c>
      <c r="P89" s="273">
        <f t="shared" si="0"/>
        <v>0.17771084337349397</v>
      </c>
      <c r="Q89" s="273">
        <f t="shared" si="1"/>
        <v>0.17771084337349397</v>
      </c>
      <c r="R89" s="274">
        <v>0.9</v>
      </c>
      <c r="S89" s="275">
        <v>0.86</v>
      </c>
      <c r="T89" s="275">
        <v>0.87</v>
      </c>
      <c r="U89" s="275">
        <v>0.88</v>
      </c>
      <c r="V89" s="275">
        <v>0.9</v>
      </c>
      <c r="W89" s="275">
        <v>0.1</v>
      </c>
      <c r="X89" s="275" t="s">
        <v>403</v>
      </c>
      <c r="Y89" s="341" t="s">
        <v>53</v>
      </c>
      <c r="Z89" s="477" t="s">
        <v>404</v>
      </c>
      <c r="AA89" s="275">
        <v>0</v>
      </c>
      <c r="AB89" s="277" t="s">
        <v>2335</v>
      </c>
      <c r="AC89" s="277" t="s">
        <v>53</v>
      </c>
      <c r="AD89" s="276"/>
      <c r="AE89" s="277"/>
      <c r="AF89" s="277"/>
      <c r="AG89" s="276"/>
      <c r="AH89" s="277"/>
      <c r="AI89" s="277"/>
      <c r="AJ89" s="278"/>
    </row>
    <row r="90" spans="1:36" ht="75" hidden="1" customHeight="1" outlineLevel="1" x14ac:dyDescent="0.2">
      <c r="A90" s="637"/>
      <c r="B90" s="581"/>
      <c r="C90" s="581"/>
      <c r="D90" s="789"/>
      <c r="E90" s="679"/>
      <c r="F90" s="679"/>
      <c r="G90" s="199" t="s">
        <v>405</v>
      </c>
      <c r="H90" s="6" t="s">
        <v>406</v>
      </c>
      <c r="I90" s="661"/>
      <c r="J90" s="251" t="s">
        <v>407</v>
      </c>
      <c r="K90" s="312">
        <f>(6*1670000)+2340000+930000+2820021</f>
        <v>16110021</v>
      </c>
      <c r="L90" s="316">
        <v>0</v>
      </c>
      <c r="M90" s="272">
        <v>44593</v>
      </c>
      <c r="N90" s="272">
        <v>44925</v>
      </c>
      <c r="O90" s="272">
        <v>44652</v>
      </c>
      <c r="P90" s="273">
        <f t="shared" si="0"/>
        <v>0.17771084337349397</v>
      </c>
      <c r="Q90" s="273">
        <f t="shared" si="1"/>
        <v>0.17771084337349397</v>
      </c>
      <c r="R90" s="274">
        <v>1</v>
      </c>
      <c r="S90" s="275">
        <v>0.25</v>
      </c>
      <c r="T90" s="275">
        <v>0.5</v>
      </c>
      <c r="U90" s="275">
        <v>0.75</v>
      </c>
      <c r="V90" s="275">
        <v>1</v>
      </c>
      <c r="W90" s="275">
        <v>0</v>
      </c>
      <c r="X90" s="275" t="s">
        <v>408</v>
      </c>
      <c r="Y90" s="341" t="s">
        <v>53</v>
      </c>
      <c r="Z90" s="477" t="s">
        <v>404</v>
      </c>
      <c r="AA90" s="275">
        <v>0</v>
      </c>
      <c r="AB90" s="277" t="s">
        <v>2335</v>
      </c>
      <c r="AC90" s="277" t="s">
        <v>53</v>
      </c>
      <c r="AD90" s="276"/>
      <c r="AE90" s="277"/>
      <c r="AF90" s="277"/>
      <c r="AG90" s="276"/>
      <c r="AH90" s="277"/>
      <c r="AI90" s="277"/>
      <c r="AJ90" s="278"/>
    </row>
    <row r="91" spans="1:36" ht="46.5" hidden="1" customHeight="1" outlineLevel="1" x14ac:dyDescent="0.2">
      <c r="A91" s="637"/>
      <c r="B91" s="581"/>
      <c r="C91" s="581"/>
      <c r="D91" s="789"/>
      <c r="E91" s="679"/>
      <c r="F91" s="679"/>
      <c r="G91" s="199" t="s">
        <v>409</v>
      </c>
      <c r="H91" s="7" t="s">
        <v>410</v>
      </c>
      <c r="I91" s="661"/>
      <c r="J91" s="251" t="s">
        <v>411</v>
      </c>
      <c r="K91" s="262" t="s">
        <v>53</v>
      </c>
      <c r="L91" s="316">
        <v>0</v>
      </c>
      <c r="M91" s="272">
        <v>44593</v>
      </c>
      <c r="N91" s="272">
        <v>44925</v>
      </c>
      <c r="O91" s="272">
        <v>44652</v>
      </c>
      <c r="P91" s="273">
        <f t="shared" si="0"/>
        <v>0.17771084337349397</v>
      </c>
      <c r="Q91" s="273">
        <f t="shared" si="1"/>
        <v>0.17771084337349397</v>
      </c>
      <c r="R91" s="274">
        <v>1</v>
      </c>
      <c r="S91" s="275">
        <v>0.25</v>
      </c>
      <c r="T91" s="275">
        <v>0.5</v>
      </c>
      <c r="U91" s="275">
        <v>0.75</v>
      </c>
      <c r="V91" s="275">
        <v>1</v>
      </c>
      <c r="W91" s="275">
        <v>0</v>
      </c>
      <c r="X91" s="275" t="s">
        <v>412</v>
      </c>
      <c r="Y91" s="341" t="s">
        <v>53</v>
      </c>
      <c r="Z91" s="316">
        <v>0</v>
      </c>
      <c r="AA91" s="275">
        <v>0</v>
      </c>
      <c r="AB91" s="275" t="s">
        <v>412</v>
      </c>
      <c r="AC91" s="277" t="s">
        <v>53</v>
      </c>
      <c r="AD91" s="276"/>
      <c r="AE91" s="277"/>
      <c r="AF91" s="277"/>
      <c r="AG91" s="276"/>
      <c r="AH91" s="277"/>
      <c r="AI91" s="277"/>
      <c r="AJ91" s="278"/>
    </row>
    <row r="92" spans="1:36" ht="56.25" hidden="1" customHeight="1" outlineLevel="1" x14ac:dyDescent="0.2">
      <c r="A92" s="637"/>
      <c r="B92" s="581"/>
      <c r="C92" s="581"/>
      <c r="D92" s="789"/>
      <c r="E92" s="679"/>
      <c r="F92" s="679"/>
      <c r="G92" s="6" t="s">
        <v>413</v>
      </c>
      <c r="H92" s="6" t="s">
        <v>414</v>
      </c>
      <c r="I92" s="661"/>
      <c r="J92" s="251" t="s">
        <v>415</v>
      </c>
      <c r="K92" s="314">
        <v>3164368</v>
      </c>
      <c r="L92" s="316">
        <v>0</v>
      </c>
      <c r="M92" s="272">
        <v>44593</v>
      </c>
      <c r="N92" s="272">
        <v>44925</v>
      </c>
      <c r="O92" s="272">
        <v>44652</v>
      </c>
      <c r="P92" s="273">
        <f t="shared" si="0"/>
        <v>0.17771084337349397</v>
      </c>
      <c r="Q92" s="273">
        <f t="shared" si="1"/>
        <v>0.17771084337349397</v>
      </c>
      <c r="R92" s="274">
        <v>1</v>
      </c>
      <c r="S92" s="275">
        <v>0.25</v>
      </c>
      <c r="T92" s="275">
        <v>0.5</v>
      </c>
      <c r="U92" s="275">
        <v>0.75</v>
      </c>
      <c r="V92" s="275">
        <v>1</v>
      </c>
      <c r="W92" s="275">
        <v>0.9</v>
      </c>
      <c r="X92" s="275" t="s">
        <v>416</v>
      </c>
      <c r="Y92" s="341" t="s">
        <v>417</v>
      </c>
      <c r="Z92" s="316">
        <v>0</v>
      </c>
      <c r="AA92" s="275">
        <v>1</v>
      </c>
      <c r="AB92" s="277" t="s">
        <v>418</v>
      </c>
      <c r="AC92" s="277" t="s">
        <v>949</v>
      </c>
      <c r="AD92" s="276"/>
      <c r="AE92" s="277"/>
      <c r="AF92" s="277"/>
      <c r="AG92" s="276"/>
      <c r="AH92" s="277"/>
      <c r="AI92" s="277"/>
      <c r="AJ92" s="278"/>
    </row>
    <row r="93" spans="1:36" ht="75" hidden="1" customHeight="1" outlineLevel="1" x14ac:dyDescent="0.2">
      <c r="A93" s="637"/>
      <c r="B93" s="581"/>
      <c r="C93" s="581"/>
      <c r="D93" s="789"/>
      <c r="E93" s="679"/>
      <c r="F93" s="679"/>
      <c r="G93" s="6" t="s">
        <v>419</v>
      </c>
      <c r="H93" s="7" t="s">
        <v>420</v>
      </c>
      <c r="I93" s="661"/>
      <c r="J93" s="251" t="s">
        <v>421</v>
      </c>
      <c r="K93" s="314">
        <v>15000000</v>
      </c>
      <c r="L93" s="316">
        <v>0</v>
      </c>
      <c r="M93" s="272">
        <v>44593</v>
      </c>
      <c r="N93" s="272">
        <v>44925</v>
      </c>
      <c r="O93" s="272">
        <v>44652</v>
      </c>
      <c r="P93" s="273">
        <f t="shared" si="0"/>
        <v>0.17771084337349397</v>
      </c>
      <c r="Q93" s="273">
        <f t="shared" si="1"/>
        <v>0.17771084337349397</v>
      </c>
      <c r="R93" s="274">
        <v>1</v>
      </c>
      <c r="S93" s="275">
        <v>0.25</v>
      </c>
      <c r="T93" s="275">
        <v>0.5</v>
      </c>
      <c r="U93" s="275">
        <v>0.75</v>
      </c>
      <c r="V93" s="275">
        <v>1</v>
      </c>
      <c r="W93" s="275">
        <v>0</v>
      </c>
      <c r="X93" s="275" t="s">
        <v>422</v>
      </c>
      <c r="Y93" s="341" t="s">
        <v>53</v>
      </c>
      <c r="Z93" s="316">
        <v>0</v>
      </c>
      <c r="AA93" s="275">
        <v>0.35</v>
      </c>
      <c r="AB93" s="277" t="s">
        <v>423</v>
      </c>
      <c r="AC93" s="277" t="s">
        <v>424</v>
      </c>
      <c r="AD93" s="276"/>
      <c r="AE93" s="277"/>
      <c r="AF93" s="277"/>
      <c r="AG93" s="276"/>
      <c r="AH93" s="277"/>
      <c r="AI93" s="277"/>
      <c r="AJ93" s="278"/>
    </row>
    <row r="94" spans="1:36" ht="98.25" hidden="1" customHeight="1" outlineLevel="1" x14ac:dyDescent="0.2">
      <c r="A94" s="637"/>
      <c r="B94" s="581"/>
      <c r="C94" s="581"/>
      <c r="D94" s="789"/>
      <c r="E94" s="679"/>
      <c r="F94" s="679"/>
      <c r="G94" s="199" t="s">
        <v>425</v>
      </c>
      <c r="H94" s="7" t="s">
        <v>426</v>
      </c>
      <c r="I94" s="661"/>
      <c r="J94" s="251" t="s">
        <v>415</v>
      </c>
      <c r="K94" s="262" t="s">
        <v>53</v>
      </c>
      <c r="L94" s="316">
        <v>0</v>
      </c>
      <c r="M94" s="272">
        <v>44593</v>
      </c>
      <c r="N94" s="272">
        <v>44925</v>
      </c>
      <c r="O94" s="272">
        <v>44652</v>
      </c>
      <c r="P94" s="273">
        <f t="shared" si="0"/>
        <v>0.17771084337349397</v>
      </c>
      <c r="Q94" s="273">
        <f t="shared" si="1"/>
        <v>0.17771084337349397</v>
      </c>
      <c r="R94" s="274">
        <v>1</v>
      </c>
      <c r="S94" s="275">
        <v>0.25</v>
      </c>
      <c r="T94" s="275">
        <v>0.5</v>
      </c>
      <c r="U94" s="275">
        <v>0.75</v>
      </c>
      <c r="V94" s="275">
        <v>1</v>
      </c>
      <c r="W94" s="275">
        <v>0.4</v>
      </c>
      <c r="X94" s="275" t="s">
        <v>427</v>
      </c>
      <c r="Y94" s="341" t="s">
        <v>428</v>
      </c>
      <c r="Z94" s="316">
        <v>0</v>
      </c>
      <c r="AA94" s="275">
        <v>0.4</v>
      </c>
      <c r="AB94" s="277" t="s">
        <v>429</v>
      </c>
      <c r="AC94" s="277" t="s">
        <v>53</v>
      </c>
      <c r="AD94" s="276"/>
      <c r="AE94" s="277"/>
      <c r="AF94" s="277"/>
      <c r="AG94" s="276"/>
      <c r="AH94" s="277"/>
      <c r="AI94" s="277"/>
      <c r="AJ94" s="278"/>
    </row>
    <row r="95" spans="1:36" ht="93.75" hidden="1" customHeight="1" outlineLevel="1" x14ac:dyDescent="0.2">
      <c r="A95" s="637"/>
      <c r="B95" s="581"/>
      <c r="C95" s="581"/>
      <c r="D95" s="789"/>
      <c r="E95" s="679"/>
      <c r="F95" s="679"/>
      <c r="G95" s="199" t="s">
        <v>430</v>
      </c>
      <c r="H95" s="7" t="s">
        <v>431</v>
      </c>
      <c r="I95" s="661"/>
      <c r="J95" s="280" t="s">
        <v>432</v>
      </c>
      <c r="K95" s="314">
        <v>6000000</v>
      </c>
      <c r="L95" s="316">
        <v>0</v>
      </c>
      <c r="M95" s="272">
        <v>44593</v>
      </c>
      <c r="N95" s="272">
        <v>44925</v>
      </c>
      <c r="O95" s="272">
        <v>44652</v>
      </c>
      <c r="P95" s="273">
        <f t="shared" si="0"/>
        <v>0.17771084337349397</v>
      </c>
      <c r="Q95" s="273">
        <f t="shared" si="1"/>
        <v>0.17771084337349397</v>
      </c>
      <c r="R95" s="274">
        <v>1</v>
      </c>
      <c r="S95" s="275">
        <v>0.25</v>
      </c>
      <c r="T95" s="275">
        <v>0.5</v>
      </c>
      <c r="U95" s="275">
        <v>0.75</v>
      </c>
      <c r="V95" s="275">
        <v>1</v>
      </c>
      <c r="W95" s="275">
        <v>0.8</v>
      </c>
      <c r="X95" s="275" t="s">
        <v>433</v>
      </c>
      <c r="Y95" s="341" t="s">
        <v>53</v>
      </c>
      <c r="Z95" s="316">
        <v>0</v>
      </c>
      <c r="AA95" s="275">
        <v>1</v>
      </c>
      <c r="AB95" s="277" t="s">
        <v>434</v>
      </c>
      <c r="AC95" s="277" t="s">
        <v>2202</v>
      </c>
      <c r="AD95" s="276"/>
      <c r="AE95" s="277"/>
      <c r="AF95" s="277"/>
      <c r="AG95" s="276"/>
      <c r="AH95" s="277"/>
      <c r="AI95" s="277"/>
      <c r="AJ95" s="278"/>
    </row>
    <row r="96" spans="1:36" ht="86.25" hidden="1" customHeight="1" outlineLevel="1" x14ac:dyDescent="0.2">
      <c r="A96" s="637"/>
      <c r="B96" s="581"/>
      <c r="C96" s="581"/>
      <c r="D96" s="789"/>
      <c r="E96" s="679"/>
      <c r="F96" s="680"/>
      <c r="G96" s="199" t="s">
        <v>409</v>
      </c>
      <c r="H96" s="7" t="s">
        <v>435</v>
      </c>
      <c r="I96" s="662"/>
      <c r="J96" s="251" t="s">
        <v>436</v>
      </c>
      <c r="K96" s="262" t="s">
        <v>53</v>
      </c>
      <c r="L96" s="316">
        <v>0</v>
      </c>
      <c r="M96" s="272">
        <v>44593</v>
      </c>
      <c r="N96" s="272">
        <v>44925</v>
      </c>
      <c r="O96" s="272">
        <v>44652</v>
      </c>
      <c r="P96" s="273">
        <f t="shared" si="0"/>
        <v>0.17771084337349397</v>
      </c>
      <c r="Q96" s="273">
        <f t="shared" si="1"/>
        <v>0.17771084337349397</v>
      </c>
      <c r="R96" s="274">
        <v>1</v>
      </c>
      <c r="S96" s="275">
        <v>0.25</v>
      </c>
      <c r="T96" s="275">
        <v>0.5</v>
      </c>
      <c r="U96" s="275">
        <v>0.75</v>
      </c>
      <c r="V96" s="275">
        <v>1</v>
      </c>
      <c r="W96" s="275">
        <v>0</v>
      </c>
      <c r="X96" s="275" t="s">
        <v>437</v>
      </c>
      <c r="Y96" s="341" t="s">
        <v>53</v>
      </c>
      <c r="Z96" s="316">
        <v>0</v>
      </c>
      <c r="AA96" s="275">
        <v>0.5</v>
      </c>
      <c r="AB96" s="277" t="s">
        <v>438</v>
      </c>
      <c r="AC96" s="277" t="s">
        <v>2203</v>
      </c>
      <c r="AD96" s="276"/>
      <c r="AE96" s="277"/>
      <c r="AF96" s="277"/>
      <c r="AG96" s="276"/>
      <c r="AH96" s="277"/>
      <c r="AI96" s="277"/>
      <c r="AJ96" s="278"/>
    </row>
    <row r="97" spans="1:36" ht="75" hidden="1" customHeight="1" outlineLevel="1" x14ac:dyDescent="0.2">
      <c r="A97" s="637"/>
      <c r="B97" s="581"/>
      <c r="C97" s="581"/>
      <c r="D97" s="789"/>
      <c r="E97" s="679"/>
      <c r="F97" s="678" t="s">
        <v>439</v>
      </c>
      <c r="G97" s="6" t="s">
        <v>440</v>
      </c>
      <c r="H97" s="7" t="s">
        <v>441</v>
      </c>
      <c r="I97" s="660" t="s">
        <v>442</v>
      </c>
      <c r="J97" s="251" t="s">
        <v>384</v>
      </c>
      <c r="K97" s="262" t="s">
        <v>53</v>
      </c>
      <c r="L97" s="316">
        <v>0</v>
      </c>
      <c r="M97" s="272">
        <v>44593</v>
      </c>
      <c r="N97" s="272">
        <v>44925</v>
      </c>
      <c r="O97" s="272">
        <v>44652</v>
      </c>
      <c r="P97" s="273">
        <f t="shared" si="0"/>
        <v>0.17771084337349397</v>
      </c>
      <c r="Q97" s="273">
        <f t="shared" si="1"/>
        <v>0.17771084337349397</v>
      </c>
      <c r="R97" s="274">
        <v>0.05</v>
      </c>
      <c r="S97" s="275">
        <v>0.03</v>
      </c>
      <c r="T97" s="275" t="s">
        <v>443</v>
      </c>
      <c r="U97" s="275">
        <v>0.04</v>
      </c>
      <c r="V97" s="275">
        <v>0.05</v>
      </c>
      <c r="W97" s="275">
        <v>0.05</v>
      </c>
      <c r="X97" s="275" t="s">
        <v>444</v>
      </c>
      <c r="Y97" s="341" t="s">
        <v>445</v>
      </c>
      <c r="Z97" s="477" t="s">
        <v>446</v>
      </c>
      <c r="AA97" s="275">
        <v>0.05</v>
      </c>
      <c r="AB97" s="277" t="s">
        <v>447</v>
      </c>
      <c r="AC97" s="277" t="s">
        <v>53</v>
      </c>
      <c r="AD97" s="276"/>
      <c r="AE97" s="277"/>
      <c r="AF97" s="277"/>
      <c r="AG97" s="276"/>
      <c r="AH97" s="277"/>
      <c r="AI97" s="277"/>
      <c r="AJ97" s="278"/>
    </row>
    <row r="98" spans="1:36" ht="112.5" hidden="1" customHeight="1" outlineLevel="1" x14ac:dyDescent="0.2">
      <c r="A98" s="637"/>
      <c r="B98" s="581"/>
      <c r="C98" s="581"/>
      <c r="D98" s="789"/>
      <c r="E98" s="679"/>
      <c r="F98" s="679"/>
      <c r="G98" s="6" t="s">
        <v>448</v>
      </c>
      <c r="H98" s="7" t="s">
        <v>449</v>
      </c>
      <c r="I98" s="661"/>
      <c r="J98" s="251" t="s">
        <v>421</v>
      </c>
      <c r="K98" s="314">
        <v>30000000</v>
      </c>
      <c r="L98" s="316">
        <v>0</v>
      </c>
      <c r="M98" s="272">
        <v>44593</v>
      </c>
      <c r="N98" s="272">
        <v>44925</v>
      </c>
      <c r="O98" s="272">
        <v>44652</v>
      </c>
      <c r="P98" s="273">
        <f t="shared" si="0"/>
        <v>0.17771084337349397</v>
      </c>
      <c r="Q98" s="273">
        <f t="shared" si="1"/>
        <v>0.17771084337349397</v>
      </c>
      <c r="R98" s="274">
        <v>1</v>
      </c>
      <c r="S98" s="275">
        <v>0.25</v>
      </c>
      <c r="T98" s="275">
        <v>0.5</v>
      </c>
      <c r="U98" s="275">
        <v>0.75</v>
      </c>
      <c r="V98" s="275">
        <v>1</v>
      </c>
      <c r="W98" s="275">
        <v>0.2</v>
      </c>
      <c r="X98" s="275" t="s">
        <v>450</v>
      </c>
      <c r="Y98" s="262" t="s">
        <v>53</v>
      </c>
      <c r="Z98" s="316">
        <v>0</v>
      </c>
      <c r="AA98" s="275">
        <v>0.3</v>
      </c>
      <c r="AB98" s="277" t="s">
        <v>451</v>
      </c>
      <c r="AC98" s="277" t="s">
        <v>53</v>
      </c>
      <c r="AD98" s="276"/>
      <c r="AE98" s="277"/>
      <c r="AF98" s="277"/>
      <c r="AG98" s="276"/>
      <c r="AH98" s="277"/>
      <c r="AI98" s="277"/>
      <c r="AJ98" s="278"/>
    </row>
    <row r="99" spans="1:36" ht="74.25" hidden="1" customHeight="1" outlineLevel="1" x14ac:dyDescent="0.2">
      <c r="A99" s="759"/>
      <c r="B99" s="581"/>
      <c r="C99" s="581"/>
      <c r="D99" s="789"/>
      <c r="E99" s="679"/>
      <c r="F99" s="680"/>
      <c r="G99" s="425" t="s">
        <v>452</v>
      </c>
      <c r="H99" s="7" t="s">
        <v>453</v>
      </c>
      <c r="I99" s="662"/>
      <c r="J99" s="251" t="s">
        <v>454</v>
      </c>
      <c r="K99" s="315" t="s">
        <v>53</v>
      </c>
      <c r="L99" s="316">
        <v>0</v>
      </c>
      <c r="M99" s="272">
        <v>44593</v>
      </c>
      <c r="N99" s="272">
        <v>44925</v>
      </c>
      <c r="O99" s="272">
        <v>44652</v>
      </c>
      <c r="P99" s="273">
        <f t="shared" si="0"/>
        <v>0.17771084337349397</v>
      </c>
      <c r="Q99" s="273">
        <f t="shared" si="1"/>
        <v>0.17771084337349397</v>
      </c>
      <c r="R99" s="274">
        <v>1</v>
      </c>
      <c r="S99" s="275">
        <v>0.25</v>
      </c>
      <c r="T99" s="275">
        <v>0.5</v>
      </c>
      <c r="U99" s="275">
        <v>0.75</v>
      </c>
      <c r="V99" s="275">
        <v>1</v>
      </c>
      <c r="W99" s="275">
        <v>0.25</v>
      </c>
      <c r="X99" s="275" t="s">
        <v>455</v>
      </c>
      <c r="Y99" s="262" t="s">
        <v>53</v>
      </c>
      <c r="Z99" s="316">
        <v>0</v>
      </c>
      <c r="AA99" s="275">
        <v>0.3</v>
      </c>
      <c r="AB99" s="277" t="s">
        <v>456</v>
      </c>
      <c r="AC99" s="277" t="s">
        <v>53</v>
      </c>
      <c r="AD99" s="276"/>
      <c r="AE99" s="277"/>
      <c r="AF99" s="277"/>
      <c r="AG99" s="276"/>
      <c r="AH99" s="277"/>
      <c r="AI99" s="277"/>
      <c r="AJ99" s="278"/>
    </row>
    <row r="100" spans="1:36" ht="54" hidden="1" customHeight="1" outlineLevel="1" x14ac:dyDescent="0.2">
      <c r="A100" s="759"/>
      <c r="B100" s="547"/>
      <c r="C100" s="547"/>
      <c r="D100" s="790"/>
      <c r="E100" s="680"/>
      <c r="F100" s="308" t="s">
        <v>457</v>
      </c>
      <c r="G100" s="425" t="s">
        <v>452</v>
      </c>
      <c r="H100" s="7" t="s">
        <v>458</v>
      </c>
      <c r="I100" s="6" t="s">
        <v>459</v>
      </c>
      <c r="J100" s="251" t="s">
        <v>460</v>
      </c>
      <c r="K100" s="315" t="s">
        <v>53</v>
      </c>
      <c r="L100" s="316">
        <v>0</v>
      </c>
      <c r="M100" s="272">
        <v>44593</v>
      </c>
      <c r="N100" s="272">
        <v>44925</v>
      </c>
      <c r="O100" s="272">
        <v>44652</v>
      </c>
      <c r="P100" s="273">
        <f t="shared" si="0"/>
        <v>0.17771084337349397</v>
      </c>
      <c r="Q100" s="273">
        <f t="shared" si="1"/>
        <v>0.17771084337349397</v>
      </c>
      <c r="R100" s="274">
        <v>0.4</v>
      </c>
      <c r="S100" s="275">
        <v>0.25</v>
      </c>
      <c r="T100" s="275">
        <v>0.3</v>
      </c>
      <c r="U100" s="275">
        <v>0.35</v>
      </c>
      <c r="V100" s="275">
        <v>0.4</v>
      </c>
      <c r="W100" s="275">
        <v>0.05</v>
      </c>
      <c r="X100" s="275" t="s">
        <v>461</v>
      </c>
      <c r="Y100" s="262" t="s">
        <v>53</v>
      </c>
      <c r="Z100" s="316">
        <v>0</v>
      </c>
      <c r="AA100" s="275">
        <v>0.05</v>
      </c>
      <c r="AB100" s="277" t="s">
        <v>462</v>
      </c>
      <c r="AC100" s="277" t="s">
        <v>53</v>
      </c>
      <c r="AD100" s="276"/>
      <c r="AE100" s="277"/>
      <c r="AF100" s="277"/>
      <c r="AG100" s="276"/>
      <c r="AH100" s="277"/>
      <c r="AI100" s="277"/>
      <c r="AJ100" s="278"/>
    </row>
    <row r="101" spans="1:36" ht="306" hidden="1" customHeight="1" outlineLevel="1" x14ac:dyDescent="0.2">
      <c r="A101" s="759"/>
      <c r="B101" s="582" t="s">
        <v>40</v>
      </c>
      <c r="C101" s="582" t="s">
        <v>41</v>
      </c>
      <c r="D101" s="628" t="s">
        <v>463</v>
      </c>
      <c r="E101" s="588" t="s">
        <v>43</v>
      </c>
      <c r="F101" s="588" t="s">
        <v>464</v>
      </c>
      <c r="G101" s="594" t="s">
        <v>465</v>
      </c>
      <c r="H101" s="296" t="s">
        <v>466</v>
      </c>
      <c r="I101" s="594" t="s">
        <v>467</v>
      </c>
      <c r="J101" s="251" t="s">
        <v>468</v>
      </c>
      <c r="K101" s="262" t="s">
        <v>53</v>
      </c>
      <c r="L101" s="262"/>
      <c r="M101" s="272">
        <v>44593</v>
      </c>
      <c r="N101" s="272">
        <v>44925</v>
      </c>
      <c r="O101" s="272">
        <v>44652</v>
      </c>
      <c r="P101" s="273">
        <f t="shared" si="0"/>
        <v>0.17771084337349397</v>
      </c>
      <c r="Q101" s="273">
        <f t="shared" si="1"/>
        <v>0.17771084337349397</v>
      </c>
      <c r="R101" s="274">
        <v>7.0000000000000007E-2</v>
      </c>
      <c r="S101" s="275">
        <v>0.06</v>
      </c>
      <c r="T101" s="275">
        <v>0.06</v>
      </c>
      <c r="U101" s="275">
        <v>7.0000000000000007E-2</v>
      </c>
      <c r="V101" s="275">
        <v>7.0000000000000007E-2</v>
      </c>
      <c r="W101" s="275">
        <v>0.2</v>
      </c>
      <c r="X101" s="275" t="s">
        <v>2352</v>
      </c>
      <c r="Y101" s="341" t="s">
        <v>445</v>
      </c>
      <c r="Z101" s="316"/>
      <c r="AA101" s="275">
        <v>0.4</v>
      </c>
      <c r="AB101" s="277" t="s">
        <v>2353</v>
      </c>
      <c r="AC101" s="277"/>
      <c r="AD101" s="276"/>
      <c r="AE101" s="277"/>
      <c r="AF101" s="277"/>
      <c r="AG101" s="276"/>
      <c r="AH101" s="277"/>
      <c r="AI101" s="277"/>
      <c r="AJ101" s="278"/>
    </row>
    <row r="102" spans="1:36" ht="130.5" hidden="1" customHeight="1" outlineLevel="1" x14ac:dyDescent="0.2">
      <c r="A102" s="759"/>
      <c r="B102" s="582"/>
      <c r="C102" s="582"/>
      <c r="D102" s="629"/>
      <c r="E102" s="589"/>
      <c r="F102" s="589"/>
      <c r="G102" s="595"/>
      <c r="H102" s="296" t="s">
        <v>469</v>
      </c>
      <c r="I102" s="595"/>
      <c r="J102" s="251" t="s">
        <v>470</v>
      </c>
      <c r="K102" s="262" t="s">
        <v>53</v>
      </c>
      <c r="L102" s="262"/>
      <c r="M102" s="272">
        <v>44593</v>
      </c>
      <c r="N102" s="272">
        <v>44925</v>
      </c>
      <c r="O102" s="272">
        <v>44652</v>
      </c>
      <c r="P102" s="273">
        <f t="shared" si="0"/>
        <v>0.17771084337349397</v>
      </c>
      <c r="Q102" s="273">
        <f t="shared" si="1"/>
        <v>0.17771084337349397</v>
      </c>
      <c r="R102" s="274">
        <v>1</v>
      </c>
      <c r="S102" s="275">
        <v>0.25</v>
      </c>
      <c r="T102" s="275">
        <v>0.5</v>
      </c>
      <c r="U102" s="275">
        <v>0.75</v>
      </c>
      <c r="V102" s="275">
        <v>1</v>
      </c>
      <c r="W102" s="275">
        <v>0.25</v>
      </c>
      <c r="X102" s="275" t="s">
        <v>471</v>
      </c>
      <c r="Y102" s="341" t="s">
        <v>472</v>
      </c>
      <c r="Z102" s="316"/>
      <c r="AA102" s="275">
        <v>0.4</v>
      </c>
      <c r="AB102" s="277" t="s">
        <v>2354</v>
      </c>
      <c r="AC102" s="277"/>
      <c r="AD102" s="276"/>
      <c r="AE102" s="277"/>
      <c r="AF102" s="277"/>
      <c r="AG102" s="276"/>
      <c r="AH102" s="277"/>
      <c r="AI102" s="277"/>
      <c r="AJ102" s="278"/>
    </row>
    <row r="103" spans="1:36" ht="114" hidden="1" customHeight="1" outlineLevel="1" x14ac:dyDescent="0.2">
      <c r="A103" s="759"/>
      <c r="B103" s="582"/>
      <c r="C103" s="582"/>
      <c r="D103" s="629"/>
      <c r="E103" s="589"/>
      <c r="F103" s="589"/>
      <c r="G103" s="596"/>
      <c r="H103" s="296" t="s">
        <v>473</v>
      </c>
      <c r="I103" s="595"/>
      <c r="J103" s="251" t="s">
        <v>474</v>
      </c>
      <c r="K103" s="262" t="s">
        <v>53</v>
      </c>
      <c r="L103" s="262"/>
      <c r="M103" s="272">
        <v>44593</v>
      </c>
      <c r="N103" s="272">
        <v>44925</v>
      </c>
      <c r="O103" s="272">
        <v>44652</v>
      </c>
      <c r="P103" s="273">
        <f t="shared" si="0"/>
        <v>0.17771084337349397</v>
      </c>
      <c r="Q103" s="273">
        <f t="shared" si="1"/>
        <v>0.17771084337349397</v>
      </c>
      <c r="R103" s="274">
        <v>1</v>
      </c>
      <c r="S103" s="275">
        <v>0.25</v>
      </c>
      <c r="T103" s="275">
        <v>0.5</v>
      </c>
      <c r="U103" s="275">
        <v>0.75</v>
      </c>
      <c r="V103" s="275">
        <v>1</v>
      </c>
      <c r="W103" s="275">
        <v>0.25</v>
      </c>
      <c r="X103" s="275" t="s">
        <v>475</v>
      </c>
      <c r="Y103" s="341" t="s">
        <v>476</v>
      </c>
      <c r="Z103" s="316"/>
      <c r="AA103" s="275">
        <v>0.4</v>
      </c>
      <c r="AB103" s="277" t="s">
        <v>2355</v>
      </c>
      <c r="AC103" s="277"/>
      <c r="AD103" s="276"/>
      <c r="AE103" s="277"/>
      <c r="AF103" s="277"/>
      <c r="AG103" s="276"/>
      <c r="AH103" s="277"/>
      <c r="AI103" s="277"/>
      <c r="AJ103" s="278"/>
    </row>
    <row r="104" spans="1:36" ht="59.25" hidden="1" customHeight="1" outlineLevel="1" x14ac:dyDescent="0.2">
      <c r="A104" s="759"/>
      <c r="B104" s="582"/>
      <c r="C104" s="582"/>
      <c r="D104" s="629"/>
      <c r="E104" s="590"/>
      <c r="F104" s="590"/>
      <c r="G104" s="296" t="s">
        <v>477</v>
      </c>
      <c r="H104" s="296" t="s">
        <v>478</v>
      </c>
      <c r="I104" s="596"/>
      <c r="J104" s="251" t="s">
        <v>479</v>
      </c>
      <c r="K104" s="262" t="s">
        <v>53</v>
      </c>
      <c r="L104" s="262"/>
      <c r="M104" s="272">
        <v>44593</v>
      </c>
      <c r="N104" s="272">
        <v>44925</v>
      </c>
      <c r="O104" s="272">
        <v>44652</v>
      </c>
      <c r="P104" s="273">
        <f t="shared" si="0"/>
        <v>0.17771084337349397</v>
      </c>
      <c r="Q104" s="273">
        <f t="shared" si="1"/>
        <v>0.17771084337349397</v>
      </c>
      <c r="R104" s="274">
        <v>1</v>
      </c>
      <c r="S104" s="275">
        <v>0.25</v>
      </c>
      <c r="T104" s="275">
        <v>0.5</v>
      </c>
      <c r="U104" s="275">
        <v>0.75</v>
      </c>
      <c r="V104" s="275">
        <v>1</v>
      </c>
      <c r="W104" s="275">
        <v>0.05</v>
      </c>
      <c r="X104" s="275" t="s">
        <v>480</v>
      </c>
      <c r="Y104" s="341" t="s">
        <v>476</v>
      </c>
      <c r="Z104" s="316"/>
      <c r="AA104" s="275">
        <v>0.3</v>
      </c>
      <c r="AB104" s="275" t="s">
        <v>480</v>
      </c>
      <c r="AC104" s="277"/>
      <c r="AD104" s="276"/>
      <c r="AE104" s="277"/>
      <c r="AF104" s="277"/>
      <c r="AG104" s="276"/>
      <c r="AH104" s="277"/>
      <c r="AI104" s="277"/>
      <c r="AJ104" s="278"/>
    </row>
    <row r="105" spans="1:36" ht="59.25" hidden="1" customHeight="1" outlineLevel="1" x14ac:dyDescent="0.2">
      <c r="A105" s="759"/>
      <c r="B105" s="582"/>
      <c r="C105" s="582" t="s">
        <v>107</v>
      </c>
      <c r="D105" s="629"/>
      <c r="E105" s="772" t="s">
        <v>481</v>
      </c>
      <c r="F105" s="772" t="s">
        <v>482</v>
      </c>
      <c r="G105" s="296" t="s">
        <v>483</v>
      </c>
      <c r="H105" s="296" t="s">
        <v>484</v>
      </c>
      <c r="I105" s="594" t="s">
        <v>485</v>
      </c>
      <c r="J105" s="251" t="s">
        <v>486</v>
      </c>
      <c r="K105" s="262" t="s">
        <v>53</v>
      </c>
      <c r="L105" s="262"/>
      <c r="M105" s="272">
        <v>44593</v>
      </c>
      <c r="N105" s="272">
        <v>44925</v>
      </c>
      <c r="O105" s="272">
        <v>44652</v>
      </c>
      <c r="P105" s="273">
        <f t="shared" si="0"/>
        <v>0.17771084337349397</v>
      </c>
      <c r="Q105" s="273">
        <f t="shared" si="1"/>
        <v>0.17771084337349397</v>
      </c>
      <c r="R105" s="274">
        <v>0.5</v>
      </c>
      <c r="S105" s="275">
        <v>0.32</v>
      </c>
      <c r="T105" s="275">
        <v>0.35</v>
      </c>
      <c r="U105" s="275">
        <v>0.42</v>
      </c>
      <c r="V105" s="275">
        <v>0.5</v>
      </c>
      <c r="W105" s="275">
        <v>0.25</v>
      </c>
      <c r="X105" s="275" t="s">
        <v>2356</v>
      </c>
      <c r="Y105" s="341" t="s">
        <v>487</v>
      </c>
      <c r="Z105" s="316"/>
      <c r="AA105" s="275">
        <v>1</v>
      </c>
      <c r="AB105" s="277" t="s">
        <v>2357</v>
      </c>
      <c r="AC105" s="277"/>
      <c r="AD105" s="276"/>
      <c r="AE105" s="277"/>
      <c r="AF105" s="277"/>
      <c r="AG105" s="276"/>
      <c r="AH105" s="277"/>
      <c r="AI105" s="277"/>
      <c r="AJ105" s="278"/>
    </row>
    <row r="106" spans="1:36" ht="73.5" hidden="1" customHeight="1" outlineLevel="1" x14ac:dyDescent="0.2">
      <c r="A106" s="759"/>
      <c r="B106" s="582"/>
      <c r="C106" s="582"/>
      <c r="D106" s="629"/>
      <c r="E106" s="772"/>
      <c r="F106" s="772"/>
      <c r="G106" s="594" t="s">
        <v>251</v>
      </c>
      <c r="H106" s="296" t="s">
        <v>488</v>
      </c>
      <c r="I106" s="595"/>
      <c r="J106" s="251" t="s">
        <v>489</v>
      </c>
      <c r="K106" s="262" t="s">
        <v>53</v>
      </c>
      <c r="L106" s="262"/>
      <c r="M106" s="272">
        <v>44593</v>
      </c>
      <c r="N106" s="272">
        <v>44925</v>
      </c>
      <c r="O106" s="272">
        <v>44652</v>
      </c>
      <c r="P106" s="273">
        <f t="shared" si="0"/>
        <v>0.17771084337349397</v>
      </c>
      <c r="Q106" s="273">
        <f t="shared" si="1"/>
        <v>0.17771084337349397</v>
      </c>
      <c r="R106" s="274">
        <v>1</v>
      </c>
      <c r="S106" s="275">
        <v>0.25</v>
      </c>
      <c r="T106" s="275">
        <v>0.5</v>
      </c>
      <c r="U106" s="275">
        <v>0.75</v>
      </c>
      <c r="V106" s="275">
        <v>1</v>
      </c>
      <c r="W106" s="275">
        <v>0.25</v>
      </c>
      <c r="X106" s="275" t="s">
        <v>490</v>
      </c>
      <c r="Y106" s="341" t="s">
        <v>491</v>
      </c>
      <c r="Z106" s="316"/>
      <c r="AA106" s="275">
        <v>0.5</v>
      </c>
      <c r="AB106" s="275" t="s">
        <v>490</v>
      </c>
      <c r="AC106" s="277"/>
      <c r="AD106" s="276"/>
      <c r="AE106" s="277"/>
      <c r="AF106" s="277"/>
      <c r="AG106" s="276"/>
      <c r="AH106" s="277"/>
      <c r="AI106" s="277"/>
      <c r="AJ106" s="278"/>
    </row>
    <row r="107" spans="1:36" ht="73.5" hidden="1" customHeight="1" outlineLevel="1" x14ac:dyDescent="0.2">
      <c r="A107" s="423"/>
      <c r="B107" s="582"/>
      <c r="C107" s="582"/>
      <c r="D107" s="690"/>
      <c r="E107" s="772"/>
      <c r="F107" s="772"/>
      <c r="G107" s="596"/>
      <c r="H107" s="296" t="s">
        <v>492</v>
      </c>
      <c r="I107" s="596"/>
      <c r="J107" s="251" t="s">
        <v>493</v>
      </c>
      <c r="K107" s="262" t="s">
        <v>53</v>
      </c>
      <c r="L107" s="262"/>
      <c r="M107" s="272">
        <v>44593</v>
      </c>
      <c r="N107" s="272">
        <v>44925</v>
      </c>
      <c r="O107" s="272">
        <v>44652</v>
      </c>
      <c r="P107" s="273">
        <f t="shared" ref="P107:P158" si="4">+(+_xlfn.DAYS(M107,O107))/(+_xlfn.DAYS(M107,N107))</f>
        <v>0.17771084337349397</v>
      </c>
      <c r="Q107" s="273">
        <f t="shared" si="1"/>
        <v>0.17771084337349397</v>
      </c>
      <c r="R107" s="274">
        <v>1</v>
      </c>
      <c r="S107" s="275">
        <v>0.25</v>
      </c>
      <c r="T107" s="275">
        <v>0.5</v>
      </c>
      <c r="U107" s="275">
        <v>0.75</v>
      </c>
      <c r="V107" s="275">
        <v>1</v>
      </c>
      <c r="W107" s="275">
        <v>0.25</v>
      </c>
      <c r="X107" s="275" t="s">
        <v>494</v>
      </c>
      <c r="Y107" s="343" t="s">
        <v>495</v>
      </c>
      <c r="Z107" s="316"/>
      <c r="AA107" s="275">
        <v>0.5</v>
      </c>
      <c r="AB107" s="275" t="s">
        <v>2358</v>
      </c>
      <c r="AC107" s="277"/>
      <c r="AD107" s="276"/>
      <c r="AE107" s="277"/>
      <c r="AF107" s="277"/>
      <c r="AG107" s="276"/>
      <c r="AH107" s="277"/>
      <c r="AI107" s="277"/>
      <c r="AJ107" s="278"/>
    </row>
    <row r="108" spans="1:36" ht="96" customHeight="1" collapsed="1" thickBot="1" x14ac:dyDescent="0.25">
      <c r="A108" s="723" t="s">
        <v>39</v>
      </c>
      <c r="B108" s="724"/>
      <c r="C108" s="724"/>
      <c r="D108" s="724"/>
      <c r="E108" s="724"/>
      <c r="F108" s="724"/>
      <c r="G108" s="724"/>
      <c r="H108" s="724"/>
      <c r="I108" s="724"/>
      <c r="J108" s="724"/>
      <c r="K108" s="724"/>
      <c r="L108" s="724"/>
      <c r="M108" s="724"/>
      <c r="N108" s="725"/>
      <c r="O108" s="306">
        <v>44652</v>
      </c>
      <c r="P108" s="273" t="e">
        <f t="shared" si="4"/>
        <v>#DIV/0!</v>
      </c>
      <c r="Q108" s="380">
        <f>AVERAGE(Q8:Q107)</f>
        <v>0.17771084337349355</v>
      </c>
      <c r="R108" s="381">
        <v>1</v>
      </c>
      <c r="S108" s="610"/>
      <c r="T108" s="611"/>
      <c r="U108" s="611"/>
      <c r="V108" s="612"/>
      <c r="W108" s="381">
        <f>AVERAGE(W8:W107)</f>
        <v>0.23091836734693882</v>
      </c>
      <c r="X108" s="275"/>
      <c r="Y108" s="341"/>
      <c r="Z108" s="316"/>
      <c r="AA108" s="381">
        <f>AVERAGE(AA8:AA107)</f>
        <v>0.40369999999999978</v>
      </c>
      <c r="AB108" s="277"/>
      <c r="AC108" s="277"/>
      <c r="AD108" s="276"/>
      <c r="AE108" s="277"/>
      <c r="AF108" s="277"/>
      <c r="AG108" s="276"/>
      <c r="AH108" s="277"/>
      <c r="AI108" s="277"/>
      <c r="AJ108" s="278"/>
    </row>
    <row r="109" spans="1:36" ht="194.25" hidden="1" customHeight="1" outlineLevel="1" x14ac:dyDescent="0.2">
      <c r="A109" s="746" t="s">
        <v>496</v>
      </c>
      <c r="B109" s="676" t="s">
        <v>497</v>
      </c>
      <c r="C109" s="676" t="s">
        <v>498</v>
      </c>
      <c r="D109" s="705" t="s">
        <v>499</v>
      </c>
      <c r="E109" s="756" t="s">
        <v>500</v>
      </c>
      <c r="F109" s="756" t="s">
        <v>501</v>
      </c>
      <c r="G109" s="553" t="s">
        <v>502</v>
      </c>
      <c r="H109" s="10" t="s">
        <v>503</v>
      </c>
      <c r="I109" s="553" t="s">
        <v>504</v>
      </c>
      <c r="J109" s="12" t="s">
        <v>505</v>
      </c>
      <c r="K109" s="316">
        <v>117730000</v>
      </c>
      <c r="L109" s="316">
        <v>0</v>
      </c>
      <c r="M109" s="272">
        <v>44593</v>
      </c>
      <c r="N109" s="272">
        <v>44925</v>
      </c>
      <c r="O109" s="272">
        <v>44652</v>
      </c>
      <c r="P109" s="273">
        <f t="shared" si="4"/>
        <v>0.17771084337349397</v>
      </c>
      <c r="Q109" s="273">
        <f t="shared" si="1"/>
        <v>0.17771084337349397</v>
      </c>
      <c r="R109" s="274">
        <v>1</v>
      </c>
      <c r="S109" s="275">
        <v>0.25</v>
      </c>
      <c r="T109" s="275">
        <v>0.5</v>
      </c>
      <c r="U109" s="275">
        <v>0.75</v>
      </c>
      <c r="V109" s="275">
        <v>1</v>
      </c>
      <c r="W109" s="275">
        <v>0.25</v>
      </c>
      <c r="X109" s="275" t="s">
        <v>506</v>
      </c>
      <c r="Y109" s="341" t="s">
        <v>507</v>
      </c>
      <c r="Z109" s="316">
        <v>55000000</v>
      </c>
      <c r="AA109" s="275">
        <v>0.5</v>
      </c>
      <c r="AB109" s="275" t="s">
        <v>508</v>
      </c>
      <c r="AC109" s="277" t="s">
        <v>509</v>
      </c>
      <c r="AD109" s="276"/>
      <c r="AE109" s="277"/>
      <c r="AF109" s="277"/>
      <c r="AG109" s="276"/>
      <c r="AH109" s="277"/>
      <c r="AI109" s="277"/>
      <c r="AJ109" s="278"/>
    </row>
    <row r="110" spans="1:36" ht="206.25" hidden="1" customHeight="1" outlineLevel="1" x14ac:dyDescent="0.2">
      <c r="A110" s="747"/>
      <c r="B110" s="675"/>
      <c r="C110" s="675"/>
      <c r="D110" s="706"/>
      <c r="E110" s="757"/>
      <c r="F110" s="757"/>
      <c r="G110" s="554"/>
      <c r="H110" s="10" t="s">
        <v>510</v>
      </c>
      <c r="I110" s="554"/>
      <c r="J110" s="12" t="s">
        <v>505</v>
      </c>
      <c r="K110" s="262" t="s">
        <v>511</v>
      </c>
      <c r="L110" s="316">
        <v>0</v>
      </c>
      <c r="M110" s="272">
        <v>44593</v>
      </c>
      <c r="N110" s="272">
        <v>44925</v>
      </c>
      <c r="O110" s="272">
        <v>44652</v>
      </c>
      <c r="P110" s="273">
        <f t="shared" si="4"/>
        <v>0.17771084337349397</v>
      </c>
      <c r="Q110" s="273">
        <f t="shared" si="1"/>
        <v>0.17771084337349397</v>
      </c>
      <c r="R110" s="274">
        <v>1</v>
      </c>
      <c r="S110" s="275">
        <v>0.25</v>
      </c>
      <c r="T110" s="275">
        <v>0.5</v>
      </c>
      <c r="U110" s="275">
        <v>0.75</v>
      </c>
      <c r="V110" s="275">
        <v>1</v>
      </c>
      <c r="W110" s="275">
        <v>0.25</v>
      </c>
      <c r="X110" s="275" t="s">
        <v>512</v>
      </c>
      <c r="Y110" s="341" t="s">
        <v>507</v>
      </c>
      <c r="Z110" s="316">
        <v>0</v>
      </c>
      <c r="AA110" s="275">
        <v>0.5</v>
      </c>
      <c r="AB110" s="275" t="s">
        <v>508</v>
      </c>
      <c r="AC110" s="277" t="s">
        <v>509</v>
      </c>
      <c r="AD110" s="276"/>
      <c r="AE110" s="277"/>
      <c r="AF110" s="277"/>
      <c r="AG110" s="276"/>
      <c r="AH110" s="277"/>
      <c r="AI110" s="277"/>
      <c r="AJ110" s="278"/>
    </row>
    <row r="111" spans="1:36" ht="174" hidden="1" customHeight="1" outlineLevel="1" x14ac:dyDescent="0.2">
      <c r="A111" s="747"/>
      <c r="B111" s="675"/>
      <c r="C111" s="675"/>
      <c r="D111" s="706"/>
      <c r="E111" s="757"/>
      <c r="F111" s="757"/>
      <c r="G111" s="554"/>
      <c r="H111" s="10" t="s">
        <v>513</v>
      </c>
      <c r="I111" s="554"/>
      <c r="J111" s="12" t="s">
        <v>505</v>
      </c>
      <c r="K111" s="262" t="s">
        <v>511</v>
      </c>
      <c r="L111" s="316">
        <v>0</v>
      </c>
      <c r="M111" s="272">
        <v>44593</v>
      </c>
      <c r="N111" s="272">
        <v>44925</v>
      </c>
      <c r="O111" s="272">
        <v>44652</v>
      </c>
      <c r="P111" s="273">
        <f t="shared" si="4"/>
        <v>0.17771084337349397</v>
      </c>
      <c r="Q111" s="273">
        <f t="shared" si="1"/>
        <v>0.17771084337349397</v>
      </c>
      <c r="R111" s="274">
        <v>1</v>
      </c>
      <c r="S111" s="275">
        <v>0.25</v>
      </c>
      <c r="T111" s="275">
        <v>0.5</v>
      </c>
      <c r="U111" s="275">
        <v>0.75</v>
      </c>
      <c r="V111" s="275">
        <v>1</v>
      </c>
      <c r="W111" s="275">
        <v>0.25</v>
      </c>
      <c r="X111" s="275" t="s">
        <v>514</v>
      </c>
      <c r="Y111" s="341" t="s">
        <v>515</v>
      </c>
      <c r="Z111" s="316">
        <v>0</v>
      </c>
      <c r="AA111" s="275">
        <v>0.5</v>
      </c>
      <c r="AB111" s="275" t="s">
        <v>508</v>
      </c>
      <c r="AC111" s="277" t="s">
        <v>509</v>
      </c>
      <c r="AD111" s="276"/>
      <c r="AE111" s="277"/>
      <c r="AF111" s="277"/>
      <c r="AG111" s="276"/>
      <c r="AH111" s="277"/>
      <c r="AI111" s="277"/>
      <c r="AJ111" s="278"/>
    </row>
    <row r="112" spans="1:36" ht="206.25" hidden="1" customHeight="1" outlineLevel="1" x14ac:dyDescent="0.2">
      <c r="A112" s="747"/>
      <c r="B112" s="675"/>
      <c r="C112" s="675"/>
      <c r="D112" s="706"/>
      <c r="E112" s="757"/>
      <c r="F112" s="757"/>
      <c r="G112" s="554"/>
      <c r="H112" s="10" t="s">
        <v>516</v>
      </c>
      <c r="I112" s="554"/>
      <c r="J112" s="12" t="s">
        <v>505</v>
      </c>
      <c r="K112" s="262" t="s">
        <v>511</v>
      </c>
      <c r="L112" s="316">
        <v>0</v>
      </c>
      <c r="M112" s="272">
        <v>44593</v>
      </c>
      <c r="N112" s="272">
        <v>44925</v>
      </c>
      <c r="O112" s="272">
        <v>44652</v>
      </c>
      <c r="P112" s="273">
        <f t="shared" si="4"/>
        <v>0.17771084337349397</v>
      </c>
      <c r="Q112" s="273">
        <f t="shared" si="1"/>
        <v>0.17771084337349397</v>
      </c>
      <c r="R112" s="274">
        <v>1</v>
      </c>
      <c r="S112" s="275">
        <v>0.25</v>
      </c>
      <c r="T112" s="275">
        <v>0.5</v>
      </c>
      <c r="U112" s="275">
        <v>0.75</v>
      </c>
      <c r="V112" s="275">
        <v>1</v>
      </c>
      <c r="W112" s="275">
        <v>0.25</v>
      </c>
      <c r="X112" s="275" t="s">
        <v>517</v>
      </c>
      <c r="Y112" s="341" t="s">
        <v>515</v>
      </c>
      <c r="Z112" s="316">
        <v>0</v>
      </c>
      <c r="AA112" s="275">
        <v>0.5</v>
      </c>
      <c r="AB112" s="275" t="s">
        <v>508</v>
      </c>
      <c r="AC112" s="277" t="s">
        <v>509</v>
      </c>
      <c r="AD112" s="276"/>
      <c r="AE112" s="277"/>
      <c r="AF112" s="277"/>
      <c r="AG112" s="276"/>
      <c r="AH112" s="277"/>
      <c r="AI112" s="277"/>
      <c r="AJ112" s="278"/>
    </row>
    <row r="113" spans="1:36" ht="138" hidden="1" customHeight="1" outlineLevel="1" x14ac:dyDescent="0.2">
      <c r="A113" s="747"/>
      <c r="B113" s="675"/>
      <c r="C113" s="675"/>
      <c r="D113" s="706"/>
      <c r="E113" s="757"/>
      <c r="F113" s="757"/>
      <c r="G113" s="554"/>
      <c r="H113" s="10" t="s">
        <v>518</v>
      </c>
      <c r="I113" s="554"/>
      <c r="J113" s="12" t="s">
        <v>505</v>
      </c>
      <c r="K113" s="317">
        <v>18207000</v>
      </c>
      <c r="L113" s="316">
        <v>0</v>
      </c>
      <c r="M113" s="272">
        <v>44593</v>
      </c>
      <c r="N113" s="272">
        <v>44925</v>
      </c>
      <c r="O113" s="272">
        <v>44652</v>
      </c>
      <c r="P113" s="273">
        <f t="shared" si="4"/>
        <v>0.17771084337349397</v>
      </c>
      <c r="Q113" s="273">
        <f t="shared" si="1"/>
        <v>0.17771084337349397</v>
      </c>
      <c r="R113" s="274">
        <v>1</v>
      </c>
      <c r="S113" s="275">
        <v>0.25</v>
      </c>
      <c r="T113" s="275">
        <v>0.5</v>
      </c>
      <c r="U113" s="275">
        <v>0.75</v>
      </c>
      <c r="V113" s="275">
        <v>1</v>
      </c>
      <c r="W113" s="275">
        <v>0.25</v>
      </c>
      <c r="X113" s="275" t="s">
        <v>519</v>
      </c>
      <c r="Y113" s="341" t="s">
        <v>515</v>
      </c>
      <c r="Z113" s="316">
        <v>0</v>
      </c>
      <c r="AA113" s="275">
        <v>0.5</v>
      </c>
      <c r="AB113" s="277" t="s">
        <v>520</v>
      </c>
      <c r="AC113" s="277" t="s">
        <v>509</v>
      </c>
      <c r="AD113" s="276"/>
      <c r="AE113" s="277"/>
      <c r="AF113" s="277"/>
      <c r="AG113" s="276"/>
      <c r="AH113" s="277"/>
      <c r="AI113" s="277"/>
      <c r="AJ113" s="278"/>
    </row>
    <row r="114" spans="1:36" ht="98.25" hidden="1" customHeight="1" outlineLevel="1" x14ac:dyDescent="0.2">
      <c r="A114" s="747"/>
      <c r="B114" s="675"/>
      <c r="C114" s="675"/>
      <c r="D114" s="706"/>
      <c r="E114" s="757"/>
      <c r="F114" s="757"/>
      <c r="G114" s="554"/>
      <c r="H114" s="10" t="s">
        <v>521</v>
      </c>
      <c r="I114" s="554"/>
      <c r="J114" s="12" t="s">
        <v>505</v>
      </c>
      <c r="K114" s="317">
        <v>18207000</v>
      </c>
      <c r="L114" s="316">
        <v>0</v>
      </c>
      <c r="M114" s="272">
        <v>44593</v>
      </c>
      <c r="N114" s="272">
        <v>44925</v>
      </c>
      <c r="O114" s="272">
        <v>44652</v>
      </c>
      <c r="P114" s="273">
        <f t="shared" si="4"/>
        <v>0.17771084337349397</v>
      </c>
      <c r="Q114" s="273">
        <f t="shared" si="1"/>
        <v>0.17771084337349397</v>
      </c>
      <c r="R114" s="274">
        <v>1</v>
      </c>
      <c r="S114" s="275">
        <v>0.25</v>
      </c>
      <c r="T114" s="275">
        <v>0.5</v>
      </c>
      <c r="U114" s="275">
        <v>0.75</v>
      </c>
      <c r="V114" s="275">
        <v>1</v>
      </c>
      <c r="W114" s="275">
        <v>0.25</v>
      </c>
      <c r="X114" s="275" t="s">
        <v>519</v>
      </c>
      <c r="Y114" s="341" t="s">
        <v>515</v>
      </c>
      <c r="Z114" s="316">
        <v>0</v>
      </c>
      <c r="AA114" s="275">
        <v>0.5</v>
      </c>
      <c r="AB114" s="277" t="s">
        <v>522</v>
      </c>
      <c r="AC114" s="277" t="s">
        <v>509</v>
      </c>
      <c r="AD114" s="276"/>
      <c r="AE114" s="277"/>
      <c r="AF114" s="277"/>
      <c r="AG114" s="276"/>
      <c r="AH114" s="277"/>
      <c r="AI114" s="277"/>
      <c r="AJ114" s="278"/>
    </row>
    <row r="115" spans="1:36" ht="56.25" hidden="1" customHeight="1" outlineLevel="1" x14ac:dyDescent="0.2">
      <c r="A115" s="747"/>
      <c r="B115" s="675"/>
      <c r="C115" s="675"/>
      <c r="D115" s="706"/>
      <c r="E115" s="757"/>
      <c r="F115" s="757"/>
      <c r="G115" s="554"/>
      <c r="H115" s="10" t="s">
        <v>523</v>
      </c>
      <c r="I115" s="554"/>
      <c r="J115" s="12" t="s">
        <v>505</v>
      </c>
      <c r="K115" s="317">
        <v>71274574</v>
      </c>
      <c r="L115" s="316">
        <v>0</v>
      </c>
      <c r="M115" s="272">
        <v>44593</v>
      </c>
      <c r="N115" s="272">
        <v>44925</v>
      </c>
      <c r="O115" s="272">
        <v>44652</v>
      </c>
      <c r="P115" s="273">
        <f t="shared" si="4"/>
        <v>0.17771084337349397</v>
      </c>
      <c r="Q115" s="273">
        <f t="shared" si="1"/>
        <v>0.17771084337349397</v>
      </c>
      <c r="R115" s="274">
        <v>1</v>
      </c>
      <c r="S115" s="275">
        <v>0.25</v>
      </c>
      <c r="T115" s="275">
        <v>0.5</v>
      </c>
      <c r="U115" s="275">
        <v>0.75</v>
      </c>
      <c r="V115" s="275">
        <v>1</v>
      </c>
      <c r="W115" s="275">
        <v>0.25</v>
      </c>
      <c r="X115" s="275" t="s">
        <v>519</v>
      </c>
      <c r="Y115" s="341" t="s">
        <v>515</v>
      </c>
      <c r="Z115" s="316">
        <v>0</v>
      </c>
      <c r="AA115" s="275">
        <v>0.5</v>
      </c>
      <c r="AB115" s="277" t="s">
        <v>524</v>
      </c>
      <c r="AC115" s="277" t="s">
        <v>509</v>
      </c>
      <c r="AD115" s="276"/>
      <c r="AE115" s="277"/>
      <c r="AF115" s="277"/>
      <c r="AG115" s="276"/>
      <c r="AH115" s="277"/>
      <c r="AI115" s="277"/>
      <c r="AJ115" s="278"/>
    </row>
    <row r="116" spans="1:36" ht="93.75" hidden="1" customHeight="1" outlineLevel="1" x14ac:dyDescent="0.2">
      <c r="A116" s="747"/>
      <c r="B116" s="675"/>
      <c r="C116" s="675"/>
      <c r="D116" s="706"/>
      <c r="E116" s="757"/>
      <c r="F116" s="757"/>
      <c r="G116" s="554"/>
      <c r="H116" s="10" t="s">
        <v>525</v>
      </c>
      <c r="I116" s="554"/>
      <c r="J116" s="12" t="s">
        <v>505</v>
      </c>
      <c r="K116" s="262" t="s">
        <v>128</v>
      </c>
      <c r="L116" s="316">
        <v>0</v>
      </c>
      <c r="M116" s="272">
        <v>44593</v>
      </c>
      <c r="N116" s="272">
        <v>44925</v>
      </c>
      <c r="O116" s="272">
        <v>44652</v>
      </c>
      <c r="P116" s="273">
        <f t="shared" si="4"/>
        <v>0.17771084337349397</v>
      </c>
      <c r="Q116" s="273">
        <f t="shared" si="1"/>
        <v>0.17771084337349397</v>
      </c>
      <c r="R116" s="274">
        <v>1</v>
      </c>
      <c r="S116" s="275">
        <v>0.25</v>
      </c>
      <c r="T116" s="275">
        <v>0.5</v>
      </c>
      <c r="U116" s="275">
        <v>0.75</v>
      </c>
      <c r="V116" s="275">
        <v>1</v>
      </c>
      <c r="W116" s="275">
        <v>0.15</v>
      </c>
      <c r="X116" s="275" t="s">
        <v>526</v>
      </c>
      <c r="Y116" s="341" t="s">
        <v>527</v>
      </c>
      <c r="Z116" s="316">
        <v>0</v>
      </c>
      <c r="AA116" s="275">
        <v>0.3</v>
      </c>
      <c r="AB116" s="277" t="s">
        <v>528</v>
      </c>
      <c r="AC116" s="277" t="s">
        <v>53</v>
      </c>
      <c r="AD116" s="276"/>
      <c r="AE116" s="277"/>
      <c r="AF116" s="277"/>
      <c r="AG116" s="276"/>
      <c r="AH116" s="277"/>
      <c r="AI116" s="277"/>
      <c r="AJ116" s="278"/>
    </row>
    <row r="117" spans="1:36" ht="104.25" hidden="1" customHeight="1" outlineLevel="1" x14ac:dyDescent="0.2">
      <c r="A117" s="747"/>
      <c r="B117" s="675"/>
      <c r="C117" s="675"/>
      <c r="D117" s="706"/>
      <c r="E117" s="757"/>
      <c r="F117" s="757"/>
      <c r="G117" s="554"/>
      <c r="H117" s="10" t="s">
        <v>529</v>
      </c>
      <c r="I117" s="554"/>
      <c r="J117" s="12" t="s">
        <v>505</v>
      </c>
      <c r="K117" s="262" t="s">
        <v>128</v>
      </c>
      <c r="L117" s="316">
        <v>0</v>
      </c>
      <c r="M117" s="272">
        <v>44593</v>
      </c>
      <c r="N117" s="272">
        <v>44925</v>
      </c>
      <c r="O117" s="272">
        <v>44652</v>
      </c>
      <c r="P117" s="273">
        <f t="shared" si="4"/>
        <v>0.17771084337349397</v>
      </c>
      <c r="Q117" s="273">
        <f t="shared" si="1"/>
        <v>0.17771084337349397</v>
      </c>
      <c r="R117" s="274">
        <v>1</v>
      </c>
      <c r="S117" s="275">
        <v>0.25</v>
      </c>
      <c r="T117" s="275">
        <v>0.5</v>
      </c>
      <c r="U117" s="275">
        <v>0.75</v>
      </c>
      <c r="V117" s="275">
        <v>1</v>
      </c>
      <c r="W117" s="275">
        <v>0.15</v>
      </c>
      <c r="X117" s="275" t="s">
        <v>526</v>
      </c>
      <c r="Y117" s="341" t="s">
        <v>527</v>
      </c>
      <c r="Z117" s="316">
        <v>0</v>
      </c>
      <c r="AA117" s="275">
        <v>0.25</v>
      </c>
      <c r="AB117" s="277" t="s">
        <v>530</v>
      </c>
      <c r="AC117" s="277" t="s">
        <v>101</v>
      </c>
      <c r="AD117" s="276"/>
      <c r="AE117" s="277"/>
      <c r="AF117" s="277"/>
      <c r="AG117" s="276"/>
      <c r="AH117" s="277"/>
      <c r="AI117" s="277"/>
      <c r="AJ117" s="278"/>
    </row>
    <row r="118" spans="1:36" ht="75" hidden="1" customHeight="1" outlineLevel="1" x14ac:dyDescent="0.2">
      <c r="A118" s="747"/>
      <c r="B118" s="675"/>
      <c r="C118" s="675"/>
      <c r="D118" s="706"/>
      <c r="E118" s="757"/>
      <c r="F118" s="757"/>
      <c r="G118" s="554"/>
      <c r="H118" s="10" t="s">
        <v>531</v>
      </c>
      <c r="I118" s="554"/>
      <c r="J118" s="12" t="s">
        <v>505</v>
      </c>
      <c r="K118" s="262" t="s">
        <v>128</v>
      </c>
      <c r="L118" s="316">
        <v>0</v>
      </c>
      <c r="M118" s="272">
        <v>44593</v>
      </c>
      <c r="N118" s="272">
        <v>44925</v>
      </c>
      <c r="O118" s="272">
        <v>44652</v>
      </c>
      <c r="P118" s="273">
        <f t="shared" si="4"/>
        <v>0.17771084337349397</v>
      </c>
      <c r="Q118" s="273">
        <f t="shared" si="1"/>
        <v>0.17771084337349397</v>
      </c>
      <c r="R118" s="274">
        <v>1</v>
      </c>
      <c r="S118" s="275">
        <v>0.25</v>
      </c>
      <c r="T118" s="275">
        <v>0.5</v>
      </c>
      <c r="U118" s="275">
        <v>0.75</v>
      </c>
      <c r="V118" s="275">
        <v>1</v>
      </c>
      <c r="W118" s="275">
        <v>0.15</v>
      </c>
      <c r="X118" s="275" t="s">
        <v>526</v>
      </c>
      <c r="Y118" s="341" t="s">
        <v>527</v>
      </c>
      <c r="Z118" s="316">
        <v>0</v>
      </c>
      <c r="AA118" s="275">
        <v>0.5</v>
      </c>
      <c r="AB118" s="277" t="s">
        <v>532</v>
      </c>
      <c r="AC118" s="277" t="s">
        <v>533</v>
      </c>
      <c r="AD118" s="276"/>
      <c r="AE118" s="277"/>
      <c r="AF118" s="277"/>
      <c r="AG118" s="276"/>
      <c r="AH118" s="277"/>
      <c r="AI118" s="277"/>
      <c r="AJ118" s="278"/>
    </row>
    <row r="119" spans="1:36" ht="75" hidden="1" customHeight="1" outlineLevel="1" x14ac:dyDescent="0.2">
      <c r="A119" s="747"/>
      <c r="B119" s="675"/>
      <c r="C119" s="675"/>
      <c r="D119" s="706"/>
      <c r="E119" s="757"/>
      <c r="F119" s="757"/>
      <c r="G119" s="554"/>
      <c r="H119" s="10" t="s">
        <v>534</v>
      </c>
      <c r="I119" s="554"/>
      <c r="J119" s="12" t="s">
        <v>505</v>
      </c>
      <c r="K119" s="262" t="s">
        <v>128</v>
      </c>
      <c r="L119" s="316">
        <v>0</v>
      </c>
      <c r="M119" s="272">
        <v>44593</v>
      </c>
      <c r="N119" s="272">
        <v>44925</v>
      </c>
      <c r="O119" s="272">
        <v>44652</v>
      </c>
      <c r="P119" s="273">
        <f t="shared" si="4"/>
        <v>0.17771084337349397</v>
      </c>
      <c r="Q119" s="273">
        <f t="shared" si="1"/>
        <v>0.17771084337349397</v>
      </c>
      <c r="R119" s="274">
        <v>1</v>
      </c>
      <c r="S119" s="275">
        <v>0.25</v>
      </c>
      <c r="T119" s="275">
        <v>0.5</v>
      </c>
      <c r="U119" s="275">
        <v>0.75</v>
      </c>
      <c r="V119" s="275">
        <v>1</v>
      </c>
      <c r="W119" s="275">
        <v>0.15</v>
      </c>
      <c r="X119" s="275" t="s">
        <v>526</v>
      </c>
      <c r="Y119" s="341" t="s">
        <v>527</v>
      </c>
      <c r="Z119" s="316">
        <v>0</v>
      </c>
      <c r="AA119" s="275">
        <v>0.3</v>
      </c>
      <c r="AB119" s="277" t="s">
        <v>535</v>
      </c>
      <c r="AC119" s="277" t="s">
        <v>101</v>
      </c>
      <c r="AD119" s="276"/>
      <c r="AE119" s="277"/>
      <c r="AF119" s="277"/>
      <c r="AG119" s="276"/>
      <c r="AH119" s="277"/>
      <c r="AI119" s="277"/>
      <c r="AJ119" s="278"/>
    </row>
    <row r="120" spans="1:36" ht="93.75" hidden="1" customHeight="1" outlineLevel="1" x14ac:dyDescent="0.2">
      <c r="A120" s="747"/>
      <c r="B120" s="675"/>
      <c r="C120" s="675"/>
      <c r="D120" s="706"/>
      <c r="E120" s="757"/>
      <c r="F120" s="757"/>
      <c r="G120" s="554"/>
      <c r="H120" s="10" t="s">
        <v>536</v>
      </c>
      <c r="I120" s="554"/>
      <c r="J120" s="12" t="s">
        <v>505</v>
      </c>
      <c r="K120" s="262" t="s">
        <v>128</v>
      </c>
      <c r="L120" s="316">
        <v>0</v>
      </c>
      <c r="M120" s="272">
        <v>44593</v>
      </c>
      <c r="N120" s="272">
        <v>44925</v>
      </c>
      <c r="O120" s="272">
        <v>44652</v>
      </c>
      <c r="P120" s="273">
        <f t="shared" si="4"/>
        <v>0.17771084337349397</v>
      </c>
      <c r="Q120" s="273">
        <f t="shared" si="1"/>
        <v>0.17771084337349397</v>
      </c>
      <c r="R120" s="274">
        <v>1</v>
      </c>
      <c r="S120" s="275">
        <v>0.25</v>
      </c>
      <c r="T120" s="275">
        <v>0.5</v>
      </c>
      <c r="U120" s="275">
        <v>0.75</v>
      </c>
      <c r="V120" s="275">
        <v>1</v>
      </c>
      <c r="W120" s="275">
        <v>0.15</v>
      </c>
      <c r="X120" s="275" t="s">
        <v>526</v>
      </c>
      <c r="Y120" s="341" t="s">
        <v>527</v>
      </c>
      <c r="Z120" s="316">
        <v>0</v>
      </c>
      <c r="AA120" s="275">
        <v>0.4</v>
      </c>
      <c r="AB120" s="277" t="s">
        <v>537</v>
      </c>
      <c r="AC120" s="277" t="s">
        <v>53</v>
      </c>
      <c r="AD120" s="276"/>
      <c r="AE120" s="277"/>
      <c r="AF120" s="277"/>
      <c r="AG120" s="276"/>
      <c r="AH120" s="277"/>
      <c r="AI120" s="277"/>
      <c r="AJ120" s="278"/>
    </row>
    <row r="121" spans="1:36" ht="56.25" hidden="1" customHeight="1" outlineLevel="1" x14ac:dyDescent="0.2">
      <c r="A121" s="747"/>
      <c r="B121" s="675"/>
      <c r="C121" s="675"/>
      <c r="D121" s="706"/>
      <c r="E121" s="757"/>
      <c r="F121" s="757"/>
      <c r="G121" s="554"/>
      <c r="H121" s="10" t="s">
        <v>538</v>
      </c>
      <c r="I121" s="554"/>
      <c r="J121" s="12" t="s">
        <v>505</v>
      </c>
      <c r="K121" s="262" t="s">
        <v>128</v>
      </c>
      <c r="L121" s="316">
        <v>0</v>
      </c>
      <c r="M121" s="272">
        <v>44593</v>
      </c>
      <c r="N121" s="272">
        <v>44925</v>
      </c>
      <c r="O121" s="272">
        <v>44652</v>
      </c>
      <c r="P121" s="273">
        <f t="shared" si="4"/>
        <v>0.17771084337349397</v>
      </c>
      <c r="Q121" s="273">
        <f t="shared" si="1"/>
        <v>0.17771084337349397</v>
      </c>
      <c r="R121" s="274">
        <v>1</v>
      </c>
      <c r="S121" s="275">
        <v>0.25</v>
      </c>
      <c r="T121" s="275">
        <v>0.5</v>
      </c>
      <c r="U121" s="275">
        <v>0.75</v>
      </c>
      <c r="V121" s="275">
        <v>1</v>
      </c>
      <c r="W121" s="275">
        <v>0.1</v>
      </c>
      <c r="X121" s="275" t="s">
        <v>539</v>
      </c>
      <c r="Y121" s="341" t="s">
        <v>53</v>
      </c>
      <c r="Z121" s="316">
        <v>0</v>
      </c>
      <c r="AA121" s="275">
        <v>0.4</v>
      </c>
      <c r="AB121" s="277" t="s">
        <v>540</v>
      </c>
      <c r="AC121" s="277" t="s">
        <v>53</v>
      </c>
      <c r="AD121" s="276"/>
      <c r="AE121" s="277"/>
      <c r="AF121" s="277"/>
      <c r="AG121" s="276"/>
      <c r="AH121" s="277"/>
      <c r="AI121" s="277"/>
      <c r="AJ121" s="278"/>
    </row>
    <row r="122" spans="1:36" ht="56.25" hidden="1" customHeight="1" outlineLevel="1" x14ac:dyDescent="0.2">
      <c r="A122" s="747"/>
      <c r="B122" s="675"/>
      <c r="C122" s="675"/>
      <c r="D122" s="706"/>
      <c r="E122" s="757"/>
      <c r="F122" s="757"/>
      <c r="G122" s="554"/>
      <c r="H122" s="10" t="s">
        <v>541</v>
      </c>
      <c r="I122" s="554"/>
      <c r="J122" s="12" t="s">
        <v>505</v>
      </c>
      <c r="K122" s="262" t="s">
        <v>128</v>
      </c>
      <c r="L122" s="316">
        <v>0</v>
      </c>
      <c r="M122" s="272">
        <v>44593</v>
      </c>
      <c r="N122" s="272">
        <v>44925</v>
      </c>
      <c r="O122" s="272">
        <v>44652</v>
      </c>
      <c r="P122" s="273">
        <f t="shared" si="4"/>
        <v>0.17771084337349397</v>
      </c>
      <c r="Q122" s="273">
        <f t="shared" si="1"/>
        <v>0.17771084337349397</v>
      </c>
      <c r="R122" s="274">
        <v>1</v>
      </c>
      <c r="S122" s="275">
        <v>0.25</v>
      </c>
      <c r="T122" s="275">
        <v>0.5</v>
      </c>
      <c r="U122" s="275">
        <v>0.75</v>
      </c>
      <c r="V122" s="275">
        <v>1</v>
      </c>
      <c r="W122" s="275">
        <v>0.15</v>
      </c>
      <c r="X122" s="275" t="s">
        <v>526</v>
      </c>
      <c r="Y122" s="341" t="s">
        <v>527</v>
      </c>
      <c r="Z122" s="316">
        <v>0</v>
      </c>
      <c r="AA122" s="275">
        <v>0.4</v>
      </c>
      <c r="AB122" s="277" t="s">
        <v>542</v>
      </c>
      <c r="AC122" s="277" t="s">
        <v>53</v>
      </c>
      <c r="AD122" s="276"/>
      <c r="AE122" s="277"/>
      <c r="AF122" s="277"/>
      <c r="AG122" s="276"/>
      <c r="AH122" s="277"/>
      <c r="AI122" s="277"/>
      <c r="AJ122" s="278"/>
    </row>
    <row r="123" spans="1:36" ht="90.75" hidden="1" customHeight="1" outlineLevel="1" x14ac:dyDescent="0.2">
      <c r="A123" s="747"/>
      <c r="B123" s="675"/>
      <c r="C123" s="675"/>
      <c r="D123" s="706"/>
      <c r="E123" s="757"/>
      <c r="F123" s="757"/>
      <c r="G123" s="554"/>
      <c r="H123" s="10" t="s">
        <v>543</v>
      </c>
      <c r="I123" s="554"/>
      <c r="J123" s="12" t="s">
        <v>505</v>
      </c>
      <c r="K123" s="262" t="s">
        <v>128</v>
      </c>
      <c r="L123" s="316">
        <v>0</v>
      </c>
      <c r="M123" s="272">
        <v>44593</v>
      </c>
      <c r="N123" s="272">
        <v>44925</v>
      </c>
      <c r="O123" s="272">
        <v>44652</v>
      </c>
      <c r="P123" s="273">
        <f t="shared" si="4"/>
        <v>0.17771084337349397</v>
      </c>
      <c r="Q123" s="273">
        <f t="shared" si="1"/>
        <v>0.17771084337349397</v>
      </c>
      <c r="R123" s="274">
        <v>1</v>
      </c>
      <c r="S123" s="275">
        <v>0.25</v>
      </c>
      <c r="T123" s="275">
        <v>0.5</v>
      </c>
      <c r="U123" s="275">
        <v>0.75</v>
      </c>
      <c r="V123" s="275">
        <v>1</v>
      </c>
      <c r="W123" s="275">
        <v>0.15</v>
      </c>
      <c r="X123" s="275" t="s">
        <v>526</v>
      </c>
      <c r="Y123" s="341" t="s">
        <v>53</v>
      </c>
      <c r="Z123" s="316">
        <v>0</v>
      </c>
      <c r="AA123" s="275">
        <v>0.3</v>
      </c>
      <c r="AB123" s="277" t="s">
        <v>544</v>
      </c>
      <c r="AC123" s="277" t="s">
        <v>53</v>
      </c>
      <c r="AD123" s="276"/>
      <c r="AE123" s="277"/>
      <c r="AF123" s="277"/>
      <c r="AG123" s="276"/>
      <c r="AH123" s="277"/>
      <c r="AI123" s="277"/>
      <c r="AJ123" s="278"/>
    </row>
    <row r="124" spans="1:36" ht="67.5" hidden="1" customHeight="1" outlineLevel="1" x14ac:dyDescent="0.2">
      <c r="A124" s="747"/>
      <c r="B124" s="675"/>
      <c r="C124" s="675"/>
      <c r="D124" s="706"/>
      <c r="E124" s="757"/>
      <c r="F124" s="757"/>
      <c r="G124" s="554"/>
      <c r="H124" s="10" t="s">
        <v>545</v>
      </c>
      <c r="I124" s="554"/>
      <c r="J124" s="12" t="s">
        <v>505</v>
      </c>
      <c r="K124" s="262" t="s">
        <v>128</v>
      </c>
      <c r="L124" s="316">
        <v>0</v>
      </c>
      <c r="M124" s="272">
        <v>44593</v>
      </c>
      <c r="N124" s="272">
        <v>44925</v>
      </c>
      <c r="O124" s="272">
        <v>44652</v>
      </c>
      <c r="P124" s="273">
        <f t="shared" si="4"/>
        <v>0.17771084337349397</v>
      </c>
      <c r="Q124" s="273">
        <f t="shared" si="1"/>
        <v>0.17771084337349397</v>
      </c>
      <c r="R124" s="274">
        <v>1</v>
      </c>
      <c r="S124" s="275">
        <v>0.25</v>
      </c>
      <c r="T124" s="275">
        <v>0.5</v>
      </c>
      <c r="U124" s="275">
        <v>0.75</v>
      </c>
      <c r="V124" s="275">
        <v>1</v>
      </c>
      <c r="W124" s="275">
        <v>0.15</v>
      </c>
      <c r="X124" s="275" t="s">
        <v>526</v>
      </c>
      <c r="Y124" s="341" t="s">
        <v>527</v>
      </c>
      <c r="Z124" s="316">
        <v>0</v>
      </c>
      <c r="AA124" s="275">
        <v>0.3</v>
      </c>
      <c r="AB124" s="277" t="s">
        <v>546</v>
      </c>
      <c r="AC124" s="277" t="s">
        <v>53</v>
      </c>
      <c r="AD124" s="276"/>
      <c r="AE124" s="277"/>
      <c r="AF124" s="277"/>
      <c r="AG124" s="276"/>
      <c r="AH124" s="277"/>
      <c r="AI124" s="277"/>
      <c r="AJ124" s="278"/>
    </row>
    <row r="125" spans="1:36" ht="56.25" hidden="1" customHeight="1" outlineLevel="1" x14ac:dyDescent="0.2">
      <c r="A125" s="747"/>
      <c r="B125" s="675"/>
      <c r="C125" s="675"/>
      <c r="D125" s="706"/>
      <c r="E125" s="757"/>
      <c r="F125" s="757"/>
      <c r="G125" s="554"/>
      <c r="H125" s="474" t="s">
        <v>547</v>
      </c>
      <c r="I125" s="554"/>
      <c r="J125" s="262" t="s">
        <v>548</v>
      </c>
      <c r="K125" s="262" t="s">
        <v>128</v>
      </c>
      <c r="L125" s="316">
        <v>0</v>
      </c>
      <c r="M125" s="272">
        <v>44593</v>
      </c>
      <c r="N125" s="272">
        <v>44925</v>
      </c>
      <c r="O125" s="272">
        <v>44652</v>
      </c>
      <c r="P125" s="273">
        <f t="shared" ref="P125" si="5">+(+_xlfn.DAYS(M125,O125))/(+_xlfn.DAYS(M125,N125))</f>
        <v>0.17771084337349397</v>
      </c>
      <c r="Q125" s="273">
        <f t="shared" ref="Q125" si="6">+IF(P125&gt;=100,100,IF(P125&lt;=0,0,P125))</f>
        <v>0.17771084337349397</v>
      </c>
      <c r="R125" s="274">
        <v>1</v>
      </c>
      <c r="S125" s="275">
        <v>0.25</v>
      </c>
      <c r="T125" s="275">
        <v>0.5</v>
      </c>
      <c r="U125" s="275">
        <v>0.75</v>
      </c>
      <c r="V125" s="275">
        <v>1</v>
      </c>
      <c r="W125" s="275">
        <v>0</v>
      </c>
      <c r="X125" s="345" t="s">
        <v>549</v>
      </c>
      <c r="Y125" s="341"/>
      <c r="Z125" s="316">
        <v>0</v>
      </c>
      <c r="AA125" s="345">
        <v>0.5</v>
      </c>
      <c r="AB125" s="277" t="s">
        <v>550</v>
      </c>
      <c r="AC125" s="277" t="s">
        <v>53</v>
      </c>
      <c r="AD125" s="276"/>
      <c r="AE125" s="277"/>
      <c r="AF125" s="277"/>
      <c r="AG125" s="276"/>
      <c r="AH125" s="277"/>
      <c r="AI125" s="277"/>
      <c r="AJ125" s="278"/>
    </row>
    <row r="126" spans="1:36" ht="123" hidden="1" customHeight="1" outlineLevel="1" x14ac:dyDescent="0.2">
      <c r="A126" s="747"/>
      <c r="B126" s="799" t="s">
        <v>497</v>
      </c>
      <c r="C126" s="799" t="s">
        <v>551</v>
      </c>
      <c r="D126" s="628" t="s">
        <v>552</v>
      </c>
      <c r="E126" s="758" t="s">
        <v>553</v>
      </c>
      <c r="F126" s="797" t="s">
        <v>554</v>
      </c>
      <c r="G126" s="296" t="s">
        <v>555</v>
      </c>
      <c r="H126" s="296" t="s">
        <v>556</v>
      </c>
      <c r="I126" s="296" t="s">
        <v>557</v>
      </c>
      <c r="J126" s="251" t="s">
        <v>558</v>
      </c>
      <c r="K126" s="316">
        <v>33600000</v>
      </c>
      <c r="L126" s="316">
        <v>8413440</v>
      </c>
      <c r="M126" s="272">
        <v>44593</v>
      </c>
      <c r="N126" s="272">
        <v>44925</v>
      </c>
      <c r="O126" s="272">
        <v>44652</v>
      </c>
      <c r="P126" s="273">
        <f t="shared" si="4"/>
        <v>0.17771084337349397</v>
      </c>
      <c r="Q126" s="273">
        <f t="shared" si="1"/>
        <v>0.17771084337349397</v>
      </c>
      <c r="R126" s="274">
        <v>0.65</v>
      </c>
      <c r="S126" s="275">
        <v>0.54</v>
      </c>
      <c r="T126" s="275">
        <v>0.57999999999999996</v>
      </c>
      <c r="U126" s="275">
        <v>0.62</v>
      </c>
      <c r="V126" s="275">
        <v>0.65</v>
      </c>
      <c r="W126" s="275">
        <v>0.02</v>
      </c>
      <c r="X126" s="275" t="s">
        <v>559</v>
      </c>
      <c r="Y126" s="343" t="s">
        <v>560</v>
      </c>
      <c r="Z126" s="316">
        <v>17858400</v>
      </c>
      <c r="AA126" s="275">
        <v>0.53</v>
      </c>
      <c r="AB126" s="277" t="s">
        <v>561</v>
      </c>
      <c r="AC126" s="277" t="s">
        <v>340</v>
      </c>
      <c r="AD126" s="276"/>
      <c r="AE126" s="277"/>
      <c r="AF126" s="277"/>
      <c r="AG126" s="276"/>
      <c r="AH126" s="277"/>
      <c r="AI126" s="277"/>
      <c r="AJ126" s="278"/>
    </row>
    <row r="127" spans="1:36" ht="123" hidden="1" customHeight="1" outlineLevel="1" x14ac:dyDescent="0.2">
      <c r="A127" s="747"/>
      <c r="B127" s="799"/>
      <c r="C127" s="799"/>
      <c r="D127" s="629"/>
      <c r="E127" s="758"/>
      <c r="F127" s="798"/>
      <c r="G127" s="493"/>
      <c r="H127" s="493" t="s">
        <v>2305</v>
      </c>
      <c r="I127" s="296"/>
      <c r="J127" s="251"/>
      <c r="K127" s="503"/>
      <c r="L127" s="316"/>
      <c r="M127" s="272"/>
      <c r="N127" s="272"/>
      <c r="O127" s="272"/>
      <c r="P127" s="273"/>
      <c r="Q127" s="273"/>
      <c r="R127" s="274"/>
      <c r="S127" s="275"/>
      <c r="T127" s="275"/>
      <c r="U127" s="275"/>
      <c r="V127" s="275"/>
      <c r="W127" s="275">
        <v>0</v>
      </c>
      <c r="X127" s="275" t="s">
        <v>53</v>
      </c>
      <c r="Y127" s="343"/>
      <c r="Z127" s="316"/>
      <c r="AA127" s="275">
        <v>0</v>
      </c>
      <c r="AB127" s="277" t="s">
        <v>2306</v>
      </c>
      <c r="AC127" s="277" t="s">
        <v>53</v>
      </c>
      <c r="AD127" s="276"/>
      <c r="AE127" s="277"/>
      <c r="AF127" s="277"/>
      <c r="AG127" s="276"/>
      <c r="AH127" s="277"/>
      <c r="AI127" s="277"/>
      <c r="AJ127" s="278"/>
    </row>
    <row r="128" spans="1:36" ht="168.75" hidden="1" customHeight="1" outlineLevel="1" x14ac:dyDescent="0.2">
      <c r="A128" s="747"/>
      <c r="B128" s="799"/>
      <c r="C128" s="799"/>
      <c r="D128" s="629"/>
      <c r="E128" s="758"/>
      <c r="F128" s="717" t="s">
        <v>562</v>
      </c>
      <c r="G128" s="594" t="s">
        <v>555</v>
      </c>
      <c r="H128" s="594" t="s">
        <v>563</v>
      </c>
      <c r="I128" s="296" t="s">
        <v>564</v>
      </c>
      <c r="J128" s="251" t="s">
        <v>565</v>
      </c>
      <c r="L128" s="316">
        <v>101121</v>
      </c>
      <c r="M128" s="272">
        <v>44593</v>
      </c>
      <c r="N128" s="272">
        <v>44925</v>
      </c>
      <c r="O128" s="272">
        <v>44652</v>
      </c>
      <c r="P128" s="273">
        <f t="shared" si="4"/>
        <v>0.17771084337349397</v>
      </c>
      <c r="Q128" s="273">
        <f t="shared" si="1"/>
        <v>0.17771084337349397</v>
      </c>
      <c r="R128" s="274">
        <v>0.8</v>
      </c>
      <c r="S128" s="275">
        <v>0.72</v>
      </c>
      <c r="T128" s="275">
        <v>0.75</v>
      </c>
      <c r="U128" s="275">
        <v>0.78</v>
      </c>
      <c r="V128" s="275">
        <v>0.8</v>
      </c>
      <c r="W128" s="275">
        <v>0.25</v>
      </c>
      <c r="X128" s="275" t="s">
        <v>566</v>
      </c>
      <c r="Y128" s="343" t="s">
        <v>560</v>
      </c>
      <c r="Z128" s="316"/>
      <c r="AA128" s="275">
        <v>0.5</v>
      </c>
      <c r="AB128" s="277" t="s">
        <v>567</v>
      </c>
      <c r="AC128" s="277" t="s">
        <v>568</v>
      </c>
      <c r="AD128" s="276"/>
      <c r="AE128" s="277"/>
      <c r="AF128" s="277"/>
      <c r="AG128" s="276"/>
      <c r="AH128" s="277"/>
      <c r="AI128" s="277"/>
      <c r="AJ128" s="278"/>
    </row>
    <row r="129" spans="1:36" ht="168.75" hidden="1" customHeight="1" outlineLevel="1" x14ac:dyDescent="0.2">
      <c r="A129" s="747"/>
      <c r="B129" s="799"/>
      <c r="C129" s="799"/>
      <c r="D129" s="629"/>
      <c r="E129" s="758"/>
      <c r="F129" s="719"/>
      <c r="G129" s="596"/>
      <c r="H129" s="596"/>
      <c r="I129" s="296" t="s">
        <v>569</v>
      </c>
      <c r="J129" s="251" t="s">
        <v>570</v>
      </c>
      <c r="K129" s="316">
        <v>145602450</v>
      </c>
      <c r="L129" s="317"/>
      <c r="M129" s="272">
        <v>44593</v>
      </c>
      <c r="N129" s="272">
        <v>44925</v>
      </c>
      <c r="O129" s="272">
        <v>44652</v>
      </c>
      <c r="P129" s="273">
        <f t="shared" si="4"/>
        <v>0.17771084337349397</v>
      </c>
      <c r="Q129" s="273">
        <f t="shared" ref="Q129" si="7">+IF(P129&gt;=100,100,IF(P129&lt;=0,0,P129))</f>
        <v>0.17771084337349397</v>
      </c>
      <c r="R129" s="274">
        <v>0.75</v>
      </c>
      <c r="S129" s="275">
        <v>63</v>
      </c>
      <c r="T129" s="275">
        <v>0.67</v>
      </c>
      <c r="U129" s="275">
        <v>0.71</v>
      </c>
      <c r="V129" s="275">
        <v>0.75</v>
      </c>
      <c r="W129" s="275">
        <v>0.02</v>
      </c>
      <c r="X129" s="275" t="s">
        <v>571</v>
      </c>
      <c r="Y129" s="343" t="s">
        <v>560</v>
      </c>
      <c r="Z129" s="316">
        <v>0</v>
      </c>
      <c r="AA129" s="275">
        <v>0.4</v>
      </c>
      <c r="AB129" s="277" t="s">
        <v>572</v>
      </c>
      <c r="AC129" s="277" t="s">
        <v>573</v>
      </c>
      <c r="AD129" s="276"/>
      <c r="AE129" s="277"/>
      <c r="AF129" s="277"/>
      <c r="AG129" s="276"/>
      <c r="AH129" s="277"/>
      <c r="AI129" s="277"/>
      <c r="AJ129" s="278"/>
    </row>
    <row r="130" spans="1:36" ht="104.25" hidden="1" customHeight="1" outlineLevel="1" x14ac:dyDescent="0.2">
      <c r="A130" s="747"/>
      <c r="B130" s="799"/>
      <c r="C130" s="799"/>
      <c r="D130" s="629"/>
      <c r="E130" s="758"/>
      <c r="F130" s="717" t="s">
        <v>574</v>
      </c>
      <c r="G130" s="594" t="s">
        <v>555</v>
      </c>
      <c r="H130" s="594" t="s">
        <v>575</v>
      </c>
      <c r="I130" s="296" t="s">
        <v>576</v>
      </c>
      <c r="J130" s="251" t="s">
        <v>577</v>
      </c>
      <c r="K130" s="317" t="s">
        <v>53</v>
      </c>
      <c r="L130" s="317" t="s">
        <v>53</v>
      </c>
      <c r="M130" s="272">
        <v>44593</v>
      </c>
      <c r="N130" s="272">
        <v>44925</v>
      </c>
      <c r="O130" s="272">
        <v>44652</v>
      </c>
      <c r="P130" s="273">
        <f t="shared" si="4"/>
        <v>0.17771084337349397</v>
      </c>
      <c r="Q130" s="273">
        <f t="shared" si="1"/>
        <v>0.17771084337349397</v>
      </c>
      <c r="R130" s="274">
        <v>1</v>
      </c>
      <c r="S130" s="275">
        <v>0.92</v>
      </c>
      <c r="T130" s="275">
        <v>0.95</v>
      </c>
      <c r="U130" s="275">
        <v>0.98</v>
      </c>
      <c r="V130" s="275">
        <v>1</v>
      </c>
      <c r="W130" s="275">
        <v>0.5</v>
      </c>
      <c r="X130" s="275" t="s">
        <v>578</v>
      </c>
      <c r="Y130" s="341" t="s">
        <v>53</v>
      </c>
      <c r="Z130" s="316">
        <v>0</v>
      </c>
      <c r="AA130" s="275">
        <v>0.7</v>
      </c>
      <c r="AB130" s="277" t="s">
        <v>579</v>
      </c>
      <c r="AC130" s="277"/>
      <c r="AD130" s="276"/>
      <c r="AE130" s="277"/>
      <c r="AF130" s="277"/>
      <c r="AG130" s="276"/>
      <c r="AH130" s="277"/>
      <c r="AI130" s="277"/>
      <c r="AJ130" s="278"/>
    </row>
    <row r="131" spans="1:36" ht="210.75" hidden="1" customHeight="1" outlineLevel="1" x14ac:dyDescent="0.2">
      <c r="A131" s="747"/>
      <c r="B131" s="799"/>
      <c r="C131" s="799"/>
      <c r="D131" s="629"/>
      <c r="E131" s="758"/>
      <c r="F131" s="719"/>
      <c r="G131" s="596"/>
      <c r="H131" s="596"/>
      <c r="I131" s="412" t="s">
        <v>580</v>
      </c>
      <c r="J131" s="251" t="s">
        <v>577</v>
      </c>
      <c r="K131" s="317" t="s">
        <v>53</v>
      </c>
      <c r="L131" s="316">
        <v>957950</v>
      </c>
      <c r="M131" s="272">
        <v>44593</v>
      </c>
      <c r="N131" s="272">
        <v>44925</v>
      </c>
      <c r="O131" s="272">
        <v>44652</v>
      </c>
      <c r="P131" s="273">
        <f t="shared" ref="P131" si="8">+(+_xlfn.DAYS(M131,O131))/(+_xlfn.DAYS(M131,N131))</f>
        <v>0.17771084337349397</v>
      </c>
      <c r="Q131" s="273">
        <f t="shared" ref="Q131" si="9">+IF(P131&gt;=100,100,IF(P131&lt;=0,0,P131))</f>
        <v>0.17771084337349397</v>
      </c>
      <c r="R131" s="274">
        <v>0.5</v>
      </c>
      <c r="S131" s="275">
        <v>0.28000000000000003</v>
      </c>
      <c r="T131" s="275">
        <v>0.25</v>
      </c>
      <c r="U131" s="275">
        <v>0.45</v>
      </c>
      <c r="V131" s="275">
        <v>0.5</v>
      </c>
      <c r="W131" s="275">
        <v>0.25</v>
      </c>
      <c r="X131" s="275" t="s">
        <v>581</v>
      </c>
      <c r="Y131" s="343" t="s">
        <v>560</v>
      </c>
      <c r="Z131" s="316">
        <v>0</v>
      </c>
      <c r="AA131" s="275">
        <v>0.7</v>
      </c>
      <c r="AB131" s="277" t="s">
        <v>582</v>
      </c>
      <c r="AC131" s="277"/>
      <c r="AD131" s="276"/>
      <c r="AE131" s="277"/>
      <c r="AF131" s="277"/>
      <c r="AG131" s="276"/>
      <c r="AH131" s="277"/>
      <c r="AI131" s="277"/>
      <c r="AJ131" s="278"/>
    </row>
    <row r="132" spans="1:36" ht="139.5" hidden="1" customHeight="1" outlineLevel="1" x14ac:dyDescent="0.2">
      <c r="A132" s="747"/>
      <c r="B132" s="799"/>
      <c r="C132" s="799"/>
      <c r="D132" s="629"/>
      <c r="E132" s="758"/>
      <c r="F132" s="717" t="s">
        <v>583</v>
      </c>
      <c r="G132" s="296" t="s">
        <v>555</v>
      </c>
      <c r="H132" s="296" t="s">
        <v>584</v>
      </c>
      <c r="I132" s="594" t="s">
        <v>585</v>
      </c>
      <c r="J132" s="251" t="s">
        <v>577</v>
      </c>
      <c r="K132" s="316" t="s">
        <v>53</v>
      </c>
      <c r="L132" s="316" t="s">
        <v>53</v>
      </c>
      <c r="M132" s="272">
        <v>44593</v>
      </c>
      <c r="N132" s="272">
        <v>44925</v>
      </c>
      <c r="O132" s="272">
        <v>44652</v>
      </c>
      <c r="P132" s="273">
        <f t="shared" ref="P132" si="10">+(+_xlfn.DAYS(M132,O132))/(+_xlfn.DAYS(M132,N132))</f>
        <v>0.17771084337349397</v>
      </c>
      <c r="Q132" s="273">
        <f t="shared" ref="Q132" si="11">+IF(P132&gt;=100,100,IF(P132&lt;=0,0,P132))</f>
        <v>0.17771084337349397</v>
      </c>
      <c r="R132" s="274">
        <v>1</v>
      </c>
      <c r="S132" s="275">
        <v>0.65</v>
      </c>
      <c r="T132" s="275">
        <v>0.78</v>
      </c>
      <c r="U132" s="275">
        <v>0.88</v>
      </c>
      <c r="V132" s="275">
        <v>1</v>
      </c>
      <c r="W132" s="275">
        <v>0.5</v>
      </c>
      <c r="X132" s="275" t="s">
        <v>586</v>
      </c>
      <c r="Y132" s="341" t="s">
        <v>587</v>
      </c>
      <c r="Z132" s="317">
        <v>0</v>
      </c>
      <c r="AA132" s="275">
        <v>0.7</v>
      </c>
      <c r="AB132" s="277" t="s">
        <v>579</v>
      </c>
      <c r="AC132" s="277"/>
      <c r="AD132" s="276"/>
      <c r="AE132" s="277"/>
      <c r="AF132" s="277"/>
      <c r="AG132" s="276"/>
      <c r="AH132" s="277"/>
      <c r="AI132" s="277"/>
      <c r="AJ132" s="278"/>
    </row>
    <row r="133" spans="1:36" ht="217.5" hidden="1" customHeight="1" outlineLevel="1" x14ac:dyDescent="0.2">
      <c r="A133" s="747"/>
      <c r="B133" s="799"/>
      <c r="C133" s="799"/>
      <c r="D133" s="629"/>
      <c r="E133" s="758"/>
      <c r="F133" s="719"/>
      <c r="G133" s="296" t="s">
        <v>555</v>
      </c>
      <c r="H133" s="296" t="s">
        <v>588</v>
      </c>
      <c r="I133" s="596"/>
      <c r="J133" s="251" t="s">
        <v>589</v>
      </c>
      <c r="K133" s="316">
        <v>35000000</v>
      </c>
      <c r="L133" s="316">
        <v>7000000</v>
      </c>
      <c r="M133" s="272">
        <v>44593</v>
      </c>
      <c r="N133" s="272">
        <v>44925</v>
      </c>
      <c r="O133" s="272">
        <v>44652</v>
      </c>
      <c r="P133" s="273">
        <f t="shared" ref="P133" si="12">+(+_xlfn.DAYS(M133,O133))/(+_xlfn.DAYS(M133,N133))</f>
        <v>0.17771084337349397</v>
      </c>
      <c r="Q133" s="273">
        <f t="shared" ref="Q133" si="13">+IF(P133&gt;=100,100,IF(P133&lt;=0,0,P133))</f>
        <v>0.17771084337349397</v>
      </c>
      <c r="R133" s="274">
        <v>0.5</v>
      </c>
      <c r="S133" s="275">
        <v>0.31</v>
      </c>
      <c r="T133" s="275">
        <v>0.37</v>
      </c>
      <c r="U133" s="275">
        <v>0.44</v>
      </c>
      <c r="V133" s="275">
        <v>0.5</v>
      </c>
      <c r="W133" s="275">
        <v>0.25</v>
      </c>
      <c r="X133" s="345" t="s">
        <v>590</v>
      </c>
      <c r="Y133" s="343" t="s">
        <v>560</v>
      </c>
      <c r="Z133" s="316"/>
      <c r="AA133" s="275">
        <v>0.53</v>
      </c>
      <c r="AB133" s="277" t="s">
        <v>591</v>
      </c>
      <c r="AC133" s="277"/>
      <c r="AD133" s="276"/>
      <c r="AE133" s="277"/>
      <c r="AF133" s="277"/>
      <c r="AG133" s="276"/>
      <c r="AH133" s="277"/>
      <c r="AI133" s="277"/>
      <c r="AJ133" s="278"/>
    </row>
    <row r="134" spans="1:36" ht="93.75" hidden="1" customHeight="1" outlineLevel="1" x14ac:dyDescent="0.2">
      <c r="A134" s="747"/>
      <c r="B134" s="799"/>
      <c r="C134" s="799"/>
      <c r="D134" s="629"/>
      <c r="E134" s="758"/>
      <c r="F134" s="429" t="s">
        <v>592</v>
      </c>
      <c r="G134" s="296" t="s">
        <v>555</v>
      </c>
      <c r="H134" s="296" t="s">
        <v>570</v>
      </c>
      <c r="I134" s="296" t="s">
        <v>593</v>
      </c>
      <c r="J134" s="251" t="s">
        <v>128</v>
      </c>
      <c r="K134" s="316" t="s">
        <v>53</v>
      </c>
      <c r="L134" s="316" t="s">
        <v>53</v>
      </c>
      <c r="M134" s="272">
        <v>44593</v>
      </c>
      <c r="N134" s="272">
        <v>44925</v>
      </c>
      <c r="O134" s="272">
        <v>44652</v>
      </c>
      <c r="P134" s="273">
        <f t="shared" si="4"/>
        <v>0.17771084337349397</v>
      </c>
      <c r="Q134" s="273">
        <f t="shared" si="1"/>
        <v>0.17771084337349397</v>
      </c>
      <c r="R134" s="274">
        <v>0.5</v>
      </c>
      <c r="S134" s="275">
        <v>0.25</v>
      </c>
      <c r="T134" s="275">
        <v>0.33</v>
      </c>
      <c r="U134" s="275">
        <v>0.43</v>
      </c>
      <c r="V134" s="275">
        <v>0.5</v>
      </c>
      <c r="W134" s="275">
        <v>0</v>
      </c>
      <c r="X134" s="275" t="s">
        <v>594</v>
      </c>
      <c r="Y134" s="341" t="s">
        <v>53</v>
      </c>
      <c r="Z134" s="316" t="s">
        <v>53</v>
      </c>
      <c r="AA134" s="275">
        <v>0</v>
      </c>
      <c r="AB134" s="275" t="s">
        <v>594</v>
      </c>
      <c r="AC134" s="272"/>
      <c r="AD134" s="273"/>
      <c r="AE134" s="273"/>
      <c r="AF134" s="274"/>
      <c r="AG134" s="275"/>
      <c r="AH134" s="275"/>
      <c r="AI134" s="275"/>
    </row>
    <row r="135" spans="1:36" ht="75" hidden="1" customHeight="1" outlineLevel="1" x14ac:dyDescent="0.2">
      <c r="A135" s="747"/>
      <c r="B135" s="738" t="s">
        <v>595</v>
      </c>
      <c r="C135" s="738" t="s">
        <v>596</v>
      </c>
      <c r="D135" s="629"/>
      <c r="E135" s="717" t="s">
        <v>597</v>
      </c>
      <c r="F135" s="717" t="s">
        <v>598</v>
      </c>
      <c r="G135" s="296" t="s">
        <v>555</v>
      </c>
      <c r="H135" s="240" t="s">
        <v>599</v>
      </c>
      <c r="I135" s="594" t="s">
        <v>314</v>
      </c>
      <c r="J135" s="251" t="s">
        <v>565</v>
      </c>
      <c r="K135" s="316">
        <v>34133333</v>
      </c>
      <c r="L135" s="316" t="s">
        <v>53</v>
      </c>
      <c r="M135" s="272">
        <v>44593</v>
      </c>
      <c r="N135" s="272">
        <v>44925</v>
      </c>
      <c r="O135" s="272">
        <v>44652</v>
      </c>
      <c r="P135" s="273">
        <f t="shared" ref="P135" si="14">+(+_xlfn.DAYS(M135,O135))/(+_xlfn.DAYS(M135,N135))</f>
        <v>0.17771084337349397</v>
      </c>
      <c r="Q135" s="273">
        <f t="shared" ref="Q135" si="15">+IF(P135&gt;=100,100,IF(P135&lt;=0,0,P135))</f>
        <v>0.17771084337349397</v>
      </c>
      <c r="R135" s="274">
        <v>0.5</v>
      </c>
      <c r="S135" s="275">
        <v>0.25</v>
      </c>
      <c r="T135" s="275">
        <v>0.33</v>
      </c>
      <c r="U135" s="275">
        <v>0.43</v>
      </c>
      <c r="V135" s="275">
        <v>0.5</v>
      </c>
      <c r="W135" s="275">
        <v>0.2</v>
      </c>
      <c r="X135" s="275" t="s">
        <v>600</v>
      </c>
      <c r="Y135" s="343" t="s">
        <v>560</v>
      </c>
      <c r="Z135" s="316">
        <v>0</v>
      </c>
      <c r="AA135" s="275">
        <v>0.4</v>
      </c>
      <c r="AB135" s="277" t="s">
        <v>601</v>
      </c>
      <c r="AC135" s="277"/>
      <c r="AD135" s="276"/>
      <c r="AE135" s="277"/>
      <c r="AF135" s="277"/>
      <c r="AG135" s="276"/>
      <c r="AH135" s="277"/>
      <c r="AI135" s="277"/>
      <c r="AJ135" s="278"/>
    </row>
    <row r="136" spans="1:36" ht="120" hidden="1" customHeight="1" outlineLevel="1" x14ac:dyDescent="0.2">
      <c r="A136" s="747"/>
      <c r="B136" s="739"/>
      <c r="C136" s="739"/>
      <c r="D136" s="629"/>
      <c r="E136" s="718"/>
      <c r="F136" s="718"/>
      <c r="G136" s="296" t="s">
        <v>555</v>
      </c>
      <c r="H136" s="296" t="s">
        <v>602</v>
      </c>
      <c r="I136" s="595"/>
      <c r="J136" s="251" t="s">
        <v>603</v>
      </c>
      <c r="K136" s="316">
        <v>50582259</v>
      </c>
      <c r="L136" s="316" t="s">
        <v>53</v>
      </c>
      <c r="M136" s="272">
        <v>44593</v>
      </c>
      <c r="N136" s="272">
        <v>44925</v>
      </c>
      <c r="O136" s="272">
        <v>44652</v>
      </c>
      <c r="P136" s="273">
        <f t="shared" si="4"/>
        <v>0.17771084337349397</v>
      </c>
      <c r="Q136" s="273">
        <f t="shared" si="1"/>
        <v>0.17771084337349397</v>
      </c>
      <c r="R136" s="274">
        <v>1</v>
      </c>
      <c r="S136" s="275">
        <v>0.25</v>
      </c>
      <c r="T136" s="275">
        <v>0.5</v>
      </c>
      <c r="U136" s="275">
        <v>0.75</v>
      </c>
      <c r="V136" s="275">
        <v>1</v>
      </c>
      <c r="W136" s="275">
        <v>0.2</v>
      </c>
      <c r="X136" s="275" t="s">
        <v>604</v>
      </c>
      <c r="Y136" s="343" t="s">
        <v>560</v>
      </c>
      <c r="Z136" s="316">
        <v>0</v>
      </c>
      <c r="AA136" s="275">
        <v>0.5</v>
      </c>
      <c r="AB136" s="277" t="s">
        <v>605</v>
      </c>
      <c r="AC136" s="475"/>
      <c r="AD136" s="276"/>
      <c r="AE136" s="277"/>
      <c r="AF136" s="277"/>
      <c r="AG136" s="276"/>
      <c r="AH136" s="277"/>
      <c r="AI136" s="277"/>
      <c r="AJ136" s="278"/>
    </row>
    <row r="137" spans="1:36" ht="103.5" hidden="1" customHeight="1" outlineLevel="1" x14ac:dyDescent="0.2">
      <c r="A137" s="747"/>
      <c r="B137" s="739"/>
      <c r="C137" s="739"/>
      <c r="D137" s="629"/>
      <c r="E137" s="717" t="s">
        <v>606</v>
      </c>
      <c r="F137" s="717" t="s">
        <v>607</v>
      </c>
      <c r="G137" s="296" t="s">
        <v>555</v>
      </c>
      <c r="H137" s="296" t="s">
        <v>608</v>
      </c>
      <c r="I137" s="594" t="s">
        <v>609</v>
      </c>
      <c r="J137" s="251" t="s">
        <v>610</v>
      </c>
      <c r="K137" s="356">
        <v>28146798</v>
      </c>
      <c r="L137" s="357">
        <v>28146798</v>
      </c>
      <c r="M137" s="272">
        <v>44593</v>
      </c>
      <c r="N137" s="272">
        <v>44925</v>
      </c>
      <c r="O137" s="272">
        <v>44652</v>
      </c>
      <c r="P137" s="273">
        <f t="shared" si="4"/>
        <v>0.17771084337349397</v>
      </c>
      <c r="Q137" s="273">
        <f t="shared" si="1"/>
        <v>0.17771084337349397</v>
      </c>
      <c r="R137" s="274">
        <v>1</v>
      </c>
      <c r="S137" s="275">
        <v>0.25</v>
      </c>
      <c r="T137" s="275">
        <v>0.5</v>
      </c>
      <c r="U137" s="275">
        <v>0.75</v>
      </c>
      <c r="V137" s="275">
        <v>1</v>
      </c>
      <c r="W137" s="275">
        <v>1</v>
      </c>
      <c r="X137" s="275" t="s">
        <v>611</v>
      </c>
      <c r="Y137" s="343" t="s">
        <v>560</v>
      </c>
      <c r="Z137" s="316">
        <v>0</v>
      </c>
      <c r="AA137" s="275">
        <v>1</v>
      </c>
      <c r="AB137" s="277" t="s">
        <v>612</v>
      </c>
      <c r="AC137" s="277"/>
      <c r="AD137" s="276"/>
      <c r="AE137" s="277"/>
      <c r="AF137" s="277"/>
      <c r="AG137" s="276"/>
      <c r="AH137" s="277"/>
      <c r="AI137" s="277"/>
      <c r="AJ137" s="278"/>
    </row>
    <row r="138" spans="1:36" ht="167.25" hidden="1" customHeight="1" outlineLevel="1" x14ac:dyDescent="0.2">
      <c r="A138" s="747"/>
      <c r="B138" s="739"/>
      <c r="C138" s="739"/>
      <c r="D138" s="629"/>
      <c r="E138" s="719"/>
      <c r="F138" s="719"/>
      <c r="G138" s="296" t="s">
        <v>555</v>
      </c>
      <c r="H138" s="296" t="s">
        <v>613</v>
      </c>
      <c r="I138" s="596"/>
      <c r="J138" s="251" t="s">
        <v>614</v>
      </c>
      <c r="K138" s="12" t="s">
        <v>53</v>
      </c>
      <c r="L138" s="12"/>
      <c r="M138" s="272">
        <v>44593</v>
      </c>
      <c r="N138" s="272">
        <v>44925</v>
      </c>
      <c r="O138" s="272">
        <v>44652</v>
      </c>
      <c r="P138" s="273">
        <f t="shared" si="4"/>
        <v>0.17771084337349397</v>
      </c>
      <c r="Q138" s="273">
        <f t="shared" si="1"/>
        <v>0.17771084337349397</v>
      </c>
      <c r="R138" s="274">
        <v>1</v>
      </c>
      <c r="S138" s="275">
        <v>0.25</v>
      </c>
      <c r="T138" s="275">
        <v>0.5</v>
      </c>
      <c r="U138" s="275">
        <v>0.75</v>
      </c>
      <c r="V138" s="275">
        <v>1</v>
      </c>
      <c r="W138" s="275">
        <v>0.25</v>
      </c>
      <c r="X138" s="275" t="s">
        <v>615</v>
      </c>
      <c r="Y138" s="341" t="s">
        <v>616</v>
      </c>
      <c r="Z138" s="316">
        <v>0</v>
      </c>
      <c r="AA138" s="275">
        <v>0.5</v>
      </c>
      <c r="AB138" s="277" t="s">
        <v>617</v>
      </c>
      <c r="AC138" s="277"/>
      <c r="AD138" s="276"/>
      <c r="AE138" s="277"/>
      <c r="AF138" s="277"/>
      <c r="AG138" s="276"/>
      <c r="AH138" s="277"/>
      <c r="AI138" s="277"/>
      <c r="AJ138" s="278"/>
    </row>
    <row r="139" spans="1:36" ht="165" hidden="1" customHeight="1" outlineLevel="1" x14ac:dyDescent="0.2">
      <c r="A139" s="747"/>
      <c r="B139" s="739"/>
      <c r="C139" s="739"/>
      <c r="D139" s="629"/>
      <c r="E139" s="717" t="s">
        <v>618</v>
      </c>
      <c r="F139" s="717" t="s">
        <v>619</v>
      </c>
      <c r="G139" s="296" t="s">
        <v>555</v>
      </c>
      <c r="H139" s="296" t="s">
        <v>620</v>
      </c>
      <c r="I139" s="296" t="s">
        <v>621</v>
      </c>
      <c r="J139" s="251" t="s">
        <v>555</v>
      </c>
      <c r="K139" s="316">
        <v>36745974</v>
      </c>
      <c r="L139" s="316">
        <v>16640974</v>
      </c>
      <c r="M139" s="272">
        <v>44593</v>
      </c>
      <c r="N139" s="272">
        <v>44925</v>
      </c>
      <c r="O139" s="272">
        <v>44652</v>
      </c>
      <c r="P139" s="273">
        <f t="shared" si="4"/>
        <v>0.17771084337349397</v>
      </c>
      <c r="Q139" s="273">
        <f t="shared" si="1"/>
        <v>0.17771084337349397</v>
      </c>
      <c r="R139" s="274">
        <v>0.95</v>
      </c>
      <c r="S139" s="275">
        <v>0.92</v>
      </c>
      <c r="T139" s="275">
        <v>0.93</v>
      </c>
      <c r="U139" s="275">
        <v>0.94</v>
      </c>
      <c r="V139" s="275">
        <v>0.95</v>
      </c>
      <c r="W139" s="275">
        <v>0.25</v>
      </c>
      <c r="X139" s="275" t="s">
        <v>622</v>
      </c>
      <c r="Y139" s="343" t="s">
        <v>560</v>
      </c>
      <c r="Z139" s="316">
        <v>7875000</v>
      </c>
      <c r="AA139" s="275">
        <v>0.5</v>
      </c>
      <c r="AB139" s="277" t="s">
        <v>623</v>
      </c>
      <c r="AC139" s="277"/>
      <c r="AD139" s="276"/>
      <c r="AE139" s="277"/>
      <c r="AF139" s="277"/>
      <c r="AG139" s="276"/>
      <c r="AH139" s="277"/>
      <c r="AI139" s="277"/>
      <c r="AJ139" s="278"/>
    </row>
    <row r="140" spans="1:36" ht="112.5" hidden="1" customHeight="1" outlineLevel="1" x14ac:dyDescent="0.2">
      <c r="A140" s="747"/>
      <c r="B140" s="739"/>
      <c r="C140" s="739"/>
      <c r="D140" s="629"/>
      <c r="E140" s="718"/>
      <c r="F140" s="718"/>
      <c r="G140" s="296" t="s">
        <v>555</v>
      </c>
      <c r="H140" s="240" t="s">
        <v>624</v>
      </c>
      <c r="I140" s="296" t="s">
        <v>625</v>
      </c>
      <c r="J140" s="251" t="s">
        <v>555</v>
      </c>
      <c r="K140" s="316">
        <v>55000000</v>
      </c>
      <c r="L140" s="316"/>
      <c r="M140" s="272">
        <v>44593</v>
      </c>
      <c r="N140" s="272">
        <v>44925</v>
      </c>
      <c r="O140" s="272">
        <v>44652</v>
      </c>
      <c r="P140" s="273">
        <f t="shared" si="4"/>
        <v>0.17771084337349397</v>
      </c>
      <c r="Q140" s="273">
        <f t="shared" si="1"/>
        <v>0.17771084337349397</v>
      </c>
      <c r="R140" s="274">
        <v>0.2</v>
      </c>
      <c r="S140" s="275">
        <v>0.12</v>
      </c>
      <c r="T140" s="275">
        <v>0.14000000000000001</v>
      </c>
      <c r="U140" s="275">
        <v>0.18</v>
      </c>
      <c r="V140" s="275">
        <v>0.2</v>
      </c>
      <c r="W140" s="275">
        <v>0.1</v>
      </c>
      <c r="X140" s="275" t="s">
        <v>626</v>
      </c>
      <c r="Y140" s="341" t="s">
        <v>627</v>
      </c>
      <c r="Z140" s="316">
        <v>0</v>
      </c>
      <c r="AA140" s="275">
        <v>0.5</v>
      </c>
      <c r="AB140" s="277" t="s">
        <v>628</v>
      </c>
      <c r="AC140" s="277"/>
      <c r="AD140" s="276"/>
      <c r="AE140" s="277"/>
      <c r="AF140" s="277"/>
      <c r="AG140" s="276"/>
      <c r="AH140" s="277"/>
      <c r="AI140" s="277"/>
      <c r="AJ140" s="278"/>
    </row>
    <row r="141" spans="1:36" ht="168.75" hidden="1" customHeight="1" outlineLevel="1" x14ac:dyDescent="0.2">
      <c r="A141" s="747"/>
      <c r="B141" s="739"/>
      <c r="C141" s="739"/>
      <c r="D141" s="629"/>
      <c r="E141" s="719"/>
      <c r="F141" s="719"/>
      <c r="G141" s="296" t="s">
        <v>555</v>
      </c>
      <c r="H141" s="240" t="s">
        <v>629</v>
      </c>
      <c r="I141" s="296" t="s">
        <v>128</v>
      </c>
      <c r="J141" s="251" t="s">
        <v>555</v>
      </c>
      <c r="K141" s="316">
        <v>15043000</v>
      </c>
      <c r="L141" s="316">
        <v>3285391</v>
      </c>
      <c r="M141" s="272">
        <v>44593</v>
      </c>
      <c r="N141" s="272">
        <v>44925</v>
      </c>
      <c r="O141" s="272">
        <v>44652</v>
      </c>
      <c r="P141" s="273">
        <f t="shared" si="4"/>
        <v>0.17771084337349397</v>
      </c>
      <c r="Q141" s="273">
        <f t="shared" si="1"/>
        <v>0.17771084337349397</v>
      </c>
      <c r="R141" s="274">
        <v>1</v>
      </c>
      <c r="S141" s="275">
        <v>0.25</v>
      </c>
      <c r="T141" s="275">
        <v>0.5</v>
      </c>
      <c r="U141" s="275">
        <v>0.75</v>
      </c>
      <c r="V141" s="275">
        <v>1</v>
      </c>
      <c r="W141" s="275">
        <v>0.1</v>
      </c>
      <c r="X141" s="275" t="s">
        <v>630</v>
      </c>
      <c r="Y141" s="343" t="s">
        <v>560</v>
      </c>
      <c r="Z141" s="316">
        <v>0</v>
      </c>
      <c r="AA141" s="275">
        <v>0.3</v>
      </c>
      <c r="AB141" s="277" t="s">
        <v>631</v>
      </c>
      <c r="AC141" s="277"/>
      <c r="AD141" s="276"/>
      <c r="AE141" s="277"/>
      <c r="AF141" s="277"/>
      <c r="AG141" s="276"/>
      <c r="AH141" s="277"/>
      <c r="AI141" s="277"/>
      <c r="AJ141" s="278"/>
    </row>
    <row r="142" spans="1:36" ht="112.5" hidden="1" customHeight="1" outlineLevel="1" x14ac:dyDescent="0.2">
      <c r="A142" s="747"/>
      <c r="B142" s="739"/>
      <c r="C142" s="739"/>
      <c r="D142" s="629"/>
      <c r="E142" s="717" t="s">
        <v>632</v>
      </c>
      <c r="F142" s="717" t="s">
        <v>633</v>
      </c>
      <c r="G142" s="296" t="s">
        <v>555</v>
      </c>
      <c r="H142" s="296" t="s">
        <v>634</v>
      </c>
      <c r="I142" s="594" t="s">
        <v>635</v>
      </c>
      <c r="J142" s="251" t="s">
        <v>636</v>
      </c>
      <c r="K142" s="266">
        <v>52000000</v>
      </c>
      <c r="L142" s="266">
        <v>13603200</v>
      </c>
      <c r="M142" s="272">
        <v>44593</v>
      </c>
      <c r="N142" s="272">
        <v>44925</v>
      </c>
      <c r="O142" s="272">
        <v>44652</v>
      </c>
      <c r="P142" s="273">
        <f t="shared" si="4"/>
        <v>0.17771084337349397</v>
      </c>
      <c r="Q142" s="273">
        <f t="shared" si="1"/>
        <v>0.17771084337349397</v>
      </c>
      <c r="R142" s="274">
        <v>0.24</v>
      </c>
      <c r="S142" s="275">
        <v>0.15</v>
      </c>
      <c r="T142" s="275">
        <v>0.19</v>
      </c>
      <c r="U142" s="275">
        <v>0.21</v>
      </c>
      <c r="V142" s="275">
        <v>0.24</v>
      </c>
      <c r="W142" s="275">
        <v>0.2616</v>
      </c>
      <c r="X142" s="275" t="s">
        <v>637</v>
      </c>
      <c r="Y142" s="341" t="s">
        <v>340</v>
      </c>
      <c r="Z142" s="316">
        <v>28002000</v>
      </c>
      <c r="AA142" s="275">
        <v>0.53</v>
      </c>
      <c r="AB142" s="277" t="s">
        <v>638</v>
      </c>
      <c r="AC142" s="277"/>
      <c r="AD142" s="276"/>
      <c r="AE142" s="277"/>
      <c r="AF142" s="277"/>
      <c r="AG142" s="276"/>
      <c r="AH142" s="277"/>
      <c r="AI142" s="277"/>
      <c r="AJ142" s="278"/>
    </row>
    <row r="143" spans="1:36" ht="165" hidden="1" customHeight="1" outlineLevel="1" x14ac:dyDescent="0.2">
      <c r="A143" s="747"/>
      <c r="B143" s="739"/>
      <c r="C143" s="739"/>
      <c r="D143" s="629"/>
      <c r="E143" s="718"/>
      <c r="F143" s="718"/>
      <c r="G143" s="296" t="s">
        <v>555</v>
      </c>
      <c r="H143" s="296" t="s">
        <v>639</v>
      </c>
      <c r="I143" s="595"/>
      <c r="J143" s="251" t="s">
        <v>636</v>
      </c>
      <c r="K143" s="266">
        <v>33600000</v>
      </c>
      <c r="L143" s="266">
        <v>8413440</v>
      </c>
      <c r="M143" s="272">
        <v>44593</v>
      </c>
      <c r="N143" s="272">
        <v>44925</v>
      </c>
      <c r="O143" s="272">
        <v>44652</v>
      </c>
      <c r="P143" s="273">
        <f t="shared" si="4"/>
        <v>0.17771084337349397</v>
      </c>
      <c r="Q143" s="273">
        <f t="shared" si="1"/>
        <v>0.17771084337349397</v>
      </c>
      <c r="R143" s="274">
        <v>1</v>
      </c>
      <c r="S143" s="275">
        <v>0.25</v>
      </c>
      <c r="T143" s="275">
        <v>0.5</v>
      </c>
      <c r="U143" s="275">
        <v>0.75</v>
      </c>
      <c r="V143" s="275">
        <v>1</v>
      </c>
      <c r="W143" s="275">
        <v>0.25</v>
      </c>
      <c r="X143" s="275" t="s">
        <v>640</v>
      </c>
      <c r="Y143" s="343" t="s">
        <v>560</v>
      </c>
      <c r="Z143" s="316">
        <v>17858400</v>
      </c>
      <c r="AA143" s="275">
        <v>0.53</v>
      </c>
      <c r="AB143" s="277" t="s">
        <v>641</v>
      </c>
      <c r="AC143" s="277"/>
      <c r="AD143" s="276"/>
      <c r="AE143" s="277"/>
      <c r="AF143" s="277"/>
      <c r="AG143" s="276"/>
      <c r="AH143" s="277"/>
      <c r="AI143" s="277"/>
      <c r="AJ143" s="278"/>
    </row>
    <row r="144" spans="1:36" ht="132" hidden="1" customHeight="1" outlineLevel="1" x14ac:dyDescent="0.2">
      <c r="A144" s="747"/>
      <c r="B144" s="739"/>
      <c r="C144" s="739"/>
      <c r="D144" s="629"/>
      <c r="E144" s="718"/>
      <c r="F144" s="718"/>
      <c r="G144" s="296" t="s">
        <v>555</v>
      </c>
      <c r="H144" s="296" t="s">
        <v>642</v>
      </c>
      <c r="I144" s="595"/>
      <c r="J144" s="251" t="s">
        <v>636</v>
      </c>
      <c r="K144" s="316">
        <v>15043000</v>
      </c>
      <c r="L144" s="316">
        <v>3285391</v>
      </c>
      <c r="M144" s="272">
        <v>44593</v>
      </c>
      <c r="N144" s="272">
        <v>44925</v>
      </c>
      <c r="O144" s="272">
        <v>44652</v>
      </c>
      <c r="P144" s="273">
        <f t="shared" si="4"/>
        <v>0.17771084337349397</v>
      </c>
      <c r="Q144" s="273">
        <f t="shared" si="1"/>
        <v>0.17771084337349397</v>
      </c>
      <c r="R144" s="274">
        <v>1</v>
      </c>
      <c r="S144" s="275">
        <v>0.25</v>
      </c>
      <c r="T144" s="275">
        <v>0.5</v>
      </c>
      <c r="U144" s="275">
        <v>0.75</v>
      </c>
      <c r="V144" s="275">
        <v>1</v>
      </c>
      <c r="W144" s="275">
        <v>0.22</v>
      </c>
      <c r="X144" s="275" t="s">
        <v>643</v>
      </c>
      <c r="Y144" s="343" t="s">
        <v>560</v>
      </c>
      <c r="Z144" s="316">
        <v>7649495</v>
      </c>
      <c r="AA144" s="275">
        <v>0.51</v>
      </c>
      <c r="AB144" s="277" t="s">
        <v>644</v>
      </c>
      <c r="AC144" s="277"/>
      <c r="AD144" s="276"/>
      <c r="AE144" s="277"/>
      <c r="AF144" s="277"/>
      <c r="AG144" s="276"/>
      <c r="AH144" s="277"/>
      <c r="AI144" s="277"/>
      <c r="AJ144" s="278"/>
    </row>
    <row r="145" spans="1:36" ht="270" hidden="1" customHeight="1" outlineLevel="1" x14ac:dyDescent="0.2">
      <c r="A145" s="747"/>
      <c r="B145" s="739"/>
      <c r="C145" s="739"/>
      <c r="D145" s="629"/>
      <c r="E145" s="718"/>
      <c r="F145" s="718"/>
      <c r="G145" s="296" t="s">
        <v>555</v>
      </c>
      <c r="H145" s="296" t="s">
        <v>645</v>
      </c>
      <c r="I145" s="595"/>
      <c r="J145" s="251" t="s">
        <v>636</v>
      </c>
      <c r="K145" s="266">
        <v>115394300</v>
      </c>
      <c r="L145" s="266">
        <v>32786075</v>
      </c>
      <c r="M145" s="272">
        <v>44593</v>
      </c>
      <c r="N145" s="272">
        <v>44925</v>
      </c>
      <c r="O145" s="272">
        <v>44652</v>
      </c>
      <c r="P145" s="273">
        <f t="shared" si="4"/>
        <v>0.17771084337349397</v>
      </c>
      <c r="Q145" s="273">
        <f t="shared" si="1"/>
        <v>0.17771084337349397</v>
      </c>
      <c r="R145" s="274">
        <v>1</v>
      </c>
      <c r="S145" s="275">
        <v>0.25</v>
      </c>
      <c r="T145" s="275">
        <v>0.5</v>
      </c>
      <c r="U145" s="275">
        <v>0.75</v>
      </c>
      <c r="V145" s="275">
        <v>1</v>
      </c>
      <c r="W145" s="275">
        <v>0.25</v>
      </c>
      <c r="X145" s="275" t="s">
        <v>646</v>
      </c>
      <c r="Y145" s="343" t="s">
        <v>560</v>
      </c>
      <c r="Z145" s="316"/>
      <c r="AA145" s="275">
        <v>0.52</v>
      </c>
      <c r="AB145" s="277" t="s">
        <v>647</v>
      </c>
      <c r="AC145" s="277"/>
      <c r="AD145" s="276"/>
      <c r="AE145" s="277"/>
      <c r="AF145" s="277"/>
      <c r="AG145" s="276"/>
      <c r="AH145" s="277"/>
      <c r="AI145" s="277"/>
      <c r="AJ145" s="278"/>
    </row>
    <row r="146" spans="1:36" ht="81.75" hidden="1" customHeight="1" outlineLevel="1" x14ac:dyDescent="0.2">
      <c r="A146" s="747"/>
      <c r="B146" s="739"/>
      <c r="C146" s="739"/>
      <c r="D146" s="629"/>
      <c r="E146" s="718"/>
      <c r="F146" s="718"/>
      <c r="G146" s="296" t="s">
        <v>555</v>
      </c>
      <c r="H146" s="296" t="s">
        <v>648</v>
      </c>
      <c r="I146" s="595"/>
      <c r="J146" s="251" t="s">
        <v>636</v>
      </c>
      <c r="K146" s="316">
        <v>35000000</v>
      </c>
      <c r="L146" s="316"/>
      <c r="M146" s="272">
        <v>44593</v>
      </c>
      <c r="N146" s="272">
        <v>44925</v>
      </c>
      <c r="O146" s="272">
        <v>44652</v>
      </c>
      <c r="P146" s="273">
        <f t="shared" si="4"/>
        <v>0.17771084337349397</v>
      </c>
      <c r="Q146" s="273">
        <f t="shared" ref="Q146:Q189" si="16">+IF(P146&gt;=100,100,IF(P146&lt;=0,0,P146))</f>
        <v>0.17771084337349397</v>
      </c>
      <c r="R146" s="274">
        <v>1</v>
      </c>
      <c r="S146" s="275">
        <v>0.25</v>
      </c>
      <c r="T146" s="275">
        <v>0.5</v>
      </c>
      <c r="U146" s="275">
        <v>0.75</v>
      </c>
      <c r="V146" s="275">
        <v>1</v>
      </c>
      <c r="W146" s="275">
        <v>0.05</v>
      </c>
      <c r="X146" s="275" t="s">
        <v>649</v>
      </c>
      <c r="Y146" s="341" t="s">
        <v>650</v>
      </c>
      <c r="Z146" s="316">
        <v>0</v>
      </c>
      <c r="AA146" s="275">
        <v>0.4</v>
      </c>
      <c r="AB146" s="277" t="s">
        <v>651</v>
      </c>
      <c r="AC146" s="277"/>
      <c r="AD146" s="276"/>
      <c r="AE146" s="277"/>
      <c r="AF146" s="277"/>
      <c r="AG146" s="276"/>
      <c r="AH146" s="277"/>
      <c r="AI146" s="277"/>
      <c r="AJ146" s="278"/>
    </row>
    <row r="147" spans="1:36" ht="60" hidden="1" customHeight="1" outlineLevel="1" x14ac:dyDescent="0.2">
      <c r="A147" s="747"/>
      <c r="B147" s="739"/>
      <c r="C147" s="739"/>
      <c r="D147" s="629"/>
      <c r="E147" s="718"/>
      <c r="F147" s="718"/>
      <c r="G147" s="296" t="s">
        <v>555</v>
      </c>
      <c r="H147" s="263" t="s">
        <v>652</v>
      </c>
      <c r="I147" s="595"/>
      <c r="J147" s="251" t="s">
        <v>555</v>
      </c>
      <c r="K147" s="316">
        <v>200000000</v>
      </c>
      <c r="L147" s="316"/>
      <c r="M147" s="272">
        <v>44593</v>
      </c>
      <c r="N147" s="272">
        <v>44925</v>
      </c>
      <c r="O147" s="272">
        <v>44652</v>
      </c>
      <c r="P147" s="273">
        <f t="shared" si="4"/>
        <v>0.17771084337349397</v>
      </c>
      <c r="Q147" s="273">
        <f t="shared" si="16"/>
        <v>0.17771084337349397</v>
      </c>
      <c r="R147" s="274">
        <v>1</v>
      </c>
      <c r="S147" s="275">
        <v>0.25</v>
      </c>
      <c r="T147" s="275">
        <v>0.5</v>
      </c>
      <c r="U147" s="275">
        <v>0.75</v>
      </c>
      <c r="V147" s="275">
        <v>1</v>
      </c>
      <c r="W147" s="275">
        <v>0</v>
      </c>
      <c r="X147" s="275" t="s">
        <v>653</v>
      </c>
      <c r="Y147" s="341" t="s">
        <v>53</v>
      </c>
      <c r="Z147" s="316"/>
      <c r="AA147" s="275">
        <v>0.1</v>
      </c>
      <c r="AB147" s="475" t="s">
        <v>654</v>
      </c>
      <c r="AC147" s="277"/>
      <c r="AD147" s="276"/>
      <c r="AE147" s="277"/>
      <c r="AF147" s="277"/>
      <c r="AG147" s="276"/>
      <c r="AH147" s="277"/>
      <c r="AI147" s="277"/>
      <c r="AJ147" s="278"/>
    </row>
    <row r="148" spans="1:36" ht="108" hidden="1" customHeight="1" outlineLevel="1" x14ac:dyDescent="0.2">
      <c r="A148" s="747"/>
      <c r="B148" s="739"/>
      <c r="C148" s="739"/>
      <c r="D148" s="629"/>
      <c r="E148" s="718"/>
      <c r="F148" s="718"/>
      <c r="G148" s="296" t="s">
        <v>555</v>
      </c>
      <c r="H148" s="240" t="s">
        <v>655</v>
      </c>
      <c r="I148" s="595"/>
      <c r="J148" s="251" t="s">
        <v>555</v>
      </c>
      <c r="K148" s="316">
        <v>42566300</v>
      </c>
      <c r="L148" s="316"/>
      <c r="M148" s="272">
        <v>44593</v>
      </c>
      <c r="N148" s="272">
        <v>44925</v>
      </c>
      <c r="O148" s="272">
        <v>44652</v>
      </c>
      <c r="P148" s="273">
        <f t="shared" si="4"/>
        <v>0.17771084337349397</v>
      </c>
      <c r="Q148" s="273">
        <f t="shared" si="16"/>
        <v>0.17771084337349397</v>
      </c>
      <c r="R148" s="274">
        <v>1</v>
      </c>
      <c r="S148" s="275">
        <v>0.25</v>
      </c>
      <c r="T148" s="275">
        <v>0.5</v>
      </c>
      <c r="U148" s="275">
        <v>0.75</v>
      </c>
      <c r="V148" s="275">
        <v>1</v>
      </c>
      <c r="W148" s="275">
        <v>0.05</v>
      </c>
      <c r="X148" s="275" t="s">
        <v>656</v>
      </c>
      <c r="Y148" s="341" t="s">
        <v>650</v>
      </c>
      <c r="Z148" s="316">
        <v>0</v>
      </c>
      <c r="AA148" s="275">
        <v>0.5</v>
      </c>
      <c r="AB148" s="277" t="s">
        <v>657</v>
      </c>
      <c r="AC148" s="277"/>
      <c r="AD148" s="276"/>
      <c r="AE148" s="277"/>
      <c r="AF148" s="277"/>
      <c r="AG148" s="276"/>
      <c r="AH148" s="277"/>
      <c r="AI148" s="277"/>
      <c r="AJ148" s="278"/>
    </row>
    <row r="149" spans="1:36" ht="150" hidden="1" customHeight="1" outlineLevel="1" x14ac:dyDescent="0.2">
      <c r="A149" s="747"/>
      <c r="B149" s="739"/>
      <c r="C149" s="739"/>
      <c r="D149" s="629"/>
      <c r="E149" s="718"/>
      <c r="F149" s="718"/>
      <c r="G149" s="296" t="s">
        <v>555</v>
      </c>
      <c r="H149" s="263" t="s">
        <v>658</v>
      </c>
      <c r="I149" s="595"/>
      <c r="J149" s="251" t="s">
        <v>555</v>
      </c>
      <c r="K149" s="316">
        <v>25000000</v>
      </c>
      <c r="L149" s="316"/>
      <c r="M149" s="272">
        <v>44593</v>
      </c>
      <c r="N149" s="272">
        <v>44925</v>
      </c>
      <c r="O149" s="272">
        <v>44652</v>
      </c>
      <c r="P149" s="273">
        <f t="shared" si="4"/>
        <v>0.17771084337349397</v>
      </c>
      <c r="Q149" s="273">
        <f t="shared" si="16"/>
        <v>0.17771084337349397</v>
      </c>
      <c r="R149" s="274">
        <v>1</v>
      </c>
      <c r="S149" s="275">
        <v>0.25</v>
      </c>
      <c r="T149" s="275">
        <v>0.5</v>
      </c>
      <c r="U149" s="275">
        <v>0.75</v>
      </c>
      <c r="V149" s="275">
        <v>1</v>
      </c>
      <c r="W149" s="275">
        <v>0.05</v>
      </c>
      <c r="X149" s="275" t="s">
        <v>656</v>
      </c>
      <c r="Y149" s="341" t="s">
        <v>650</v>
      </c>
      <c r="Z149" s="316">
        <v>0</v>
      </c>
      <c r="AA149" s="275">
        <v>0.2</v>
      </c>
      <c r="AB149" s="277" t="s">
        <v>659</v>
      </c>
      <c r="AC149" s="277"/>
      <c r="AD149" s="276"/>
      <c r="AE149" s="277"/>
      <c r="AF149" s="277"/>
      <c r="AG149" s="276"/>
      <c r="AH149" s="277"/>
      <c r="AI149" s="277"/>
      <c r="AJ149" s="278"/>
    </row>
    <row r="150" spans="1:36" ht="150" hidden="1" customHeight="1" outlineLevel="1" x14ac:dyDescent="0.2">
      <c r="A150" s="747"/>
      <c r="B150" s="739"/>
      <c r="C150" s="739"/>
      <c r="D150" s="629"/>
      <c r="E150" s="718"/>
      <c r="F150" s="718"/>
      <c r="G150" s="296"/>
      <c r="H150" s="240" t="s">
        <v>660</v>
      </c>
      <c r="I150" s="595"/>
      <c r="J150" s="251"/>
      <c r="K150" s="316" t="s">
        <v>555</v>
      </c>
      <c r="L150" s="316"/>
      <c r="M150" s="272"/>
      <c r="N150" s="272"/>
      <c r="O150" s="272"/>
      <c r="P150" s="273"/>
      <c r="Q150" s="273"/>
      <c r="R150" s="274"/>
      <c r="S150" s="275"/>
      <c r="T150" s="275"/>
      <c r="U150" s="275"/>
      <c r="V150" s="275"/>
      <c r="W150" s="275">
        <v>0.05</v>
      </c>
      <c r="X150" s="275" t="s">
        <v>53</v>
      </c>
      <c r="Y150" s="341"/>
      <c r="Z150" s="316">
        <v>0</v>
      </c>
      <c r="AA150" s="275">
        <v>0.2</v>
      </c>
      <c r="AB150" s="277" t="s">
        <v>659</v>
      </c>
      <c r="AC150" s="277"/>
      <c r="AD150" s="276"/>
      <c r="AE150" s="277"/>
      <c r="AF150" s="277"/>
      <c r="AG150" s="276"/>
      <c r="AH150" s="277"/>
      <c r="AI150" s="277"/>
      <c r="AJ150" s="278"/>
    </row>
    <row r="151" spans="1:36" ht="295.5" hidden="1" customHeight="1" outlineLevel="1" x14ac:dyDescent="0.2">
      <c r="A151" s="747"/>
      <c r="B151" s="739"/>
      <c r="C151" s="739"/>
      <c r="D151" s="629"/>
      <c r="E151" s="718"/>
      <c r="F151" s="718"/>
      <c r="G151" s="296" t="s">
        <v>555</v>
      </c>
      <c r="H151" s="296" t="s">
        <v>661</v>
      </c>
      <c r="I151" s="595"/>
      <c r="J151" s="251" t="s">
        <v>205</v>
      </c>
      <c r="K151" s="316">
        <v>670000000</v>
      </c>
      <c r="L151" s="316"/>
      <c r="M151" s="272">
        <v>44593</v>
      </c>
      <c r="N151" s="272">
        <v>44925</v>
      </c>
      <c r="O151" s="272">
        <v>44652</v>
      </c>
      <c r="P151" s="273">
        <f t="shared" si="4"/>
        <v>0.17771084337349397</v>
      </c>
      <c r="Q151" s="273">
        <f t="shared" si="16"/>
        <v>0.17771084337349397</v>
      </c>
      <c r="R151" s="274">
        <v>1</v>
      </c>
      <c r="S151" s="275">
        <v>0.25</v>
      </c>
      <c r="T151" s="275">
        <v>0.5</v>
      </c>
      <c r="U151" s="275">
        <v>0.75</v>
      </c>
      <c r="V151" s="275">
        <v>1</v>
      </c>
      <c r="W151" s="275">
        <v>0.2</v>
      </c>
      <c r="X151" s="275" t="s">
        <v>662</v>
      </c>
      <c r="Y151" s="343" t="s">
        <v>560</v>
      </c>
      <c r="Z151" s="316">
        <v>0</v>
      </c>
      <c r="AA151" s="275">
        <v>0.2</v>
      </c>
      <c r="AB151" s="275" t="s">
        <v>662</v>
      </c>
      <c r="AC151" s="277"/>
      <c r="AD151" s="276"/>
      <c r="AE151" s="277"/>
      <c r="AF151" s="277"/>
      <c r="AG151" s="276"/>
      <c r="AH151" s="277"/>
      <c r="AI151" s="277"/>
      <c r="AJ151" s="278"/>
    </row>
    <row r="152" spans="1:36" ht="295.5" hidden="1" customHeight="1" outlineLevel="1" x14ac:dyDescent="0.2">
      <c r="A152" s="747"/>
      <c r="B152" s="739"/>
      <c r="C152" s="739"/>
      <c r="D152" s="629"/>
      <c r="E152" s="718"/>
      <c r="F152" s="718"/>
      <c r="G152" s="296"/>
      <c r="H152" s="296" t="s">
        <v>663</v>
      </c>
      <c r="I152" s="595"/>
      <c r="J152" s="251"/>
      <c r="K152" s="316">
        <v>18248650</v>
      </c>
      <c r="L152" s="316"/>
      <c r="M152" s="272"/>
      <c r="N152" s="272"/>
      <c r="O152" s="272"/>
      <c r="P152" s="273"/>
      <c r="Q152" s="273"/>
      <c r="R152" s="274"/>
      <c r="S152" s="275"/>
      <c r="T152" s="275"/>
      <c r="U152" s="275"/>
      <c r="V152" s="275"/>
      <c r="W152" s="275"/>
      <c r="X152" s="275" t="s">
        <v>53</v>
      </c>
      <c r="Y152" s="343"/>
      <c r="Z152" s="316">
        <v>0</v>
      </c>
      <c r="AA152" s="275">
        <v>0.7</v>
      </c>
      <c r="AB152" s="275" t="s">
        <v>664</v>
      </c>
      <c r="AC152" s="277"/>
      <c r="AD152" s="276"/>
      <c r="AE152" s="277"/>
      <c r="AF152" s="277"/>
      <c r="AG152" s="276"/>
      <c r="AH152" s="277"/>
      <c r="AI152" s="277"/>
      <c r="AJ152" s="278"/>
    </row>
    <row r="153" spans="1:36" ht="96.75" hidden="1" customHeight="1" outlineLevel="1" x14ac:dyDescent="0.2">
      <c r="A153" s="747"/>
      <c r="B153" s="739"/>
      <c r="C153" s="739"/>
      <c r="D153" s="629"/>
      <c r="E153" s="718"/>
      <c r="F153" s="718"/>
      <c r="G153" s="296" t="s">
        <v>555</v>
      </c>
      <c r="H153" s="296" t="s">
        <v>665</v>
      </c>
      <c r="I153" s="595"/>
      <c r="J153" s="251" t="s">
        <v>205</v>
      </c>
      <c r="K153" s="316">
        <v>67000000</v>
      </c>
      <c r="L153" s="316"/>
      <c r="M153" s="272">
        <v>44593</v>
      </c>
      <c r="N153" s="272">
        <v>44925</v>
      </c>
      <c r="O153" s="272">
        <v>44652</v>
      </c>
      <c r="P153" s="273">
        <f t="shared" si="4"/>
        <v>0.17771084337349397</v>
      </c>
      <c r="Q153" s="273">
        <f t="shared" si="16"/>
        <v>0.17771084337349397</v>
      </c>
      <c r="R153" s="274">
        <v>1</v>
      </c>
      <c r="S153" s="275">
        <v>0.25</v>
      </c>
      <c r="T153" s="275">
        <v>0.5</v>
      </c>
      <c r="U153" s="275">
        <v>0.75</v>
      </c>
      <c r="V153" s="275">
        <v>1</v>
      </c>
      <c r="W153" s="275">
        <v>0.1</v>
      </c>
      <c r="X153" s="275" t="s">
        <v>666</v>
      </c>
      <c r="Y153" s="343" t="s">
        <v>560</v>
      </c>
      <c r="Z153" s="316">
        <v>0</v>
      </c>
      <c r="AA153" s="275">
        <v>0.1</v>
      </c>
      <c r="AB153" s="275" t="s">
        <v>666</v>
      </c>
      <c r="AC153" s="277"/>
      <c r="AD153" s="276"/>
      <c r="AE153" s="277"/>
      <c r="AF153" s="277"/>
      <c r="AG153" s="276"/>
      <c r="AH153" s="277"/>
      <c r="AI153" s="277"/>
      <c r="AJ153" s="278"/>
    </row>
    <row r="154" spans="1:36" ht="93.75" hidden="1" customHeight="1" outlineLevel="1" x14ac:dyDescent="0.2">
      <c r="A154" s="747"/>
      <c r="B154" s="739"/>
      <c r="C154" s="739"/>
      <c r="D154" s="629"/>
      <c r="E154" s="718"/>
      <c r="F154" s="718"/>
      <c r="G154" s="296" t="s">
        <v>555</v>
      </c>
      <c r="H154" s="296" t="s">
        <v>667</v>
      </c>
      <c r="I154" s="595"/>
      <c r="J154" s="251" t="s">
        <v>328</v>
      </c>
      <c r="K154" s="316">
        <v>550000000</v>
      </c>
      <c r="L154" s="316"/>
      <c r="M154" s="272">
        <v>44593</v>
      </c>
      <c r="N154" s="272">
        <v>44925</v>
      </c>
      <c r="O154" s="272">
        <v>44652</v>
      </c>
      <c r="P154" s="273">
        <f t="shared" si="4"/>
        <v>0.17771084337349397</v>
      </c>
      <c r="Q154" s="273">
        <f t="shared" si="16"/>
        <v>0.17771084337349397</v>
      </c>
      <c r="R154" s="274">
        <v>1</v>
      </c>
      <c r="S154" s="275">
        <v>0.25</v>
      </c>
      <c r="T154" s="275">
        <v>0.5</v>
      </c>
      <c r="U154" s="275">
        <v>0.75</v>
      </c>
      <c r="V154" s="275">
        <v>1</v>
      </c>
      <c r="W154" s="275">
        <v>0.05</v>
      </c>
      <c r="X154" s="275" t="s">
        <v>668</v>
      </c>
      <c r="Y154" s="341" t="s">
        <v>650</v>
      </c>
      <c r="Z154" s="316">
        <v>0</v>
      </c>
      <c r="AA154" s="275">
        <v>0.4</v>
      </c>
      <c r="AB154" s="277" t="s">
        <v>669</v>
      </c>
      <c r="AC154" s="277"/>
      <c r="AD154" s="276"/>
      <c r="AE154" s="277"/>
      <c r="AF154" s="277"/>
      <c r="AG154" s="276"/>
      <c r="AH154" s="277"/>
      <c r="AI154" s="277"/>
      <c r="AJ154" s="278"/>
    </row>
    <row r="155" spans="1:36" ht="93.75" hidden="1" customHeight="1" outlineLevel="1" x14ac:dyDescent="0.2">
      <c r="A155" s="747"/>
      <c r="B155" s="739"/>
      <c r="C155" s="739"/>
      <c r="D155" s="629"/>
      <c r="E155" s="718"/>
      <c r="F155" s="718"/>
      <c r="G155" s="296"/>
      <c r="H155" s="5" t="s">
        <v>670</v>
      </c>
      <c r="I155" s="595"/>
      <c r="J155" s="251"/>
      <c r="K155" s="358">
        <v>6000000000</v>
      </c>
      <c r="L155" s="358">
        <v>1100000000</v>
      </c>
      <c r="M155" s="272">
        <v>44593</v>
      </c>
      <c r="N155" s="272">
        <v>44925</v>
      </c>
      <c r="O155" s="272">
        <v>44652</v>
      </c>
      <c r="P155" s="273">
        <f t="shared" ref="P155" si="17">+(+_xlfn.DAYS(M155,O155))/(+_xlfn.DAYS(M155,N155))</f>
        <v>0.17771084337349397</v>
      </c>
      <c r="Q155" s="273">
        <f t="shared" ref="Q155" si="18">+IF(P155&gt;=100,100,IF(P155&lt;=0,0,P155))</f>
        <v>0.17771084337349397</v>
      </c>
      <c r="R155" s="274">
        <v>1</v>
      </c>
      <c r="S155" s="275">
        <v>0.25</v>
      </c>
      <c r="T155" s="275">
        <v>0.5</v>
      </c>
      <c r="U155" s="275">
        <v>0.75</v>
      </c>
      <c r="V155" s="275">
        <v>1</v>
      </c>
      <c r="W155" s="275">
        <v>0.18</v>
      </c>
      <c r="X155" s="275" t="s">
        <v>671</v>
      </c>
      <c r="Y155" s="343" t="s">
        <v>560</v>
      </c>
      <c r="Z155" s="316">
        <v>1100000000</v>
      </c>
      <c r="AA155" s="275">
        <v>0.2</v>
      </c>
      <c r="AB155" s="277" t="s">
        <v>672</v>
      </c>
      <c r="AC155" s="277"/>
      <c r="AD155" s="276"/>
      <c r="AE155" s="277"/>
      <c r="AF155" s="277"/>
      <c r="AG155" s="276"/>
      <c r="AH155" s="277"/>
      <c r="AI155" s="277"/>
      <c r="AJ155" s="278"/>
    </row>
    <row r="156" spans="1:36" ht="187.5" hidden="1" customHeight="1" outlineLevel="1" x14ac:dyDescent="0.2">
      <c r="A156" s="747"/>
      <c r="B156" s="739"/>
      <c r="C156" s="739"/>
      <c r="D156" s="629"/>
      <c r="E156" s="718"/>
      <c r="F156" s="718"/>
      <c r="G156" s="296" t="s">
        <v>555</v>
      </c>
      <c r="H156" s="296" t="s">
        <v>673</v>
      </c>
      <c r="I156" s="595"/>
      <c r="J156" s="251" t="s">
        <v>555</v>
      </c>
      <c r="K156" s="316" t="s">
        <v>53</v>
      </c>
      <c r="L156" s="316">
        <v>0</v>
      </c>
      <c r="M156" s="272">
        <v>44593</v>
      </c>
      <c r="N156" s="272">
        <v>44925</v>
      </c>
      <c r="O156" s="272">
        <v>44652</v>
      </c>
      <c r="P156" s="273">
        <f t="shared" si="4"/>
        <v>0.17771084337349397</v>
      </c>
      <c r="Q156" s="273">
        <f t="shared" si="16"/>
        <v>0.17771084337349397</v>
      </c>
      <c r="R156" s="274">
        <v>1</v>
      </c>
      <c r="S156" s="275">
        <v>0.25</v>
      </c>
      <c r="T156" s="275">
        <v>0.5</v>
      </c>
      <c r="U156" s="275">
        <v>0.75</v>
      </c>
      <c r="V156" s="275">
        <v>1</v>
      </c>
      <c r="W156" s="275">
        <v>0.25</v>
      </c>
      <c r="X156" s="275" t="s">
        <v>674</v>
      </c>
      <c r="Y156" s="343" t="s">
        <v>560</v>
      </c>
      <c r="Z156" s="316">
        <v>0</v>
      </c>
      <c r="AA156" s="275">
        <v>0.5</v>
      </c>
      <c r="AB156" s="277" t="s">
        <v>675</v>
      </c>
      <c r="AC156" s="277"/>
      <c r="AD156" s="276"/>
      <c r="AE156" s="277"/>
      <c r="AF156" s="277"/>
      <c r="AG156" s="276"/>
      <c r="AH156" s="277"/>
      <c r="AI156" s="277"/>
      <c r="AJ156" s="278"/>
    </row>
    <row r="157" spans="1:36" ht="78.75" hidden="1" customHeight="1" outlineLevel="1" x14ac:dyDescent="0.2">
      <c r="A157" s="747"/>
      <c r="B157" s="739"/>
      <c r="C157" s="739"/>
      <c r="D157" s="629"/>
      <c r="E157" s="718"/>
      <c r="F157" s="481"/>
      <c r="G157" s="296"/>
      <c r="H157" s="247" t="s">
        <v>1634</v>
      </c>
      <c r="I157" s="480"/>
      <c r="J157" s="507" t="s">
        <v>1635</v>
      </c>
      <c r="K157" s="313" t="s">
        <v>555</v>
      </c>
      <c r="L157" s="316">
        <v>0</v>
      </c>
      <c r="M157" s="272"/>
      <c r="N157" s="272"/>
      <c r="O157" s="272"/>
      <c r="P157" s="273"/>
      <c r="Q157" s="273"/>
      <c r="R157" s="274"/>
      <c r="S157" s="275"/>
      <c r="T157" s="275"/>
      <c r="U157" s="275"/>
      <c r="V157" s="275"/>
      <c r="W157" s="275">
        <v>0</v>
      </c>
      <c r="X157" s="275"/>
      <c r="Y157" s="341"/>
      <c r="Z157" s="477" t="s">
        <v>1633</v>
      </c>
      <c r="AA157" s="275">
        <v>0</v>
      </c>
      <c r="AB157" s="277"/>
      <c r="AC157" s="277"/>
      <c r="AD157" s="276"/>
      <c r="AE157" s="277"/>
      <c r="AF157" s="277"/>
      <c r="AG157" s="276"/>
      <c r="AH157" s="277"/>
      <c r="AI157" s="277"/>
      <c r="AJ157" s="278"/>
    </row>
    <row r="158" spans="1:36" ht="100.9" hidden="1" customHeight="1" outlineLevel="1" x14ac:dyDescent="0.2">
      <c r="A158" s="747"/>
      <c r="B158" s="739"/>
      <c r="C158" s="739"/>
      <c r="D158" s="629"/>
      <c r="E158" s="718"/>
      <c r="F158" s="717" t="s">
        <v>676</v>
      </c>
      <c r="G158" s="296" t="s">
        <v>555</v>
      </c>
      <c r="H158" s="296" t="s">
        <v>677</v>
      </c>
      <c r="I158" s="594" t="s">
        <v>678</v>
      </c>
      <c r="J158" s="507" t="s">
        <v>2359</v>
      </c>
      <c r="K158" s="316">
        <v>600000000</v>
      </c>
      <c r="L158" s="316"/>
      <c r="M158" s="272">
        <v>44593</v>
      </c>
      <c r="N158" s="272">
        <v>44925</v>
      </c>
      <c r="O158" s="272">
        <v>44652</v>
      </c>
      <c r="P158" s="273">
        <f t="shared" si="4"/>
        <v>0.17771084337349397</v>
      </c>
      <c r="Q158" s="273">
        <f t="shared" si="16"/>
        <v>0.17771084337349397</v>
      </c>
      <c r="R158" s="274">
        <v>0.04</v>
      </c>
      <c r="S158" s="275">
        <v>0.25</v>
      </c>
      <c r="T158" s="275">
        <v>0.5</v>
      </c>
      <c r="U158" s="275">
        <v>0.75</v>
      </c>
      <c r="V158" s="275">
        <v>1</v>
      </c>
      <c r="W158" s="275">
        <v>0.1</v>
      </c>
      <c r="X158" s="275" t="s">
        <v>679</v>
      </c>
      <c r="Y158" s="341" t="s">
        <v>680</v>
      </c>
      <c r="Z158" s="316">
        <v>0</v>
      </c>
      <c r="AA158" s="275">
        <v>0.4</v>
      </c>
      <c r="AB158" s="277" t="s">
        <v>681</v>
      </c>
      <c r="AC158" s="277"/>
      <c r="AD158" s="276"/>
      <c r="AE158" s="277"/>
      <c r="AF158" s="277"/>
      <c r="AG158" s="276"/>
      <c r="AH158" s="277"/>
      <c r="AI158" s="277"/>
      <c r="AJ158" s="278"/>
    </row>
    <row r="159" spans="1:36" ht="100.9" hidden="1" customHeight="1" outlineLevel="1" x14ac:dyDescent="0.2">
      <c r="A159" s="747"/>
      <c r="B159" s="739"/>
      <c r="C159" s="739"/>
      <c r="D159" s="629"/>
      <c r="E159" s="718"/>
      <c r="F159" s="718"/>
      <c r="G159" s="296"/>
      <c r="H159" s="263" t="s">
        <v>682</v>
      </c>
      <c r="I159" s="595"/>
      <c r="J159" s="251" t="s">
        <v>2340</v>
      </c>
      <c r="K159" s="316">
        <v>60000000</v>
      </c>
      <c r="L159" s="316"/>
      <c r="M159" s="272">
        <v>44593</v>
      </c>
      <c r="N159" s="272">
        <v>44925</v>
      </c>
      <c r="O159" s="272">
        <v>44652</v>
      </c>
      <c r="P159" s="273">
        <f t="shared" ref="P159" si="19">+(+_xlfn.DAYS(M159,O159))/(+_xlfn.DAYS(M159,N159))</f>
        <v>0.17771084337349397</v>
      </c>
      <c r="Q159" s="273">
        <f t="shared" ref="Q159" si="20">+IF(P159&gt;=100,100,IF(P159&lt;=0,0,P159))</f>
        <v>0.17771084337349397</v>
      </c>
      <c r="R159" s="274">
        <v>0.04</v>
      </c>
      <c r="S159" s="275">
        <v>0.25</v>
      </c>
      <c r="T159" s="275">
        <v>0.5</v>
      </c>
      <c r="U159" s="275">
        <v>0.75</v>
      </c>
      <c r="V159" s="275">
        <v>1</v>
      </c>
      <c r="W159" s="275">
        <v>0</v>
      </c>
      <c r="X159" s="275" t="s">
        <v>683</v>
      </c>
      <c r="Y159" s="343" t="s">
        <v>560</v>
      </c>
      <c r="Z159" s="316">
        <v>0</v>
      </c>
      <c r="AA159" s="275">
        <v>0</v>
      </c>
      <c r="AB159" s="275" t="s">
        <v>683</v>
      </c>
      <c r="AC159" s="277"/>
      <c r="AD159" s="276"/>
      <c r="AE159" s="277"/>
      <c r="AF159" s="277"/>
      <c r="AG159" s="276"/>
      <c r="AH159" s="277"/>
      <c r="AI159" s="277"/>
      <c r="AJ159" s="278"/>
    </row>
    <row r="160" spans="1:36" ht="93.6" hidden="1" customHeight="1" outlineLevel="1" x14ac:dyDescent="0.2">
      <c r="A160" s="747"/>
      <c r="B160" s="739"/>
      <c r="C160" s="739"/>
      <c r="D160" s="629"/>
      <c r="E160" s="718"/>
      <c r="F160" s="429" t="s">
        <v>684</v>
      </c>
      <c r="G160" s="296" t="s">
        <v>555</v>
      </c>
      <c r="H160" s="296" t="s">
        <v>685</v>
      </c>
      <c r="I160" s="296" t="s">
        <v>686</v>
      </c>
      <c r="J160" s="251" t="s">
        <v>555</v>
      </c>
      <c r="K160" s="316">
        <v>2909550</v>
      </c>
      <c r="L160" s="316">
        <v>0</v>
      </c>
      <c r="M160" s="272">
        <v>44593</v>
      </c>
      <c r="N160" s="272">
        <v>44925</v>
      </c>
      <c r="O160" s="272">
        <v>44652</v>
      </c>
      <c r="P160" s="273">
        <f t="shared" ref="P160:P211" si="21">+(+_xlfn.DAYS(M160,O160))/(+_xlfn.DAYS(M160,N160))</f>
        <v>0.17771084337349397</v>
      </c>
      <c r="Q160" s="273">
        <f t="shared" si="16"/>
        <v>0.17771084337349397</v>
      </c>
      <c r="R160" s="274">
        <v>0.7</v>
      </c>
      <c r="S160" s="275">
        <v>0.55000000000000004</v>
      </c>
      <c r="T160" s="275">
        <v>0.6</v>
      </c>
      <c r="U160" s="275">
        <v>0.65</v>
      </c>
      <c r="V160" s="275">
        <v>0.7</v>
      </c>
      <c r="W160" s="275">
        <v>0.25</v>
      </c>
      <c r="X160" s="275" t="s">
        <v>687</v>
      </c>
      <c r="Y160" s="343" t="s">
        <v>560</v>
      </c>
      <c r="Z160" s="316">
        <v>2909550</v>
      </c>
      <c r="AA160" s="275">
        <v>0.8</v>
      </c>
      <c r="AB160" s="277" t="s">
        <v>688</v>
      </c>
      <c r="AC160" s="277"/>
      <c r="AD160" s="276"/>
      <c r="AE160" s="277"/>
      <c r="AF160" s="277"/>
      <c r="AG160" s="276"/>
      <c r="AH160" s="277"/>
      <c r="AI160" s="277"/>
      <c r="AJ160" s="278"/>
    </row>
    <row r="161" spans="1:36" ht="206.25" hidden="1" customHeight="1" outlineLevel="1" x14ac:dyDescent="0.2">
      <c r="A161" s="747"/>
      <c r="B161" s="739"/>
      <c r="C161" s="739"/>
      <c r="D161" s="629"/>
      <c r="E161" s="718"/>
      <c r="F161" s="429" t="s">
        <v>689</v>
      </c>
      <c r="G161" s="296" t="s">
        <v>555</v>
      </c>
      <c r="H161" s="296" t="s">
        <v>690</v>
      </c>
      <c r="I161" s="296" t="s">
        <v>691</v>
      </c>
      <c r="J161" s="251" t="s">
        <v>589</v>
      </c>
      <c r="K161" s="316" t="s">
        <v>53</v>
      </c>
      <c r="L161" s="316">
        <v>101121</v>
      </c>
      <c r="M161" s="272">
        <v>44593</v>
      </c>
      <c r="N161" s="272">
        <v>44925</v>
      </c>
      <c r="O161" s="272">
        <v>44652</v>
      </c>
      <c r="P161" s="273">
        <f t="shared" si="21"/>
        <v>0.17771084337349397</v>
      </c>
      <c r="Q161" s="273">
        <f t="shared" si="16"/>
        <v>0.17771084337349397</v>
      </c>
      <c r="R161" s="274">
        <v>0.8</v>
      </c>
      <c r="S161" s="275">
        <v>0.72</v>
      </c>
      <c r="T161" s="275">
        <v>0.75</v>
      </c>
      <c r="U161" s="275">
        <v>0.78</v>
      </c>
      <c r="V161" s="275">
        <v>0.8</v>
      </c>
      <c r="W161" s="275">
        <v>0.25</v>
      </c>
      <c r="X161" s="275" t="s">
        <v>692</v>
      </c>
      <c r="Y161" s="343" t="s">
        <v>560</v>
      </c>
      <c r="Z161" s="316">
        <v>305306</v>
      </c>
      <c r="AA161" s="275">
        <v>0.5</v>
      </c>
      <c r="AB161" s="277" t="s">
        <v>567</v>
      </c>
      <c r="AC161" s="277"/>
      <c r="AD161" s="276"/>
      <c r="AE161" s="277"/>
      <c r="AF161" s="277"/>
      <c r="AG161" s="276"/>
      <c r="AH161" s="277"/>
      <c r="AI161" s="277"/>
      <c r="AJ161" s="278"/>
    </row>
    <row r="162" spans="1:36" ht="135" hidden="1" customHeight="1" outlineLevel="1" x14ac:dyDescent="0.2">
      <c r="A162" s="747"/>
      <c r="B162" s="739"/>
      <c r="C162" s="739"/>
      <c r="D162" s="629"/>
      <c r="E162" s="718"/>
      <c r="F162" s="717" t="s">
        <v>693</v>
      </c>
      <c r="G162" s="594" t="s">
        <v>555</v>
      </c>
      <c r="H162" s="360" t="s">
        <v>694</v>
      </c>
      <c r="I162" s="296" t="s">
        <v>695</v>
      </c>
      <c r="J162" s="550" t="s">
        <v>696</v>
      </c>
      <c r="K162" s="316">
        <v>50000000</v>
      </c>
      <c r="L162" s="316"/>
      <c r="M162" s="272">
        <v>44593</v>
      </c>
      <c r="N162" s="272">
        <v>44925</v>
      </c>
      <c r="O162" s="272">
        <v>44652</v>
      </c>
      <c r="P162" s="273">
        <f t="shared" si="21"/>
        <v>0.17771084337349397</v>
      </c>
      <c r="Q162" s="273">
        <f t="shared" si="16"/>
        <v>0.17771084337349397</v>
      </c>
      <c r="R162" s="274">
        <v>1</v>
      </c>
      <c r="S162" s="275">
        <v>0.7</v>
      </c>
      <c r="T162" s="275">
        <v>0.8</v>
      </c>
      <c r="U162" s="275">
        <v>0.9</v>
      </c>
      <c r="V162" s="275">
        <v>1</v>
      </c>
      <c r="W162" s="275">
        <v>0</v>
      </c>
      <c r="X162" s="275" t="s">
        <v>697</v>
      </c>
      <c r="Y162" s="341" t="s">
        <v>53</v>
      </c>
      <c r="Z162" s="316">
        <v>0</v>
      </c>
      <c r="AA162" s="275">
        <v>0.4</v>
      </c>
      <c r="AB162" s="277" t="s">
        <v>698</v>
      </c>
      <c r="AC162" s="277"/>
      <c r="AD162" s="276"/>
      <c r="AE162" s="277"/>
      <c r="AF162" s="277"/>
      <c r="AG162" s="276"/>
      <c r="AH162" s="277"/>
      <c r="AI162" s="277"/>
      <c r="AJ162" s="278"/>
    </row>
    <row r="163" spans="1:36" ht="103.5" hidden="1" customHeight="1" outlineLevel="1" x14ac:dyDescent="0.2">
      <c r="A163" s="747"/>
      <c r="B163" s="739"/>
      <c r="C163" s="739"/>
      <c r="D163" s="629"/>
      <c r="E163" s="718"/>
      <c r="F163" s="719"/>
      <c r="G163" s="596"/>
      <c r="H163" s="359" t="s">
        <v>699</v>
      </c>
      <c r="I163" s="412" t="s">
        <v>700</v>
      </c>
      <c r="J163" s="552"/>
      <c r="K163" s="316">
        <v>5831000</v>
      </c>
      <c r="L163" s="316">
        <v>0</v>
      </c>
      <c r="M163" s="272">
        <v>44593</v>
      </c>
      <c r="N163" s="272">
        <v>44925</v>
      </c>
      <c r="O163" s="272">
        <v>44652</v>
      </c>
      <c r="P163" s="273">
        <f t="shared" si="21"/>
        <v>0.17771084337349397</v>
      </c>
      <c r="Q163" s="273">
        <f t="shared" ref="Q163" si="22">+IF(P163&gt;=100,100,IF(P163&lt;=0,0,P163))</f>
        <v>0.17771084337349397</v>
      </c>
      <c r="R163" s="274">
        <v>0.3</v>
      </c>
      <c r="S163" s="275">
        <v>0.15</v>
      </c>
      <c r="T163" s="275">
        <v>0.2</v>
      </c>
      <c r="U163" s="275">
        <v>0.25</v>
      </c>
      <c r="V163" s="275">
        <v>0.3</v>
      </c>
      <c r="W163" s="275">
        <v>0.6</v>
      </c>
      <c r="X163" s="275" t="s">
        <v>701</v>
      </c>
      <c r="Y163" s="343" t="s">
        <v>560</v>
      </c>
      <c r="Z163" s="316">
        <v>0</v>
      </c>
      <c r="AA163" s="275">
        <v>0.6</v>
      </c>
      <c r="AB163" s="12" t="s">
        <v>702</v>
      </c>
      <c r="AC163" s="277"/>
      <c r="AD163" s="276"/>
      <c r="AE163" s="277"/>
      <c r="AF163" s="277"/>
      <c r="AG163" s="276"/>
      <c r="AH163" s="277"/>
      <c r="AI163" s="277"/>
      <c r="AJ163" s="278"/>
    </row>
    <row r="164" spans="1:36" ht="60" hidden="1" customHeight="1" outlineLevel="1" x14ac:dyDescent="0.2">
      <c r="A164" s="747"/>
      <c r="B164" s="739"/>
      <c r="C164" s="739"/>
      <c r="D164" s="629"/>
      <c r="E164" s="718"/>
      <c r="F164" s="717" t="s">
        <v>703</v>
      </c>
      <c r="G164" s="296" t="s">
        <v>555</v>
      </c>
      <c r="H164" s="296" t="s">
        <v>704</v>
      </c>
      <c r="I164" s="594" t="s">
        <v>705</v>
      </c>
      <c r="J164" s="251" t="s">
        <v>555</v>
      </c>
      <c r="K164" s="316" t="s">
        <v>53</v>
      </c>
      <c r="L164" s="316"/>
      <c r="M164" s="272">
        <v>44593</v>
      </c>
      <c r="N164" s="272">
        <v>44925</v>
      </c>
      <c r="O164" s="272">
        <v>44652</v>
      </c>
      <c r="P164" s="273">
        <f t="shared" si="21"/>
        <v>0.17771084337349397</v>
      </c>
      <c r="Q164" s="273">
        <f t="shared" si="16"/>
        <v>0.17771084337349397</v>
      </c>
      <c r="R164" s="274">
        <v>0.6</v>
      </c>
      <c r="S164" s="275">
        <v>0.45</v>
      </c>
      <c r="T164" s="275">
        <v>0.5</v>
      </c>
      <c r="U164" s="275">
        <v>0.55000000000000004</v>
      </c>
      <c r="V164" s="275">
        <v>0.6</v>
      </c>
      <c r="W164" s="275">
        <v>0</v>
      </c>
      <c r="X164" s="275" t="s">
        <v>697</v>
      </c>
      <c r="Y164" s="341" t="s">
        <v>53</v>
      </c>
      <c r="Z164" s="316">
        <v>0</v>
      </c>
      <c r="AA164" s="275">
        <v>0.05</v>
      </c>
      <c r="AB164" s="277" t="s">
        <v>706</v>
      </c>
      <c r="AC164" s="277"/>
      <c r="AD164" s="276"/>
      <c r="AE164" s="277"/>
      <c r="AF164" s="277"/>
      <c r="AG164" s="276"/>
      <c r="AH164" s="277"/>
      <c r="AI164" s="277"/>
      <c r="AJ164" s="278"/>
    </row>
    <row r="165" spans="1:36" ht="70.150000000000006" hidden="1" customHeight="1" outlineLevel="1" x14ac:dyDescent="0.2">
      <c r="A165" s="747"/>
      <c r="B165" s="739"/>
      <c r="C165" s="739"/>
      <c r="D165" s="629"/>
      <c r="E165" s="718"/>
      <c r="F165" s="719"/>
      <c r="G165" s="296" t="s">
        <v>555</v>
      </c>
      <c r="H165" s="296" t="s">
        <v>707</v>
      </c>
      <c r="I165" s="596"/>
      <c r="J165" s="251" t="s">
        <v>708</v>
      </c>
      <c r="K165" s="316">
        <v>90000000</v>
      </c>
      <c r="L165" s="316"/>
      <c r="M165" s="272">
        <v>44593</v>
      </c>
      <c r="N165" s="272">
        <v>44925</v>
      </c>
      <c r="O165" s="272">
        <v>44652</v>
      </c>
      <c r="P165" s="273">
        <f t="shared" si="21"/>
        <v>0.17771084337349397</v>
      </c>
      <c r="Q165" s="273">
        <f t="shared" si="16"/>
        <v>0.17771084337349397</v>
      </c>
      <c r="R165" s="274">
        <v>1</v>
      </c>
      <c r="S165" s="275">
        <v>0.25</v>
      </c>
      <c r="T165" s="275">
        <v>0.5</v>
      </c>
      <c r="U165" s="275">
        <v>0.75</v>
      </c>
      <c r="V165" s="275">
        <v>1</v>
      </c>
      <c r="W165" s="275">
        <v>0</v>
      </c>
      <c r="X165" s="275" t="s">
        <v>697</v>
      </c>
      <c r="Y165" s="341" t="s">
        <v>53</v>
      </c>
      <c r="Z165" s="316">
        <v>0</v>
      </c>
      <c r="AA165" s="275">
        <v>0.1</v>
      </c>
      <c r="AB165" s="277" t="s">
        <v>709</v>
      </c>
      <c r="AC165" s="277"/>
      <c r="AD165" s="276"/>
      <c r="AE165" s="277"/>
      <c r="AF165" s="277"/>
      <c r="AG165" s="276"/>
      <c r="AH165" s="277"/>
      <c r="AI165" s="277"/>
      <c r="AJ165" s="278"/>
    </row>
    <row r="166" spans="1:36" ht="100.5" hidden="1" customHeight="1" outlineLevel="1" x14ac:dyDescent="0.2">
      <c r="A166" s="747"/>
      <c r="B166" s="739"/>
      <c r="C166" s="739"/>
      <c r="D166" s="629"/>
      <c r="E166" s="718"/>
      <c r="F166" s="717" t="s">
        <v>710</v>
      </c>
      <c r="G166" s="296" t="s">
        <v>555</v>
      </c>
      <c r="H166" s="296" t="s">
        <v>711</v>
      </c>
      <c r="I166" s="594" t="s">
        <v>712</v>
      </c>
      <c r="J166" s="251" t="s">
        <v>713</v>
      </c>
      <c r="K166" s="316" t="s">
        <v>53</v>
      </c>
      <c r="L166" s="316" t="s">
        <v>53</v>
      </c>
      <c r="M166" s="272">
        <v>44593</v>
      </c>
      <c r="N166" s="272">
        <v>44925</v>
      </c>
      <c r="O166" s="272">
        <v>44652</v>
      </c>
      <c r="P166" s="273">
        <f t="shared" si="21"/>
        <v>0.17771084337349397</v>
      </c>
      <c r="Q166" s="273">
        <f t="shared" si="16"/>
        <v>0.17771084337349397</v>
      </c>
      <c r="R166" s="274">
        <v>0.6</v>
      </c>
      <c r="S166" s="275">
        <v>0.45</v>
      </c>
      <c r="T166" s="275">
        <v>0.5</v>
      </c>
      <c r="U166" s="275">
        <v>0.55000000000000004</v>
      </c>
      <c r="V166" s="275">
        <v>0.6</v>
      </c>
      <c r="W166" s="275">
        <v>0.5</v>
      </c>
      <c r="X166" s="275" t="s">
        <v>714</v>
      </c>
      <c r="Y166" s="343" t="s">
        <v>560</v>
      </c>
      <c r="Z166" s="316">
        <v>0</v>
      </c>
      <c r="AA166" s="275">
        <v>0.7</v>
      </c>
      <c r="AB166" s="277" t="s">
        <v>715</v>
      </c>
      <c r="AC166" s="277"/>
      <c r="AD166" s="276"/>
      <c r="AE166" s="277"/>
      <c r="AF166" s="277"/>
      <c r="AG166" s="276"/>
      <c r="AH166" s="277"/>
      <c r="AI166" s="277"/>
      <c r="AJ166" s="278"/>
    </row>
    <row r="167" spans="1:36" ht="119.25" hidden="1" customHeight="1" outlineLevel="1" x14ac:dyDescent="0.2">
      <c r="A167" s="747"/>
      <c r="B167" s="739"/>
      <c r="C167" s="739"/>
      <c r="D167" s="629"/>
      <c r="E167" s="718"/>
      <c r="F167" s="718"/>
      <c r="G167" s="296" t="s">
        <v>555</v>
      </c>
      <c r="H167" s="296" t="s">
        <v>716</v>
      </c>
      <c r="I167" s="595"/>
      <c r="J167" s="251" t="s">
        <v>713</v>
      </c>
      <c r="K167" s="316">
        <v>228313171</v>
      </c>
      <c r="L167" s="316">
        <v>7738004</v>
      </c>
      <c r="M167" s="272">
        <v>44593</v>
      </c>
      <c r="N167" s="272">
        <v>44925</v>
      </c>
      <c r="O167" s="272">
        <v>44652</v>
      </c>
      <c r="P167" s="273">
        <f t="shared" si="21"/>
        <v>0.17771084337349397</v>
      </c>
      <c r="Q167" s="273">
        <f t="shared" si="16"/>
        <v>0.17771084337349397</v>
      </c>
      <c r="R167" s="274">
        <v>1</v>
      </c>
      <c r="S167" s="275">
        <v>0.25</v>
      </c>
      <c r="T167" s="275">
        <v>0.5</v>
      </c>
      <c r="U167" s="275">
        <v>0.75</v>
      </c>
      <c r="V167" s="275">
        <v>1</v>
      </c>
      <c r="W167" s="275">
        <v>0.6</v>
      </c>
      <c r="X167" s="275" t="s">
        <v>717</v>
      </c>
      <c r="Y167" s="343" t="s">
        <v>560</v>
      </c>
      <c r="Z167" s="316">
        <v>0</v>
      </c>
      <c r="AA167" s="275">
        <v>0.6</v>
      </c>
      <c r="AB167" s="277" t="s">
        <v>718</v>
      </c>
      <c r="AC167" s="277"/>
      <c r="AD167" s="276"/>
      <c r="AE167" s="277"/>
      <c r="AF167" s="277"/>
      <c r="AG167" s="276"/>
      <c r="AH167" s="277"/>
      <c r="AI167" s="277"/>
      <c r="AJ167" s="278"/>
    </row>
    <row r="168" spans="1:36" ht="147" hidden="1" customHeight="1" outlineLevel="1" x14ac:dyDescent="0.2">
      <c r="A168" s="747"/>
      <c r="B168" s="546" t="s">
        <v>40</v>
      </c>
      <c r="C168" s="546" t="s">
        <v>719</v>
      </c>
      <c r="D168" s="749" t="s">
        <v>720</v>
      </c>
      <c r="E168" s="743" t="s">
        <v>721</v>
      </c>
      <c r="F168" s="743" t="s">
        <v>722</v>
      </c>
      <c r="G168" s="726" t="s">
        <v>723</v>
      </c>
      <c r="H168" s="15" t="s">
        <v>724</v>
      </c>
      <c r="I168" s="726" t="s">
        <v>725</v>
      </c>
      <c r="J168" s="251" t="s">
        <v>205</v>
      </c>
      <c r="K168" s="316">
        <v>47733861</v>
      </c>
      <c r="L168" s="316">
        <v>12000000</v>
      </c>
      <c r="M168" s="272">
        <v>44593</v>
      </c>
      <c r="N168" s="272">
        <v>44925</v>
      </c>
      <c r="O168" s="272">
        <v>44652</v>
      </c>
      <c r="P168" s="273">
        <f t="shared" si="21"/>
        <v>0.17771084337349397</v>
      </c>
      <c r="Q168" s="273">
        <f t="shared" si="16"/>
        <v>0.17771084337349397</v>
      </c>
      <c r="R168" s="274">
        <v>1</v>
      </c>
      <c r="S168" s="275">
        <v>0.25</v>
      </c>
      <c r="T168" s="275">
        <v>0.5</v>
      </c>
      <c r="U168" s="275">
        <v>0.75</v>
      </c>
      <c r="V168" s="275">
        <v>1</v>
      </c>
      <c r="W168" s="275">
        <v>0.25</v>
      </c>
      <c r="X168" s="275" t="s">
        <v>726</v>
      </c>
      <c r="Y168" s="341" t="s">
        <v>727</v>
      </c>
      <c r="Z168" s="316">
        <v>25000000</v>
      </c>
      <c r="AA168" s="487">
        <v>0.5</v>
      </c>
      <c r="AB168" s="275" t="s">
        <v>2204</v>
      </c>
      <c r="AC168" s="277" t="s">
        <v>727</v>
      </c>
      <c r="AD168" s="276"/>
      <c r="AE168" s="277"/>
      <c r="AF168" s="277"/>
      <c r="AG168" s="276"/>
      <c r="AH168" s="277"/>
      <c r="AI168" s="277"/>
      <c r="AJ168" s="278"/>
    </row>
    <row r="169" spans="1:36" ht="61.5" hidden="1" customHeight="1" outlineLevel="1" x14ac:dyDescent="0.2">
      <c r="A169" s="747"/>
      <c r="B169" s="581"/>
      <c r="C169" s="581"/>
      <c r="D169" s="750"/>
      <c r="E169" s="744"/>
      <c r="F169" s="744"/>
      <c r="G169" s="728"/>
      <c r="H169" s="15" t="s">
        <v>728</v>
      </c>
      <c r="I169" s="727"/>
      <c r="J169" s="251" t="s">
        <v>729</v>
      </c>
      <c r="K169" s="262" t="s">
        <v>53</v>
      </c>
      <c r="L169" s="316">
        <v>0</v>
      </c>
      <c r="M169" s="272">
        <v>44593</v>
      </c>
      <c r="N169" s="272">
        <v>44925</v>
      </c>
      <c r="O169" s="272">
        <v>44652</v>
      </c>
      <c r="P169" s="273">
        <f t="shared" si="21"/>
        <v>0.17771084337349397</v>
      </c>
      <c r="Q169" s="273">
        <f t="shared" ref="Q169:Q170" si="23">+IF(P169&gt;=100,100,IF(P169&lt;=0,0,P169))</f>
        <v>0.17771084337349397</v>
      </c>
      <c r="R169" s="274">
        <v>1</v>
      </c>
      <c r="S169" s="275">
        <v>0.25</v>
      </c>
      <c r="T169" s="275">
        <v>0.5</v>
      </c>
      <c r="U169" s="275">
        <v>0.75</v>
      </c>
      <c r="V169" s="275">
        <v>1</v>
      </c>
      <c r="W169" s="275">
        <v>0.5</v>
      </c>
      <c r="X169" s="275" t="s">
        <v>730</v>
      </c>
      <c r="Y169" s="341" t="s">
        <v>731</v>
      </c>
      <c r="Z169" s="316">
        <v>0</v>
      </c>
      <c r="AA169" s="487">
        <v>0.5</v>
      </c>
      <c r="AB169" s="277" t="s">
        <v>2205</v>
      </c>
      <c r="AC169" s="473" t="s">
        <v>2206</v>
      </c>
      <c r="AD169" s="276"/>
      <c r="AE169" s="277"/>
      <c r="AF169" s="277"/>
      <c r="AG169" s="276"/>
      <c r="AH169" s="277"/>
      <c r="AI169" s="277"/>
      <c r="AJ169" s="278"/>
    </row>
    <row r="170" spans="1:36" ht="96" hidden="1" customHeight="1" outlineLevel="1" x14ac:dyDescent="0.2">
      <c r="A170" s="747"/>
      <c r="B170" s="547"/>
      <c r="C170" s="547"/>
      <c r="D170" s="751"/>
      <c r="E170" s="745"/>
      <c r="F170" s="745"/>
      <c r="G170" s="15" t="s">
        <v>405</v>
      </c>
      <c r="H170" s="15" t="s">
        <v>732</v>
      </c>
      <c r="I170" s="728"/>
      <c r="J170" s="280" t="s">
        <v>733</v>
      </c>
      <c r="K170" s="316">
        <v>5000000</v>
      </c>
      <c r="L170" s="316">
        <v>0</v>
      </c>
      <c r="M170" s="272">
        <v>44593</v>
      </c>
      <c r="N170" s="272">
        <v>44925</v>
      </c>
      <c r="O170" s="272">
        <v>44652</v>
      </c>
      <c r="P170" s="273">
        <f t="shared" si="21"/>
        <v>0.17771084337349397</v>
      </c>
      <c r="Q170" s="273">
        <f t="shared" si="23"/>
        <v>0.17771084337349397</v>
      </c>
      <c r="R170" s="274">
        <v>1</v>
      </c>
      <c r="S170" s="275">
        <v>0.25</v>
      </c>
      <c r="T170" s="275">
        <v>0.5</v>
      </c>
      <c r="U170" s="275">
        <v>0.75</v>
      </c>
      <c r="V170" s="275">
        <v>1</v>
      </c>
      <c r="W170" s="275">
        <v>0.25</v>
      </c>
      <c r="X170" s="275" t="s">
        <v>734</v>
      </c>
      <c r="Y170" s="341" t="s">
        <v>53</v>
      </c>
      <c r="Z170" s="316">
        <v>4155004</v>
      </c>
      <c r="AA170" s="487">
        <v>1</v>
      </c>
      <c r="AB170" s="277" t="s">
        <v>2207</v>
      </c>
      <c r="AC170" s="277" t="s">
        <v>2208</v>
      </c>
      <c r="AD170" s="276"/>
      <c r="AE170" s="277"/>
      <c r="AF170" s="277"/>
      <c r="AG170" s="276"/>
      <c r="AH170" s="277"/>
      <c r="AI170" s="277"/>
      <c r="AJ170" s="278"/>
    </row>
    <row r="171" spans="1:36" ht="118.5" hidden="1" customHeight="1" outlineLevel="1" x14ac:dyDescent="0.2">
      <c r="A171" s="747"/>
      <c r="B171" s="416" t="s">
        <v>40</v>
      </c>
      <c r="C171" s="414" t="s">
        <v>735</v>
      </c>
      <c r="D171" s="421" t="s">
        <v>736</v>
      </c>
      <c r="E171" s="13" t="s">
        <v>737</v>
      </c>
      <c r="F171" s="13" t="s">
        <v>738</v>
      </c>
      <c r="G171" s="14" t="s">
        <v>229</v>
      </c>
      <c r="H171" s="14" t="s">
        <v>739</v>
      </c>
      <c r="I171" s="14" t="s">
        <v>740</v>
      </c>
      <c r="J171" s="262" t="s">
        <v>128</v>
      </c>
      <c r="K171" s="262" t="s">
        <v>128</v>
      </c>
      <c r="L171" s="316">
        <v>0</v>
      </c>
      <c r="M171" s="272">
        <v>44593</v>
      </c>
      <c r="N171" s="272">
        <v>44925</v>
      </c>
      <c r="O171" s="272">
        <v>44652</v>
      </c>
      <c r="P171" s="273">
        <f t="shared" si="21"/>
        <v>0.17771084337349397</v>
      </c>
      <c r="Q171" s="273">
        <f t="shared" si="16"/>
        <v>0.17771084337349397</v>
      </c>
      <c r="R171" s="274">
        <v>0.4</v>
      </c>
      <c r="S171" s="275">
        <v>0.25</v>
      </c>
      <c r="T171" s="275">
        <v>0.3</v>
      </c>
      <c r="U171" s="275">
        <v>0.35</v>
      </c>
      <c r="V171" s="275">
        <v>0.4</v>
      </c>
      <c r="W171" s="275">
        <v>0</v>
      </c>
      <c r="X171" s="345" t="s">
        <v>2209</v>
      </c>
      <c r="Y171" s="341"/>
      <c r="Z171" s="316">
        <v>0</v>
      </c>
      <c r="AA171" s="275">
        <v>0</v>
      </c>
      <c r="AB171" s="345" t="s">
        <v>2209</v>
      </c>
      <c r="AC171" s="277" t="s">
        <v>53</v>
      </c>
      <c r="AD171" s="276"/>
      <c r="AE171" s="277"/>
      <c r="AF171" s="277"/>
      <c r="AG171" s="276"/>
      <c r="AH171" s="277"/>
      <c r="AI171" s="277"/>
      <c r="AJ171" s="278"/>
    </row>
    <row r="172" spans="1:36" ht="101.25" hidden="1" customHeight="1" outlineLevel="1" x14ac:dyDescent="0.2">
      <c r="A172" s="747"/>
      <c r="B172" s="546" t="s">
        <v>40</v>
      </c>
      <c r="C172" s="546" t="s">
        <v>107</v>
      </c>
      <c r="D172" s="625" t="s">
        <v>741</v>
      </c>
      <c r="E172" s="740" t="s">
        <v>742</v>
      </c>
      <c r="F172" s="740" t="s">
        <v>743</v>
      </c>
      <c r="G172" s="714" t="s">
        <v>744</v>
      </c>
      <c r="H172" s="486" t="s">
        <v>745</v>
      </c>
      <c r="I172" s="714" t="s">
        <v>746</v>
      </c>
      <c r="J172" s="262" t="s">
        <v>205</v>
      </c>
      <c r="K172" s="316">
        <v>60172000</v>
      </c>
      <c r="L172" s="316">
        <v>0</v>
      </c>
      <c r="M172" s="272">
        <v>44593</v>
      </c>
      <c r="N172" s="272">
        <v>44925</v>
      </c>
      <c r="O172" s="272">
        <v>44652</v>
      </c>
      <c r="P172" s="273">
        <f t="shared" si="21"/>
        <v>0.17771084337349397</v>
      </c>
      <c r="Q172" s="273">
        <f t="shared" si="16"/>
        <v>0.17771084337349397</v>
      </c>
      <c r="R172" s="274">
        <v>0.09</v>
      </c>
      <c r="S172" s="275">
        <v>0.06</v>
      </c>
      <c r="T172" s="275">
        <v>7.0000000000000007E-2</v>
      </c>
      <c r="U172" s="275">
        <v>0.08</v>
      </c>
      <c r="V172" s="275">
        <v>0.09</v>
      </c>
      <c r="W172" s="275">
        <v>0.25</v>
      </c>
      <c r="X172" s="275" t="s">
        <v>747</v>
      </c>
      <c r="Y172" s="341" t="s">
        <v>306</v>
      </c>
      <c r="Z172" s="316">
        <v>30000000</v>
      </c>
      <c r="AA172" s="275">
        <v>0.51</v>
      </c>
      <c r="AB172" s="277" t="s">
        <v>748</v>
      </c>
      <c r="AC172" s="277" t="s">
        <v>727</v>
      </c>
      <c r="AD172" s="276"/>
      <c r="AE172" s="277"/>
      <c r="AF172" s="277"/>
      <c r="AG172" s="276"/>
      <c r="AH172" s="277"/>
      <c r="AI172" s="277"/>
      <c r="AJ172" s="278"/>
    </row>
    <row r="173" spans="1:36" ht="93.75" hidden="1" customHeight="1" outlineLevel="1" x14ac:dyDescent="0.2">
      <c r="A173" s="747"/>
      <c r="B173" s="581"/>
      <c r="C173" s="581"/>
      <c r="D173" s="626"/>
      <c r="E173" s="741"/>
      <c r="F173" s="741"/>
      <c r="G173" s="715"/>
      <c r="H173" s="264" t="s">
        <v>749</v>
      </c>
      <c r="I173" s="715"/>
      <c r="J173" s="262" t="s">
        <v>750</v>
      </c>
      <c r="K173" s="316">
        <v>42000000</v>
      </c>
      <c r="L173" s="316">
        <v>0</v>
      </c>
      <c r="M173" s="272">
        <v>44593</v>
      </c>
      <c r="N173" s="272">
        <v>44925</v>
      </c>
      <c r="O173" s="272">
        <v>44652</v>
      </c>
      <c r="P173" s="273">
        <f t="shared" si="21"/>
        <v>0.17771084337349397</v>
      </c>
      <c r="Q173" s="273">
        <f t="shared" si="16"/>
        <v>0.17771084337349397</v>
      </c>
      <c r="R173" s="274">
        <v>1</v>
      </c>
      <c r="S173" s="275">
        <v>0.25</v>
      </c>
      <c r="T173" s="275">
        <v>0.5</v>
      </c>
      <c r="U173" s="275">
        <v>0.75</v>
      </c>
      <c r="V173" s="275">
        <v>1</v>
      </c>
      <c r="W173" s="275">
        <v>0.1</v>
      </c>
      <c r="X173" s="275" t="s">
        <v>751</v>
      </c>
      <c r="Y173" s="341" t="s">
        <v>417</v>
      </c>
      <c r="Z173" s="316">
        <v>0</v>
      </c>
      <c r="AA173" s="275">
        <v>0.25</v>
      </c>
      <c r="AB173" s="277" t="s">
        <v>752</v>
      </c>
      <c r="AC173" s="277" t="s">
        <v>417</v>
      </c>
      <c r="AD173" s="276"/>
      <c r="AE173" s="277"/>
      <c r="AF173" s="277"/>
      <c r="AG173" s="276"/>
      <c r="AH173" s="277"/>
      <c r="AI173" s="277"/>
      <c r="AJ173" s="278"/>
    </row>
    <row r="174" spans="1:36" ht="112.5" hidden="1" customHeight="1" outlineLevel="1" x14ac:dyDescent="0.2">
      <c r="A174" s="747"/>
      <c r="B174" s="581"/>
      <c r="C174" s="581"/>
      <c r="D174" s="626"/>
      <c r="E174" s="741"/>
      <c r="F174" s="741"/>
      <c r="G174" s="715"/>
      <c r="H174" s="265" t="s">
        <v>753</v>
      </c>
      <c r="I174" s="715"/>
      <c r="J174" s="262" t="s">
        <v>754</v>
      </c>
      <c r="K174" s="317" t="s">
        <v>755</v>
      </c>
      <c r="L174" s="316">
        <v>0</v>
      </c>
      <c r="M174" s="272">
        <v>44593</v>
      </c>
      <c r="N174" s="272">
        <v>44925</v>
      </c>
      <c r="O174" s="272">
        <v>44652</v>
      </c>
      <c r="P174" s="273">
        <f t="shared" si="21"/>
        <v>0.17771084337349397</v>
      </c>
      <c r="Q174" s="273">
        <f t="shared" si="16"/>
        <v>0.17771084337349397</v>
      </c>
      <c r="R174" s="274">
        <v>1</v>
      </c>
      <c r="S174" s="275">
        <v>0.25</v>
      </c>
      <c r="T174" s="275">
        <v>0.5</v>
      </c>
      <c r="U174" s="275">
        <v>0.75</v>
      </c>
      <c r="V174" s="275">
        <v>1</v>
      </c>
      <c r="W174" s="275">
        <v>0.05</v>
      </c>
      <c r="X174" s="275" t="s">
        <v>756</v>
      </c>
      <c r="Y174" s="341" t="s">
        <v>53</v>
      </c>
      <c r="Z174" s="316">
        <v>0</v>
      </c>
      <c r="AA174" s="275">
        <v>0.05</v>
      </c>
      <c r="AB174" s="277" t="s">
        <v>757</v>
      </c>
      <c r="AC174" s="277" t="s">
        <v>53</v>
      </c>
      <c r="AD174" s="276"/>
      <c r="AE174" s="277"/>
      <c r="AF174" s="277"/>
      <c r="AG174" s="276"/>
      <c r="AH174" s="277"/>
      <c r="AI174" s="277"/>
      <c r="AJ174" s="278"/>
    </row>
    <row r="175" spans="1:36" ht="120.75" hidden="1" customHeight="1" outlineLevel="1" x14ac:dyDescent="0.2">
      <c r="A175" s="747"/>
      <c r="B175" s="581"/>
      <c r="C175" s="581"/>
      <c r="D175" s="626"/>
      <c r="E175" s="741"/>
      <c r="F175" s="741"/>
      <c r="G175" s="715"/>
      <c r="H175" s="265" t="s">
        <v>758</v>
      </c>
      <c r="I175" s="715"/>
      <c r="J175" s="262" t="s">
        <v>759</v>
      </c>
      <c r="K175" s="262" t="s">
        <v>128</v>
      </c>
      <c r="L175" s="316">
        <v>0</v>
      </c>
      <c r="M175" s="272">
        <v>44593</v>
      </c>
      <c r="N175" s="272">
        <v>44925</v>
      </c>
      <c r="O175" s="272">
        <v>44652</v>
      </c>
      <c r="P175" s="273">
        <f t="shared" si="21"/>
        <v>0.17771084337349397</v>
      </c>
      <c r="Q175" s="273">
        <f t="shared" si="16"/>
        <v>0.17771084337349397</v>
      </c>
      <c r="R175" s="274">
        <v>1</v>
      </c>
      <c r="S175" s="275">
        <v>0.25</v>
      </c>
      <c r="T175" s="275">
        <v>0.5</v>
      </c>
      <c r="U175" s="275">
        <v>0.75</v>
      </c>
      <c r="V175" s="275">
        <v>1</v>
      </c>
      <c r="W175" s="275">
        <v>0.1</v>
      </c>
      <c r="X175" s="275" t="s">
        <v>760</v>
      </c>
      <c r="Y175" s="341" t="s">
        <v>53</v>
      </c>
      <c r="Z175" s="316">
        <v>0</v>
      </c>
      <c r="AA175" s="275">
        <v>0.2</v>
      </c>
      <c r="AB175" s="277" t="s">
        <v>761</v>
      </c>
      <c r="AC175" s="277" t="s">
        <v>53</v>
      </c>
      <c r="AD175" s="276"/>
      <c r="AE175" s="277"/>
      <c r="AF175" s="277"/>
      <c r="AG175" s="276"/>
      <c r="AH175" s="277"/>
      <c r="AI175" s="277"/>
      <c r="AJ175" s="278"/>
    </row>
    <row r="176" spans="1:36" ht="107.25" hidden="1" customHeight="1" outlineLevel="1" x14ac:dyDescent="0.2">
      <c r="A176" s="747"/>
      <c r="B176" s="547"/>
      <c r="C176" s="547"/>
      <c r="D176" s="627"/>
      <c r="E176" s="742"/>
      <c r="F176" s="742"/>
      <c r="G176" s="716"/>
      <c r="H176" s="265" t="s">
        <v>762</v>
      </c>
      <c r="I176" s="716"/>
      <c r="J176" s="262" t="s">
        <v>763</v>
      </c>
      <c r="K176" s="262" t="s">
        <v>128</v>
      </c>
      <c r="L176" s="316">
        <v>0</v>
      </c>
      <c r="M176" s="272">
        <v>44593</v>
      </c>
      <c r="N176" s="272">
        <v>44925</v>
      </c>
      <c r="O176" s="272">
        <v>44652</v>
      </c>
      <c r="P176" s="273">
        <f t="shared" si="21"/>
        <v>0.17771084337349397</v>
      </c>
      <c r="Q176" s="273">
        <f t="shared" si="16"/>
        <v>0.17771084337349397</v>
      </c>
      <c r="R176" s="274">
        <v>1</v>
      </c>
      <c r="S176" s="275">
        <v>0.25</v>
      </c>
      <c r="T176" s="275">
        <v>0.5</v>
      </c>
      <c r="U176" s="275">
        <v>0.75</v>
      </c>
      <c r="V176" s="275">
        <v>1</v>
      </c>
      <c r="W176" s="275">
        <v>0.25</v>
      </c>
      <c r="X176" s="275" t="s">
        <v>764</v>
      </c>
      <c r="Y176" s="341" t="s">
        <v>53</v>
      </c>
      <c r="Z176" s="316">
        <v>0</v>
      </c>
      <c r="AA176" s="275">
        <v>0.5</v>
      </c>
      <c r="AB176" s="277" t="s">
        <v>2303</v>
      </c>
      <c r="AC176" s="277" t="s">
        <v>53</v>
      </c>
      <c r="AD176" s="276"/>
      <c r="AE176" s="277"/>
      <c r="AF176" s="277"/>
      <c r="AG176" s="276"/>
      <c r="AH176" s="277"/>
      <c r="AI176" s="277"/>
      <c r="AJ176" s="278"/>
    </row>
    <row r="177" spans="1:36" ht="96.75" hidden="1" customHeight="1" outlineLevel="1" x14ac:dyDescent="0.2">
      <c r="A177" s="747"/>
      <c r="B177" s="546" t="s">
        <v>40</v>
      </c>
      <c r="C177" s="483" t="s">
        <v>735</v>
      </c>
      <c r="D177" s="628" t="s">
        <v>765</v>
      </c>
      <c r="E177" s="432" t="s">
        <v>43</v>
      </c>
      <c r="F177" s="4" t="s">
        <v>44</v>
      </c>
      <c r="G177" s="5" t="s">
        <v>766</v>
      </c>
      <c r="H177" s="5" t="s">
        <v>767</v>
      </c>
      <c r="I177" s="5" t="s">
        <v>47</v>
      </c>
      <c r="J177" s="262" t="s">
        <v>768</v>
      </c>
      <c r="K177" s="262" t="s">
        <v>53</v>
      </c>
      <c r="L177" s="316">
        <v>0</v>
      </c>
      <c r="M177" s="272">
        <v>44593</v>
      </c>
      <c r="N177" s="272">
        <v>44925</v>
      </c>
      <c r="O177" s="272">
        <v>44652</v>
      </c>
      <c r="P177" s="273">
        <f t="shared" si="21"/>
        <v>0.17771084337349397</v>
      </c>
      <c r="Q177" s="273">
        <f t="shared" si="16"/>
        <v>0.17771084337349397</v>
      </c>
      <c r="R177" s="274">
        <v>1</v>
      </c>
      <c r="S177" s="275">
        <v>0.25</v>
      </c>
      <c r="T177" s="275">
        <v>0.5</v>
      </c>
      <c r="U177" s="275">
        <v>0.75</v>
      </c>
      <c r="V177" s="275">
        <v>1</v>
      </c>
      <c r="W177" s="275">
        <v>0.25</v>
      </c>
      <c r="X177" s="275" t="s">
        <v>769</v>
      </c>
      <c r="Y177" s="341" t="s">
        <v>770</v>
      </c>
      <c r="Z177" s="316">
        <v>0</v>
      </c>
      <c r="AA177" s="487">
        <v>0.5</v>
      </c>
      <c r="AB177" s="277" t="s">
        <v>2210</v>
      </c>
      <c r="AC177" s="473" t="s">
        <v>2211</v>
      </c>
      <c r="AD177" s="276"/>
      <c r="AE177" s="277"/>
      <c r="AF177" s="277"/>
      <c r="AG177" s="276"/>
      <c r="AH177" s="277"/>
      <c r="AI177" s="277"/>
      <c r="AJ177" s="278"/>
    </row>
    <row r="178" spans="1:36" ht="77.25" hidden="1" customHeight="1" outlineLevel="1" x14ac:dyDescent="0.2">
      <c r="A178" s="747"/>
      <c r="B178" s="547"/>
      <c r="C178" s="483" t="s">
        <v>107</v>
      </c>
      <c r="D178" s="690"/>
      <c r="E178" s="422" t="s">
        <v>742</v>
      </c>
      <c r="F178" s="413" t="s">
        <v>482</v>
      </c>
      <c r="G178" s="424" t="s">
        <v>771</v>
      </c>
      <c r="H178" s="5" t="s">
        <v>772</v>
      </c>
      <c r="I178" s="484" t="s">
        <v>485</v>
      </c>
      <c r="J178" s="262" t="s">
        <v>773</v>
      </c>
      <c r="K178" s="262" t="s">
        <v>53</v>
      </c>
      <c r="L178" s="316">
        <v>0</v>
      </c>
      <c r="M178" s="272">
        <v>44593</v>
      </c>
      <c r="N178" s="272">
        <v>44925</v>
      </c>
      <c r="O178" s="272">
        <v>44652</v>
      </c>
      <c r="P178" s="273">
        <f t="shared" si="21"/>
        <v>0.17771084337349397</v>
      </c>
      <c r="Q178" s="273">
        <f t="shared" si="16"/>
        <v>0.17771084337349397</v>
      </c>
      <c r="R178" s="274">
        <v>1</v>
      </c>
      <c r="S178" s="275">
        <v>0.25</v>
      </c>
      <c r="T178" s="275">
        <v>0.5</v>
      </c>
      <c r="U178" s="275">
        <v>0.75</v>
      </c>
      <c r="V178" s="275">
        <v>1</v>
      </c>
      <c r="W178" s="275">
        <v>0.25</v>
      </c>
      <c r="X178" s="275" t="s">
        <v>774</v>
      </c>
      <c r="Y178" s="341" t="s">
        <v>775</v>
      </c>
      <c r="Z178" s="316">
        <v>0</v>
      </c>
      <c r="AA178" s="487">
        <v>0.5</v>
      </c>
      <c r="AB178" s="277" t="s">
        <v>2212</v>
      </c>
      <c r="AC178" s="277" t="s">
        <v>53</v>
      </c>
      <c r="AD178" s="276"/>
      <c r="AE178" s="277"/>
      <c r="AF178" s="277"/>
      <c r="AG178" s="276"/>
      <c r="AH178" s="277"/>
      <c r="AI178" s="277"/>
      <c r="AJ178" s="278"/>
    </row>
    <row r="179" spans="1:36" ht="112.5" hidden="1" customHeight="1" outlineLevel="1" x14ac:dyDescent="0.2">
      <c r="A179" s="747"/>
      <c r="B179" s="546" t="s">
        <v>40</v>
      </c>
      <c r="C179" s="546" t="s">
        <v>776</v>
      </c>
      <c r="D179" s="630" t="s">
        <v>777</v>
      </c>
      <c r="E179" s="753" t="s">
        <v>778</v>
      </c>
      <c r="F179" s="451" t="s">
        <v>779</v>
      </c>
      <c r="G179" s="243" t="s">
        <v>185</v>
      </c>
      <c r="H179" s="243" t="s">
        <v>780</v>
      </c>
      <c r="I179" s="243" t="s">
        <v>781</v>
      </c>
      <c r="J179" s="262" t="s">
        <v>782</v>
      </c>
      <c r="K179" s="262" t="s">
        <v>53</v>
      </c>
      <c r="L179" s="316">
        <v>0</v>
      </c>
      <c r="M179" s="272">
        <v>44593</v>
      </c>
      <c r="N179" s="272">
        <v>44925</v>
      </c>
      <c r="O179" s="272">
        <v>44652</v>
      </c>
      <c r="P179" s="273">
        <f t="shared" si="21"/>
        <v>0.17771084337349397</v>
      </c>
      <c r="Q179" s="273">
        <f t="shared" si="16"/>
        <v>0.17771084337349397</v>
      </c>
      <c r="R179" s="282">
        <v>7.0000000000000001E-3</v>
      </c>
      <c r="S179" s="283">
        <v>5.0000000000000001E-3</v>
      </c>
      <c r="T179" s="283">
        <v>6.0000000000000001E-3</v>
      </c>
      <c r="U179" s="283">
        <v>6.0000000000000001E-3</v>
      </c>
      <c r="V179" s="283">
        <v>7.0000000000000001E-3</v>
      </c>
      <c r="W179" s="275">
        <v>0.2</v>
      </c>
      <c r="X179" s="275" t="s">
        <v>783</v>
      </c>
      <c r="Y179" s="341" t="s">
        <v>784</v>
      </c>
      <c r="Z179" s="316">
        <v>0</v>
      </c>
      <c r="AA179" s="275">
        <v>0.2</v>
      </c>
      <c r="AB179" s="277" t="s">
        <v>785</v>
      </c>
      <c r="AC179" s="277" t="s">
        <v>53</v>
      </c>
      <c r="AD179" s="276"/>
      <c r="AE179" s="277"/>
      <c r="AF179" s="277"/>
      <c r="AG179" s="276"/>
      <c r="AH179" s="277"/>
      <c r="AI179" s="277"/>
      <c r="AJ179" s="278"/>
    </row>
    <row r="180" spans="1:36" ht="211.5" hidden="1" customHeight="1" outlineLevel="1" x14ac:dyDescent="0.2">
      <c r="A180" s="747"/>
      <c r="B180" s="581"/>
      <c r="C180" s="581"/>
      <c r="D180" s="630"/>
      <c r="E180" s="754"/>
      <c r="F180" s="753" t="s">
        <v>786</v>
      </c>
      <c r="G180" s="732" t="s">
        <v>185</v>
      </c>
      <c r="H180" s="243" t="s">
        <v>787</v>
      </c>
      <c r="I180" s="732" t="s">
        <v>788</v>
      </c>
      <c r="J180" s="262" t="s">
        <v>789</v>
      </c>
      <c r="K180" s="262" t="s">
        <v>53</v>
      </c>
      <c r="L180" s="316">
        <v>0</v>
      </c>
      <c r="M180" s="272">
        <v>44593</v>
      </c>
      <c r="N180" s="272">
        <v>44925</v>
      </c>
      <c r="O180" s="272">
        <v>44652</v>
      </c>
      <c r="P180" s="273">
        <f t="shared" si="21"/>
        <v>0.17771084337349397</v>
      </c>
      <c r="Q180" s="273">
        <f t="shared" si="16"/>
        <v>0.17771084337349397</v>
      </c>
      <c r="R180" s="282">
        <v>7.4999999999999997E-2</v>
      </c>
      <c r="S180" s="283">
        <v>7.4999999999999997E-2</v>
      </c>
      <c r="T180" s="283">
        <v>7.4999999999999997E-2</v>
      </c>
      <c r="U180" s="283">
        <v>7.4999999999999997E-2</v>
      </c>
      <c r="V180" s="283">
        <v>7.4999999999999997E-2</v>
      </c>
      <c r="W180" s="275">
        <v>0.25</v>
      </c>
      <c r="X180" s="275" t="s">
        <v>790</v>
      </c>
      <c r="Y180" s="341" t="s">
        <v>267</v>
      </c>
      <c r="Z180" s="316">
        <v>0</v>
      </c>
      <c r="AA180" s="275">
        <v>0.5</v>
      </c>
      <c r="AB180" s="277" t="s">
        <v>791</v>
      </c>
      <c r="AC180" s="277" t="s">
        <v>2216</v>
      </c>
      <c r="AD180" s="276"/>
      <c r="AE180" s="277"/>
      <c r="AF180" s="277"/>
      <c r="AG180" s="276"/>
      <c r="AH180" s="277"/>
      <c r="AI180" s="277"/>
      <c r="AJ180" s="278"/>
    </row>
    <row r="181" spans="1:36" ht="168" hidden="1" customHeight="1" outlineLevel="1" x14ac:dyDescent="0.2">
      <c r="A181" s="747"/>
      <c r="B181" s="581"/>
      <c r="C181" s="581"/>
      <c r="D181" s="630"/>
      <c r="E181" s="754"/>
      <c r="F181" s="754"/>
      <c r="G181" s="733"/>
      <c r="H181" s="243" t="s">
        <v>792</v>
      </c>
      <c r="I181" s="733"/>
      <c r="J181" s="262" t="s">
        <v>793</v>
      </c>
      <c r="K181" s="262" t="s">
        <v>53</v>
      </c>
      <c r="L181" s="316">
        <v>0</v>
      </c>
      <c r="M181" s="272">
        <v>44593</v>
      </c>
      <c r="N181" s="272">
        <v>44925</v>
      </c>
      <c r="O181" s="272">
        <v>44652</v>
      </c>
      <c r="P181" s="273">
        <f t="shared" si="21"/>
        <v>0.17771084337349397</v>
      </c>
      <c r="Q181" s="273">
        <f t="shared" si="16"/>
        <v>0.17771084337349397</v>
      </c>
      <c r="R181" s="274">
        <v>1</v>
      </c>
      <c r="S181" s="275">
        <v>0.25</v>
      </c>
      <c r="T181" s="275">
        <v>0.5</v>
      </c>
      <c r="U181" s="275">
        <v>0.75</v>
      </c>
      <c r="V181" s="275">
        <v>1</v>
      </c>
      <c r="W181" s="275">
        <v>0.25</v>
      </c>
      <c r="X181" s="275" t="s">
        <v>794</v>
      </c>
      <c r="Y181" s="341" t="s">
        <v>795</v>
      </c>
      <c r="Z181" s="316">
        <v>0</v>
      </c>
      <c r="AA181" s="275">
        <v>0.5</v>
      </c>
      <c r="AB181" s="277" t="s">
        <v>796</v>
      </c>
      <c r="AC181" s="277" t="s">
        <v>2215</v>
      </c>
      <c r="AD181" s="276"/>
      <c r="AE181" s="277"/>
      <c r="AF181" s="277"/>
      <c r="AG181" s="276"/>
      <c r="AH181" s="277"/>
      <c r="AI181" s="277"/>
      <c r="AJ181" s="278"/>
    </row>
    <row r="182" spans="1:36" ht="90" hidden="1" customHeight="1" outlineLevel="1" x14ac:dyDescent="0.2">
      <c r="A182" s="747"/>
      <c r="B182" s="547"/>
      <c r="C182" s="547"/>
      <c r="D182" s="630"/>
      <c r="E182" s="755"/>
      <c r="F182" s="755"/>
      <c r="G182" s="734"/>
      <c r="H182" s="243" t="s">
        <v>797</v>
      </c>
      <c r="I182" s="734"/>
      <c r="J182" s="262" t="s">
        <v>798</v>
      </c>
      <c r="K182" s="262" t="s">
        <v>53</v>
      </c>
      <c r="L182" s="316">
        <v>0</v>
      </c>
      <c r="M182" s="272">
        <v>44593</v>
      </c>
      <c r="N182" s="272">
        <v>44925</v>
      </c>
      <c r="O182" s="272">
        <v>44652</v>
      </c>
      <c r="P182" s="273">
        <f t="shared" si="21"/>
        <v>0.17771084337349397</v>
      </c>
      <c r="Q182" s="273">
        <f t="shared" si="16"/>
        <v>0.17771084337349397</v>
      </c>
      <c r="R182" s="274">
        <v>1</v>
      </c>
      <c r="S182" s="275">
        <v>0.25</v>
      </c>
      <c r="T182" s="275">
        <v>0.5</v>
      </c>
      <c r="U182" s="275">
        <v>0.75</v>
      </c>
      <c r="V182" s="275">
        <v>1</v>
      </c>
      <c r="W182" s="275">
        <v>0.25</v>
      </c>
      <c r="X182" s="275" t="s">
        <v>799</v>
      </c>
      <c r="Y182" s="341" t="s">
        <v>800</v>
      </c>
      <c r="Z182" s="316">
        <v>0</v>
      </c>
      <c r="AA182" s="275">
        <v>0.5</v>
      </c>
      <c r="AB182" s="277" t="s">
        <v>801</v>
      </c>
      <c r="AC182" s="277" t="s">
        <v>2214</v>
      </c>
      <c r="AD182" s="276"/>
      <c r="AE182" s="277"/>
      <c r="AF182" s="277"/>
      <c r="AG182" s="276"/>
      <c r="AH182" s="277"/>
      <c r="AI182" s="277"/>
      <c r="AJ182" s="278"/>
    </row>
    <row r="183" spans="1:36" ht="90" hidden="1" customHeight="1" outlineLevel="1" x14ac:dyDescent="0.2">
      <c r="A183" s="747"/>
      <c r="B183" s="546" t="s">
        <v>40</v>
      </c>
      <c r="C183" s="546" t="s">
        <v>802</v>
      </c>
      <c r="D183" s="630"/>
      <c r="E183" s="748" t="s">
        <v>803</v>
      </c>
      <c r="F183" s="452" t="s">
        <v>804</v>
      </c>
      <c r="G183" s="243" t="s">
        <v>805</v>
      </c>
      <c r="H183" s="243" t="s">
        <v>806</v>
      </c>
      <c r="I183" s="243" t="s">
        <v>788</v>
      </c>
      <c r="J183" s="12" t="s">
        <v>807</v>
      </c>
      <c r="K183" s="262" t="s">
        <v>53</v>
      </c>
      <c r="L183" s="316">
        <v>0</v>
      </c>
      <c r="M183" s="272">
        <v>44593</v>
      </c>
      <c r="N183" s="272">
        <v>44925</v>
      </c>
      <c r="O183" s="272">
        <v>44652</v>
      </c>
      <c r="P183" s="273">
        <f t="shared" si="21"/>
        <v>0.17771084337349397</v>
      </c>
      <c r="Q183" s="273">
        <f t="shared" si="16"/>
        <v>0.17771084337349397</v>
      </c>
      <c r="R183" s="274">
        <v>1</v>
      </c>
      <c r="S183" s="275">
        <v>1</v>
      </c>
      <c r="T183" s="275">
        <v>1</v>
      </c>
      <c r="U183" s="275">
        <v>1</v>
      </c>
      <c r="V183" s="275">
        <v>1</v>
      </c>
      <c r="W183" s="275">
        <v>0.25</v>
      </c>
      <c r="X183" s="275" t="s">
        <v>808</v>
      </c>
      <c r="Y183" s="341" t="s">
        <v>809</v>
      </c>
      <c r="Z183" s="316">
        <v>0</v>
      </c>
      <c r="AA183" s="275">
        <v>0.5</v>
      </c>
      <c r="AB183" s="275" t="s">
        <v>810</v>
      </c>
      <c r="AC183" s="277" t="s">
        <v>1304</v>
      </c>
      <c r="AD183" s="276"/>
      <c r="AE183" s="277"/>
      <c r="AF183" s="277"/>
      <c r="AG183" s="276"/>
      <c r="AH183" s="277"/>
      <c r="AI183" s="277"/>
      <c r="AJ183" s="278"/>
    </row>
    <row r="184" spans="1:36" ht="90" hidden="1" customHeight="1" outlineLevel="1" x14ac:dyDescent="0.2">
      <c r="A184" s="747"/>
      <c r="B184" s="581"/>
      <c r="C184" s="581"/>
      <c r="D184" s="630"/>
      <c r="E184" s="748"/>
      <c r="F184" s="451" t="s">
        <v>811</v>
      </c>
      <c r="G184" s="732" t="s">
        <v>805</v>
      </c>
      <c r="H184" s="485" t="s">
        <v>812</v>
      </c>
      <c r="I184" s="485" t="s">
        <v>813</v>
      </c>
      <c r="J184" s="262" t="s">
        <v>713</v>
      </c>
      <c r="K184" s="262" t="s">
        <v>53</v>
      </c>
      <c r="L184" s="316">
        <v>0</v>
      </c>
      <c r="M184" s="272">
        <v>44593</v>
      </c>
      <c r="N184" s="272">
        <v>44925</v>
      </c>
      <c r="O184" s="272">
        <v>44652</v>
      </c>
      <c r="P184" s="273">
        <f t="shared" si="21"/>
        <v>0.17771084337349397</v>
      </c>
      <c r="Q184" s="273">
        <f t="shared" si="16"/>
        <v>0.17771084337349397</v>
      </c>
      <c r="R184" s="274">
        <v>1</v>
      </c>
      <c r="S184" s="275">
        <v>1</v>
      </c>
      <c r="T184" s="275">
        <v>1</v>
      </c>
      <c r="U184" s="275">
        <v>1</v>
      </c>
      <c r="V184" s="275">
        <v>1</v>
      </c>
      <c r="W184" s="275">
        <v>0.25</v>
      </c>
      <c r="X184" s="275" t="s">
        <v>814</v>
      </c>
      <c r="Y184" s="341" t="s">
        <v>784</v>
      </c>
      <c r="Z184" s="316">
        <v>0</v>
      </c>
      <c r="AA184" s="275">
        <v>0.5</v>
      </c>
      <c r="AB184" s="277" t="s">
        <v>815</v>
      </c>
      <c r="AC184" s="277" t="s">
        <v>2213</v>
      </c>
      <c r="AD184" s="276"/>
      <c r="AE184" s="277"/>
      <c r="AF184" s="277"/>
      <c r="AG184" s="276"/>
      <c r="AH184" s="277"/>
      <c r="AI184" s="277"/>
      <c r="AJ184" s="278"/>
    </row>
    <row r="185" spans="1:36" ht="118.5" hidden="1" customHeight="1" outlineLevel="1" x14ac:dyDescent="0.2">
      <c r="A185" s="747"/>
      <c r="B185" s="581"/>
      <c r="C185" s="581"/>
      <c r="D185" s="630"/>
      <c r="E185" s="748"/>
      <c r="F185" s="451" t="s">
        <v>816</v>
      </c>
      <c r="G185" s="734"/>
      <c r="H185" s="243" t="s">
        <v>817</v>
      </c>
      <c r="I185" s="243" t="s">
        <v>818</v>
      </c>
      <c r="J185" s="262" t="s">
        <v>819</v>
      </c>
      <c r="K185" s="262" t="s">
        <v>53</v>
      </c>
      <c r="L185" s="316">
        <v>0</v>
      </c>
      <c r="M185" s="272">
        <v>44593</v>
      </c>
      <c r="N185" s="272">
        <v>44925</v>
      </c>
      <c r="O185" s="272">
        <v>44652</v>
      </c>
      <c r="P185" s="273">
        <f t="shared" si="21"/>
        <v>0.17771084337349397</v>
      </c>
      <c r="Q185" s="273">
        <f t="shared" si="16"/>
        <v>0.17771084337349397</v>
      </c>
      <c r="R185" s="274">
        <v>1</v>
      </c>
      <c r="S185" s="275">
        <v>1</v>
      </c>
      <c r="T185" s="275">
        <v>1</v>
      </c>
      <c r="U185" s="275">
        <v>1</v>
      </c>
      <c r="V185" s="275">
        <v>1</v>
      </c>
      <c r="W185" s="275">
        <v>0.25</v>
      </c>
      <c r="X185" s="275" t="s">
        <v>820</v>
      </c>
      <c r="Y185" s="341" t="s">
        <v>821</v>
      </c>
      <c r="Z185" s="316">
        <v>0</v>
      </c>
      <c r="AA185" s="275">
        <v>1</v>
      </c>
      <c r="AB185" s="277" t="s">
        <v>822</v>
      </c>
      <c r="AC185" s="277" t="s">
        <v>823</v>
      </c>
      <c r="AD185" s="276"/>
      <c r="AE185" s="277"/>
      <c r="AF185" s="277"/>
      <c r="AG185" s="276"/>
      <c r="AH185" s="277"/>
      <c r="AI185" s="277"/>
      <c r="AJ185" s="278"/>
    </row>
    <row r="186" spans="1:36" ht="93.75" hidden="1" customHeight="1" outlineLevel="1" x14ac:dyDescent="0.2">
      <c r="A186" s="747"/>
      <c r="B186" s="546" t="s">
        <v>40</v>
      </c>
      <c r="C186" s="546" t="s">
        <v>831</v>
      </c>
      <c r="D186" s="630"/>
      <c r="E186" s="729" t="s">
        <v>92</v>
      </c>
      <c r="F186" s="729" t="s">
        <v>832</v>
      </c>
      <c r="G186" s="543" t="s">
        <v>833</v>
      </c>
      <c r="H186" s="11" t="s">
        <v>834</v>
      </c>
      <c r="I186" s="543" t="s">
        <v>788</v>
      </c>
      <c r="J186" s="262" t="s">
        <v>835</v>
      </c>
      <c r="K186" s="348">
        <v>18000000</v>
      </c>
      <c r="L186" s="318">
        <v>0</v>
      </c>
      <c r="M186" s="272">
        <v>44593</v>
      </c>
      <c r="N186" s="272">
        <v>44925</v>
      </c>
      <c r="O186" s="272">
        <v>44652</v>
      </c>
      <c r="P186" s="273">
        <f t="shared" si="21"/>
        <v>0.17771084337349397</v>
      </c>
      <c r="Q186" s="273">
        <f t="shared" si="16"/>
        <v>0.17771084337349397</v>
      </c>
      <c r="R186" s="274">
        <v>1</v>
      </c>
      <c r="S186" s="275">
        <v>0.25</v>
      </c>
      <c r="T186" s="275">
        <v>0.5</v>
      </c>
      <c r="U186" s="275">
        <v>0.75</v>
      </c>
      <c r="V186" s="275">
        <v>1</v>
      </c>
      <c r="W186" s="275">
        <v>0.25</v>
      </c>
      <c r="X186" s="275" t="s">
        <v>836</v>
      </c>
      <c r="Y186" s="341" t="s">
        <v>837</v>
      </c>
      <c r="Z186" s="316">
        <v>15276000</v>
      </c>
      <c r="AA186" s="275">
        <v>0.5</v>
      </c>
      <c r="AB186" s="277" t="s">
        <v>838</v>
      </c>
      <c r="AC186" s="277" t="s">
        <v>340</v>
      </c>
      <c r="AD186" s="276"/>
      <c r="AE186" s="277"/>
      <c r="AF186" s="277"/>
      <c r="AG186" s="276"/>
      <c r="AH186" s="277"/>
      <c r="AI186" s="277"/>
      <c r="AJ186" s="278"/>
    </row>
    <row r="187" spans="1:36" ht="75" hidden="1" customHeight="1" outlineLevel="1" x14ac:dyDescent="0.2">
      <c r="A187" s="747"/>
      <c r="B187" s="581"/>
      <c r="C187" s="581"/>
      <c r="D187" s="630"/>
      <c r="E187" s="730"/>
      <c r="F187" s="730"/>
      <c r="G187" s="544"/>
      <c r="H187" s="11" t="s">
        <v>839</v>
      </c>
      <c r="I187" s="544"/>
      <c r="J187" s="262" t="s">
        <v>840</v>
      </c>
      <c r="K187" s="348" t="s">
        <v>841</v>
      </c>
      <c r="L187" s="318">
        <v>0</v>
      </c>
      <c r="M187" s="272">
        <v>44593</v>
      </c>
      <c r="N187" s="272">
        <v>44925</v>
      </c>
      <c r="O187" s="272">
        <v>44652</v>
      </c>
      <c r="P187" s="273">
        <f t="shared" si="21"/>
        <v>0.17771084337349397</v>
      </c>
      <c r="Q187" s="273">
        <f t="shared" si="16"/>
        <v>0.17771084337349397</v>
      </c>
      <c r="R187" s="274">
        <v>1</v>
      </c>
      <c r="S187" s="275">
        <v>0.25</v>
      </c>
      <c r="T187" s="275">
        <v>0.5</v>
      </c>
      <c r="U187" s="275">
        <v>0.75</v>
      </c>
      <c r="V187" s="275">
        <v>1</v>
      </c>
      <c r="W187" s="275">
        <v>0.25</v>
      </c>
      <c r="X187" s="275" t="s">
        <v>842</v>
      </c>
      <c r="Y187" s="341" t="s">
        <v>837</v>
      </c>
      <c r="Z187" s="316">
        <v>0</v>
      </c>
      <c r="AA187" s="275">
        <v>0.3</v>
      </c>
      <c r="AB187" s="277" t="s">
        <v>843</v>
      </c>
      <c r="AC187" s="277" t="s">
        <v>340</v>
      </c>
      <c r="AD187" s="276"/>
      <c r="AE187" s="277"/>
      <c r="AF187" s="277"/>
      <c r="AG187" s="276"/>
      <c r="AH187" s="277"/>
      <c r="AI187" s="277"/>
      <c r="AJ187" s="278"/>
    </row>
    <row r="188" spans="1:36" ht="75" hidden="1" customHeight="1" outlineLevel="1" x14ac:dyDescent="0.2">
      <c r="A188" s="747"/>
      <c r="B188" s="581"/>
      <c r="C188" s="581"/>
      <c r="D188" s="630"/>
      <c r="E188" s="730"/>
      <c r="F188" s="730"/>
      <c r="G188" s="545"/>
      <c r="H188" s="11" t="s">
        <v>844</v>
      </c>
      <c r="I188" s="544"/>
      <c r="J188" s="262" t="s">
        <v>845</v>
      </c>
      <c r="K188" s="348" t="s">
        <v>841</v>
      </c>
      <c r="L188" s="318">
        <v>0</v>
      </c>
      <c r="M188" s="272">
        <v>44593</v>
      </c>
      <c r="N188" s="272">
        <v>44925</v>
      </c>
      <c r="O188" s="272">
        <v>44652</v>
      </c>
      <c r="P188" s="273">
        <f t="shared" si="21"/>
        <v>0.17771084337349397</v>
      </c>
      <c r="Q188" s="273">
        <f t="shared" si="16"/>
        <v>0.17771084337349397</v>
      </c>
      <c r="R188" s="274">
        <v>1</v>
      </c>
      <c r="S188" s="275">
        <v>0.25</v>
      </c>
      <c r="T188" s="275">
        <v>0.5</v>
      </c>
      <c r="U188" s="275">
        <v>0.75</v>
      </c>
      <c r="V188" s="275">
        <v>1</v>
      </c>
      <c r="W188" s="275">
        <v>0.25</v>
      </c>
      <c r="X188" s="275" t="s">
        <v>842</v>
      </c>
      <c r="Y188" s="341" t="s">
        <v>837</v>
      </c>
      <c r="Z188" s="316">
        <v>0</v>
      </c>
      <c r="AA188" s="275">
        <v>0.3</v>
      </c>
      <c r="AB188" s="277" t="s">
        <v>843</v>
      </c>
      <c r="AC188" s="277" t="s">
        <v>340</v>
      </c>
      <c r="AD188" s="276"/>
      <c r="AE188" s="277"/>
      <c r="AF188" s="277"/>
      <c r="AG188" s="276"/>
      <c r="AH188" s="277"/>
      <c r="AI188" s="277"/>
      <c r="AJ188" s="278"/>
    </row>
    <row r="189" spans="1:36" ht="72" hidden="1" customHeight="1" outlineLevel="1" x14ac:dyDescent="0.2">
      <c r="A189" s="747"/>
      <c r="B189" s="581"/>
      <c r="C189" s="581"/>
      <c r="D189" s="630"/>
      <c r="E189" s="730"/>
      <c r="F189" s="730"/>
      <c r="G189" s="417"/>
      <c r="H189" s="11" t="s">
        <v>846</v>
      </c>
      <c r="I189" s="544"/>
      <c r="J189" s="262" t="s">
        <v>847</v>
      </c>
      <c r="K189" s="318" t="s">
        <v>128</v>
      </c>
      <c r="L189" s="318">
        <v>0</v>
      </c>
      <c r="M189" s="272">
        <v>44593</v>
      </c>
      <c r="N189" s="272">
        <v>44925</v>
      </c>
      <c r="O189" s="272">
        <v>44652</v>
      </c>
      <c r="P189" s="273">
        <f t="shared" si="21"/>
        <v>0.17771084337349397</v>
      </c>
      <c r="Q189" s="273">
        <f t="shared" si="16"/>
        <v>0.17771084337349397</v>
      </c>
      <c r="R189" s="274">
        <v>1</v>
      </c>
      <c r="S189" s="275">
        <v>0.25</v>
      </c>
      <c r="T189" s="275">
        <v>0.5</v>
      </c>
      <c r="U189" s="275">
        <v>0.75</v>
      </c>
      <c r="V189" s="275">
        <v>1</v>
      </c>
      <c r="W189" s="275">
        <v>0</v>
      </c>
      <c r="X189" s="275" t="s">
        <v>848</v>
      </c>
      <c r="Y189" s="341" t="s">
        <v>53</v>
      </c>
      <c r="Z189" s="316">
        <v>0</v>
      </c>
      <c r="AA189" s="275">
        <v>0</v>
      </c>
      <c r="AB189" s="277" t="s">
        <v>849</v>
      </c>
      <c r="AC189" s="341" t="s">
        <v>53</v>
      </c>
      <c r="AD189" s="276"/>
      <c r="AE189" s="277"/>
      <c r="AF189" s="277"/>
      <c r="AG189" s="276"/>
      <c r="AH189" s="277"/>
      <c r="AI189" s="277"/>
      <c r="AJ189" s="278"/>
    </row>
    <row r="190" spans="1:36" ht="85.5" hidden="1" customHeight="1" outlineLevel="1" x14ac:dyDescent="0.2">
      <c r="A190" s="747"/>
      <c r="B190" s="581"/>
      <c r="C190" s="581"/>
      <c r="D190" s="630"/>
      <c r="E190" s="730"/>
      <c r="F190" s="730"/>
      <c r="G190" s="417"/>
      <c r="H190" s="11" t="s">
        <v>850</v>
      </c>
      <c r="I190" s="544"/>
      <c r="J190" s="262" t="s">
        <v>851</v>
      </c>
      <c r="K190" s="318">
        <v>6000000</v>
      </c>
      <c r="L190" s="318">
        <v>0</v>
      </c>
      <c r="M190" s="272">
        <v>44593</v>
      </c>
      <c r="N190" s="272">
        <v>44925</v>
      </c>
      <c r="O190" s="272">
        <v>44652</v>
      </c>
      <c r="P190" s="273">
        <f t="shared" si="21"/>
        <v>0.17771084337349397</v>
      </c>
      <c r="Q190" s="273">
        <f t="shared" ref="Q190:Q226" si="24">+IF(P190&gt;=100,100,IF(P190&lt;=0,0,P190))</f>
        <v>0.17771084337349397</v>
      </c>
      <c r="R190" s="274">
        <v>1</v>
      </c>
      <c r="S190" s="275">
        <v>0.25</v>
      </c>
      <c r="T190" s="275">
        <v>0.5</v>
      </c>
      <c r="U190" s="275">
        <v>0.75</v>
      </c>
      <c r="V190" s="275">
        <v>1</v>
      </c>
      <c r="W190" s="275">
        <v>0.1</v>
      </c>
      <c r="X190" s="275" t="s">
        <v>852</v>
      </c>
      <c r="Y190" s="341" t="s">
        <v>417</v>
      </c>
      <c r="Z190" s="316">
        <v>0</v>
      </c>
      <c r="AA190" s="275">
        <v>0.1</v>
      </c>
      <c r="AB190" s="277" t="s">
        <v>849</v>
      </c>
      <c r="AC190" s="341" t="s">
        <v>53</v>
      </c>
      <c r="AD190" s="276"/>
      <c r="AE190" s="277"/>
      <c r="AF190" s="277"/>
      <c r="AG190" s="276"/>
      <c r="AH190" s="277"/>
      <c r="AI190" s="277"/>
      <c r="AJ190" s="278"/>
    </row>
    <row r="191" spans="1:36" ht="56.25" hidden="1" customHeight="1" outlineLevel="1" x14ac:dyDescent="0.2">
      <c r="A191" s="747"/>
      <c r="B191" s="581"/>
      <c r="C191" s="581"/>
      <c r="D191" s="630"/>
      <c r="E191" s="730"/>
      <c r="F191" s="730"/>
      <c r="G191" s="417"/>
      <c r="H191" s="11" t="s">
        <v>853</v>
      </c>
      <c r="I191" s="544"/>
      <c r="J191" s="262" t="s">
        <v>854</v>
      </c>
      <c r="K191" s="318">
        <v>25000000</v>
      </c>
      <c r="L191" s="318">
        <v>0</v>
      </c>
      <c r="M191" s="272">
        <v>44593</v>
      </c>
      <c r="N191" s="272">
        <v>44925</v>
      </c>
      <c r="O191" s="272">
        <v>44652</v>
      </c>
      <c r="P191" s="273">
        <f t="shared" si="21"/>
        <v>0.17771084337349397</v>
      </c>
      <c r="Q191" s="273">
        <f t="shared" si="24"/>
        <v>0.17771084337349397</v>
      </c>
      <c r="R191" s="274">
        <v>1</v>
      </c>
      <c r="S191" s="275">
        <v>0.25</v>
      </c>
      <c r="T191" s="275">
        <v>0.5</v>
      </c>
      <c r="U191" s="275">
        <v>0.75</v>
      </c>
      <c r="V191" s="275">
        <v>1</v>
      </c>
      <c r="W191" s="275">
        <v>0</v>
      </c>
      <c r="X191" s="275" t="s">
        <v>848</v>
      </c>
      <c r="Y191" s="341" t="s">
        <v>53</v>
      </c>
      <c r="Z191" s="316">
        <v>0</v>
      </c>
      <c r="AA191" s="275">
        <v>0</v>
      </c>
      <c r="AB191" s="277" t="s">
        <v>849</v>
      </c>
      <c r="AC191" s="341" t="s">
        <v>53</v>
      </c>
      <c r="AD191" s="276"/>
      <c r="AE191" s="277"/>
      <c r="AF191" s="277"/>
      <c r="AG191" s="276"/>
      <c r="AH191" s="277"/>
      <c r="AI191" s="277"/>
      <c r="AJ191" s="278"/>
    </row>
    <row r="192" spans="1:36" ht="56.25" hidden="1" customHeight="1" outlineLevel="1" x14ac:dyDescent="0.2">
      <c r="A192" s="747"/>
      <c r="B192" s="547"/>
      <c r="C192" s="547"/>
      <c r="D192" s="630"/>
      <c r="E192" s="731"/>
      <c r="F192" s="731"/>
      <c r="G192" s="418"/>
      <c r="H192" s="11" t="s">
        <v>855</v>
      </c>
      <c r="I192" s="545"/>
      <c r="J192" s="262" t="s">
        <v>856</v>
      </c>
      <c r="K192" s="318">
        <v>0</v>
      </c>
      <c r="L192" s="318">
        <v>0</v>
      </c>
      <c r="M192" s="272">
        <v>44593</v>
      </c>
      <c r="N192" s="272">
        <v>44925</v>
      </c>
      <c r="O192" s="272">
        <v>44652</v>
      </c>
      <c r="P192" s="273">
        <f t="shared" si="21"/>
        <v>0.17771084337349397</v>
      </c>
      <c r="Q192" s="273">
        <f t="shared" si="24"/>
        <v>0.17771084337349397</v>
      </c>
      <c r="R192" s="274">
        <v>1</v>
      </c>
      <c r="S192" s="275">
        <v>0.25</v>
      </c>
      <c r="T192" s="275">
        <v>0.5</v>
      </c>
      <c r="U192" s="275">
        <v>0.75</v>
      </c>
      <c r="V192" s="275">
        <v>1</v>
      </c>
      <c r="W192" s="275">
        <v>0</v>
      </c>
      <c r="X192" s="275" t="s">
        <v>848</v>
      </c>
      <c r="Y192" s="341" t="s">
        <v>53</v>
      </c>
      <c r="Z192" s="316">
        <v>0</v>
      </c>
      <c r="AA192" s="275">
        <v>0</v>
      </c>
      <c r="AB192" s="277" t="s">
        <v>857</v>
      </c>
      <c r="AC192" s="341" t="s">
        <v>53</v>
      </c>
      <c r="AD192" s="276"/>
      <c r="AE192" s="277"/>
      <c r="AF192" s="277"/>
      <c r="AG192" s="276"/>
      <c r="AH192" s="277"/>
      <c r="AI192" s="277"/>
      <c r="AJ192" s="278"/>
    </row>
    <row r="193" spans="1:36" ht="63" hidden="1" customHeight="1" outlineLevel="1" x14ac:dyDescent="0.2">
      <c r="A193" s="747"/>
      <c r="B193" s="546" t="s">
        <v>858</v>
      </c>
      <c r="C193" s="546" t="s">
        <v>859</v>
      </c>
      <c r="D193" s="630"/>
      <c r="E193" s="729" t="s">
        <v>860</v>
      </c>
      <c r="F193" s="729" t="s">
        <v>861</v>
      </c>
      <c r="G193" s="543" t="s">
        <v>862</v>
      </c>
      <c r="H193" s="11" t="s">
        <v>863</v>
      </c>
      <c r="I193" s="543" t="s">
        <v>864</v>
      </c>
      <c r="J193" s="262" t="s">
        <v>865</v>
      </c>
      <c r="K193" s="318">
        <v>7500000</v>
      </c>
      <c r="L193" s="318">
        <v>0</v>
      </c>
      <c r="M193" s="272">
        <v>44593</v>
      </c>
      <c r="N193" s="272">
        <v>44925</v>
      </c>
      <c r="O193" s="272">
        <v>44652</v>
      </c>
      <c r="P193" s="273">
        <f t="shared" si="21"/>
        <v>0.17771084337349397</v>
      </c>
      <c r="Q193" s="273">
        <f t="shared" si="24"/>
        <v>0.17771084337349397</v>
      </c>
      <c r="R193" s="274">
        <v>1</v>
      </c>
      <c r="S193" s="275">
        <v>0.25</v>
      </c>
      <c r="T193" s="275">
        <v>0.5</v>
      </c>
      <c r="U193" s="275">
        <v>0.75</v>
      </c>
      <c r="V193" s="275">
        <v>1</v>
      </c>
      <c r="W193" s="275">
        <v>0</v>
      </c>
      <c r="X193" s="275" t="s">
        <v>848</v>
      </c>
      <c r="Y193" s="341" t="s">
        <v>53</v>
      </c>
      <c r="Z193" s="316">
        <v>0</v>
      </c>
      <c r="AA193" s="275">
        <v>0</v>
      </c>
      <c r="AB193" s="277" t="s">
        <v>849</v>
      </c>
      <c r="AC193" s="341" t="s">
        <v>53</v>
      </c>
      <c r="AD193" s="276"/>
      <c r="AE193" s="277"/>
      <c r="AF193" s="277"/>
      <c r="AG193" s="276"/>
      <c r="AH193" s="277"/>
      <c r="AI193" s="277"/>
      <c r="AJ193" s="278"/>
    </row>
    <row r="194" spans="1:36" ht="46.5" hidden="1" customHeight="1" outlineLevel="1" x14ac:dyDescent="0.2">
      <c r="A194" s="747"/>
      <c r="B194" s="581"/>
      <c r="C194" s="581"/>
      <c r="D194" s="630"/>
      <c r="E194" s="730"/>
      <c r="F194" s="730"/>
      <c r="G194" s="544"/>
      <c r="H194" s="11" t="s">
        <v>866</v>
      </c>
      <c r="I194" s="544"/>
      <c r="J194" s="262" t="s">
        <v>867</v>
      </c>
      <c r="K194" s="318">
        <v>10256910</v>
      </c>
      <c r="L194" s="318">
        <v>0</v>
      </c>
      <c r="M194" s="272">
        <v>44593</v>
      </c>
      <c r="N194" s="272">
        <v>44925</v>
      </c>
      <c r="O194" s="272">
        <v>44652</v>
      </c>
      <c r="P194" s="273">
        <f t="shared" si="21"/>
        <v>0.17771084337349397</v>
      </c>
      <c r="Q194" s="273">
        <f t="shared" si="24"/>
        <v>0.17771084337349397</v>
      </c>
      <c r="R194" s="274">
        <v>1</v>
      </c>
      <c r="S194" s="275">
        <v>0.25</v>
      </c>
      <c r="T194" s="275">
        <v>0.5</v>
      </c>
      <c r="U194" s="275">
        <v>0.75</v>
      </c>
      <c r="V194" s="275">
        <v>1</v>
      </c>
      <c r="W194" s="275">
        <v>0</v>
      </c>
      <c r="X194" s="275" t="s">
        <v>848</v>
      </c>
      <c r="Y194" s="341" t="s">
        <v>53</v>
      </c>
      <c r="Z194" s="316">
        <v>0</v>
      </c>
      <c r="AA194" s="275">
        <v>0</v>
      </c>
      <c r="AB194" s="277" t="s">
        <v>849</v>
      </c>
      <c r="AC194" s="341" t="s">
        <v>53</v>
      </c>
      <c r="AD194" s="276"/>
      <c r="AE194" s="277"/>
      <c r="AF194" s="277"/>
      <c r="AG194" s="276"/>
      <c r="AH194" s="277"/>
      <c r="AI194" s="277"/>
      <c r="AJ194" s="278"/>
    </row>
    <row r="195" spans="1:36" ht="56.25" hidden="1" customHeight="1" outlineLevel="1" x14ac:dyDescent="0.2">
      <c r="A195" s="747"/>
      <c r="B195" s="581"/>
      <c r="C195" s="581"/>
      <c r="D195" s="630"/>
      <c r="E195" s="730"/>
      <c r="F195" s="730"/>
      <c r="G195" s="544"/>
      <c r="H195" s="11" t="s">
        <v>868</v>
      </c>
      <c r="I195" s="544"/>
      <c r="J195" s="262" t="s">
        <v>869</v>
      </c>
      <c r="K195" s="318">
        <v>1188000</v>
      </c>
      <c r="L195" s="318">
        <v>0</v>
      </c>
      <c r="M195" s="272">
        <v>44593</v>
      </c>
      <c r="N195" s="272">
        <v>44925</v>
      </c>
      <c r="O195" s="272">
        <v>44652</v>
      </c>
      <c r="P195" s="273">
        <f t="shared" si="21"/>
        <v>0.17771084337349397</v>
      </c>
      <c r="Q195" s="273">
        <f t="shared" si="24"/>
        <v>0.17771084337349397</v>
      </c>
      <c r="R195" s="274">
        <v>1</v>
      </c>
      <c r="S195" s="275">
        <v>0.25</v>
      </c>
      <c r="T195" s="275">
        <v>0.5</v>
      </c>
      <c r="U195" s="275">
        <v>0.75</v>
      </c>
      <c r="V195" s="275">
        <v>1</v>
      </c>
      <c r="W195" s="275">
        <v>0</v>
      </c>
      <c r="X195" s="275" t="s">
        <v>848</v>
      </c>
      <c r="Y195" s="341" t="s">
        <v>53</v>
      </c>
      <c r="Z195" s="316">
        <v>0</v>
      </c>
      <c r="AA195" s="275">
        <v>0</v>
      </c>
      <c r="AB195" s="277" t="s">
        <v>849</v>
      </c>
      <c r="AC195" s="341" t="s">
        <v>53</v>
      </c>
      <c r="AD195" s="276"/>
      <c r="AE195" s="277"/>
      <c r="AF195" s="277"/>
      <c r="AG195" s="276"/>
      <c r="AH195" s="277"/>
      <c r="AI195" s="277"/>
      <c r="AJ195" s="278"/>
    </row>
    <row r="196" spans="1:36" ht="69" hidden="1" customHeight="1" outlineLevel="1" x14ac:dyDescent="0.2">
      <c r="A196" s="747"/>
      <c r="B196" s="581"/>
      <c r="C196" s="581"/>
      <c r="D196" s="630"/>
      <c r="E196" s="730"/>
      <c r="F196" s="730"/>
      <c r="G196" s="544"/>
      <c r="H196" s="11" t="s">
        <v>870</v>
      </c>
      <c r="I196" s="544"/>
      <c r="J196" s="262" t="s">
        <v>871</v>
      </c>
      <c r="K196" s="318">
        <v>30200000</v>
      </c>
      <c r="L196" s="318">
        <v>0</v>
      </c>
      <c r="M196" s="272">
        <v>44593</v>
      </c>
      <c r="N196" s="272">
        <v>44925</v>
      </c>
      <c r="O196" s="272">
        <v>44652</v>
      </c>
      <c r="P196" s="273">
        <f t="shared" si="21"/>
        <v>0.17771084337349397</v>
      </c>
      <c r="Q196" s="273">
        <f t="shared" si="24"/>
        <v>0.17771084337349397</v>
      </c>
      <c r="R196" s="274">
        <v>1</v>
      </c>
      <c r="S196" s="275">
        <v>0.25</v>
      </c>
      <c r="T196" s="275">
        <v>0.5</v>
      </c>
      <c r="U196" s="275">
        <v>0.75</v>
      </c>
      <c r="V196" s="275">
        <v>1</v>
      </c>
      <c r="W196" s="275">
        <v>0.25</v>
      </c>
      <c r="X196" s="275" t="s">
        <v>872</v>
      </c>
      <c r="Y196" s="341" t="s">
        <v>417</v>
      </c>
      <c r="Z196" s="316">
        <v>0</v>
      </c>
      <c r="AA196" s="275">
        <v>0.25</v>
      </c>
      <c r="AB196" s="277" t="s">
        <v>849</v>
      </c>
      <c r="AC196" s="341" t="s">
        <v>53</v>
      </c>
      <c r="AD196" s="276"/>
      <c r="AE196" s="277"/>
      <c r="AF196" s="277"/>
      <c r="AG196" s="276"/>
      <c r="AH196" s="277"/>
      <c r="AI196" s="277"/>
      <c r="AJ196" s="278"/>
    </row>
    <row r="197" spans="1:36" ht="56.25" hidden="1" customHeight="1" outlineLevel="1" x14ac:dyDescent="0.2">
      <c r="A197" s="747"/>
      <c r="B197" s="581"/>
      <c r="C197" s="581"/>
      <c r="D197" s="630"/>
      <c r="E197" s="730"/>
      <c r="F197" s="730"/>
      <c r="G197" s="544"/>
      <c r="H197" s="11" t="s">
        <v>873</v>
      </c>
      <c r="I197" s="544"/>
      <c r="J197" s="262" t="s">
        <v>874</v>
      </c>
      <c r="K197" s="318">
        <v>94870000</v>
      </c>
      <c r="L197" s="318">
        <v>0</v>
      </c>
      <c r="M197" s="272">
        <v>44593</v>
      </c>
      <c r="N197" s="272">
        <v>44925</v>
      </c>
      <c r="O197" s="272">
        <v>44652</v>
      </c>
      <c r="P197" s="273">
        <f t="shared" si="21"/>
        <v>0.17771084337349397</v>
      </c>
      <c r="Q197" s="273">
        <f t="shared" si="24"/>
        <v>0.17771084337349397</v>
      </c>
      <c r="R197" s="274">
        <v>1</v>
      </c>
      <c r="S197" s="275">
        <v>0.25</v>
      </c>
      <c r="T197" s="275">
        <v>0.5</v>
      </c>
      <c r="U197" s="275">
        <v>0.75</v>
      </c>
      <c r="V197" s="275">
        <v>1</v>
      </c>
      <c r="W197" s="275">
        <v>0.25</v>
      </c>
      <c r="X197" s="275" t="s">
        <v>875</v>
      </c>
      <c r="Y197" s="341" t="s">
        <v>417</v>
      </c>
      <c r="Z197" s="316">
        <v>0</v>
      </c>
      <c r="AA197" s="275">
        <v>0.25</v>
      </c>
      <c r="AB197" s="277" t="s">
        <v>849</v>
      </c>
      <c r="AC197" s="341" t="s">
        <v>53</v>
      </c>
      <c r="AD197" s="276"/>
      <c r="AE197" s="277"/>
      <c r="AF197" s="277"/>
      <c r="AG197" s="276"/>
      <c r="AH197" s="277"/>
      <c r="AI197" s="277"/>
      <c r="AJ197" s="278"/>
    </row>
    <row r="198" spans="1:36" ht="56.25" hidden="1" customHeight="1" outlineLevel="1" x14ac:dyDescent="0.2">
      <c r="A198" s="747"/>
      <c r="B198" s="581"/>
      <c r="C198" s="581"/>
      <c r="D198" s="630"/>
      <c r="E198" s="730"/>
      <c r="F198" s="730"/>
      <c r="G198" s="544"/>
      <c r="H198" s="11" t="s">
        <v>876</v>
      </c>
      <c r="I198" s="544"/>
      <c r="J198" s="262" t="s">
        <v>877</v>
      </c>
      <c r="K198" s="318">
        <v>14896000</v>
      </c>
      <c r="L198" s="318">
        <v>0</v>
      </c>
      <c r="M198" s="272">
        <v>44593</v>
      </c>
      <c r="N198" s="272">
        <v>44925</v>
      </c>
      <c r="O198" s="272">
        <v>44652</v>
      </c>
      <c r="P198" s="273">
        <f t="shared" si="21"/>
        <v>0.17771084337349397</v>
      </c>
      <c r="Q198" s="273">
        <f t="shared" si="24"/>
        <v>0.17771084337349397</v>
      </c>
      <c r="R198" s="274">
        <v>1</v>
      </c>
      <c r="S198" s="275">
        <v>0.25</v>
      </c>
      <c r="T198" s="275">
        <v>0.5</v>
      </c>
      <c r="U198" s="275">
        <v>0.75</v>
      </c>
      <c r="V198" s="275">
        <v>1</v>
      </c>
      <c r="W198" s="275">
        <v>0.25</v>
      </c>
      <c r="X198" s="275" t="s">
        <v>875</v>
      </c>
      <c r="Y198" s="341" t="s">
        <v>417</v>
      </c>
      <c r="Z198" s="316">
        <v>0</v>
      </c>
      <c r="AA198" s="275">
        <v>0.25</v>
      </c>
      <c r="AB198" s="277" t="s">
        <v>849</v>
      </c>
      <c r="AC198" s="341" t="s">
        <v>53</v>
      </c>
      <c r="AD198" s="276"/>
      <c r="AE198" s="277"/>
      <c r="AF198" s="277"/>
      <c r="AG198" s="276"/>
      <c r="AH198" s="277"/>
      <c r="AI198" s="277"/>
      <c r="AJ198" s="278"/>
    </row>
    <row r="199" spans="1:36" ht="56.25" hidden="1" customHeight="1" outlineLevel="1" x14ac:dyDescent="0.2">
      <c r="A199" s="747"/>
      <c r="B199" s="581"/>
      <c r="C199" s="581"/>
      <c r="D199" s="630"/>
      <c r="E199" s="730"/>
      <c r="F199" s="730"/>
      <c r="G199" s="544"/>
      <c r="H199" s="11" t="s">
        <v>878</v>
      </c>
      <c r="I199" s="544"/>
      <c r="J199" s="262" t="s">
        <v>879</v>
      </c>
      <c r="K199" s="318">
        <v>45786000</v>
      </c>
      <c r="L199" s="318">
        <v>0</v>
      </c>
      <c r="M199" s="272">
        <v>44593</v>
      </c>
      <c r="N199" s="272">
        <v>44925</v>
      </c>
      <c r="O199" s="272">
        <v>44652</v>
      </c>
      <c r="P199" s="273">
        <f t="shared" si="21"/>
        <v>0.17771084337349397</v>
      </c>
      <c r="Q199" s="273">
        <f t="shared" si="24"/>
        <v>0.17771084337349397</v>
      </c>
      <c r="R199" s="274">
        <v>1</v>
      </c>
      <c r="S199" s="275">
        <v>0.25</v>
      </c>
      <c r="T199" s="275">
        <v>0.5</v>
      </c>
      <c r="U199" s="275">
        <v>0.75</v>
      </c>
      <c r="V199" s="275">
        <v>1</v>
      </c>
      <c r="W199" s="275">
        <v>0.2</v>
      </c>
      <c r="X199" s="275" t="s">
        <v>875</v>
      </c>
      <c r="Y199" s="341" t="s">
        <v>417</v>
      </c>
      <c r="Z199" s="316">
        <v>0</v>
      </c>
      <c r="AA199" s="275">
        <v>0.2</v>
      </c>
      <c r="AB199" s="277" t="s">
        <v>849</v>
      </c>
      <c r="AC199" s="341" t="s">
        <v>53</v>
      </c>
      <c r="AD199" s="276"/>
      <c r="AE199" s="277"/>
      <c r="AF199" s="277"/>
      <c r="AG199" s="276"/>
      <c r="AH199" s="277"/>
      <c r="AI199" s="277"/>
      <c r="AJ199" s="278"/>
    </row>
    <row r="200" spans="1:36" ht="46.5" hidden="1" customHeight="1" outlineLevel="1" x14ac:dyDescent="0.2">
      <c r="A200" s="747"/>
      <c r="B200" s="581"/>
      <c r="C200" s="581"/>
      <c r="D200" s="630"/>
      <c r="E200" s="730"/>
      <c r="F200" s="730"/>
      <c r="G200" s="544"/>
      <c r="H200" s="11" t="s">
        <v>880</v>
      </c>
      <c r="I200" s="544"/>
      <c r="J200" s="262" t="s">
        <v>881</v>
      </c>
      <c r="K200" s="318">
        <v>5729900</v>
      </c>
      <c r="L200" s="318">
        <v>0</v>
      </c>
      <c r="M200" s="272">
        <v>44593</v>
      </c>
      <c r="N200" s="272">
        <v>44925</v>
      </c>
      <c r="O200" s="272">
        <v>44652</v>
      </c>
      <c r="P200" s="273">
        <f t="shared" si="21"/>
        <v>0.17771084337349397</v>
      </c>
      <c r="Q200" s="273">
        <f t="shared" si="24"/>
        <v>0.17771084337349397</v>
      </c>
      <c r="R200" s="274">
        <v>1</v>
      </c>
      <c r="S200" s="275">
        <v>0.25</v>
      </c>
      <c r="T200" s="275">
        <v>0.5</v>
      </c>
      <c r="U200" s="275">
        <v>0.75</v>
      </c>
      <c r="V200" s="275">
        <v>1</v>
      </c>
      <c r="W200" s="275">
        <v>0.2</v>
      </c>
      <c r="X200" s="275" t="s">
        <v>875</v>
      </c>
      <c r="Y200" s="341" t="s">
        <v>417</v>
      </c>
      <c r="Z200" s="316">
        <v>0</v>
      </c>
      <c r="AA200" s="275">
        <v>0.2</v>
      </c>
      <c r="AB200" s="277" t="s">
        <v>849</v>
      </c>
      <c r="AC200" s="341" t="s">
        <v>53</v>
      </c>
      <c r="AD200" s="276"/>
      <c r="AE200" s="277"/>
      <c r="AF200" s="277"/>
      <c r="AG200" s="276"/>
      <c r="AH200" s="277"/>
      <c r="AI200" s="277"/>
      <c r="AJ200" s="278"/>
    </row>
    <row r="201" spans="1:36" ht="46.5" hidden="1" customHeight="1" outlineLevel="1" x14ac:dyDescent="0.2">
      <c r="A201" s="747"/>
      <c r="B201" s="547"/>
      <c r="C201" s="547"/>
      <c r="D201" s="631"/>
      <c r="E201" s="731"/>
      <c r="F201" s="731"/>
      <c r="G201" s="545"/>
      <c r="H201" s="11" t="s">
        <v>882</v>
      </c>
      <c r="I201" s="545"/>
      <c r="J201" s="262" t="s">
        <v>883</v>
      </c>
      <c r="K201" s="318">
        <v>1146000</v>
      </c>
      <c r="L201" s="318">
        <v>0</v>
      </c>
      <c r="M201" s="272">
        <v>44593</v>
      </c>
      <c r="N201" s="272">
        <v>44925</v>
      </c>
      <c r="O201" s="272">
        <v>44652</v>
      </c>
      <c r="P201" s="273">
        <f t="shared" si="21"/>
        <v>0.17771084337349397</v>
      </c>
      <c r="Q201" s="273">
        <f t="shared" si="24"/>
        <v>0.17771084337349397</v>
      </c>
      <c r="R201" s="274">
        <v>1</v>
      </c>
      <c r="S201" s="275">
        <v>0.25</v>
      </c>
      <c r="T201" s="275">
        <v>0.5</v>
      </c>
      <c r="U201" s="275">
        <v>0.75</v>
      </c>
      <c r="V201" s="275">
        <v>1</v>
      </c>
      <c r="W201" s="275">
        <v>0.2</v>
      </c>
      <c r="X201" s="275" t="s">
        <v>875</v>
      </c>
      <c r="Y201" s="341" t="s">
        <v>417</v>
      </c>
      <c r="Z201" s="316">
        <v>0</v>
      </c>
      <c r="AA201" s="275">
        <v>0.2</v>
      </c>
      <c r="AB201" s="277" t="s">
        <v>849</v>
      </c>
      <c r="AC201" s="341" t="s">
        <v>53</v>
      </c>
      <c r="AD201" s="276"/>
      <c r="AE201" s="277"/>
      <c r="AF201" s="277"/>
      <c r="AG201" s="276"/>
      <c r="AH201" s="277"/>
      <c r="AI201" s="277"/>
      <c r="AJ201" s="278"/>
    </row>
    <row r="202" spans="1:36" ht="59.25" hidden="1" customHeight="1" outlineLevel="1" x14ac:dyDescent="0.2">
      <c r="A202" s="747"/>
      <c r="B202" s="582" t="s">
        <v>40</v>
      </c>
      <c r="C202" s="582" t="s">
        <v>884</v>
      </c>
      <c r="D202" s="752" t="s">
        <v>885</v>
      </c>
      <c r="E202" s="548" t="s">
        <v>886</v>
      </c>
      <c r="F202" s="548" t="s">
        <v>887</v>
      </c>
      <c r="G202" s="297" t="s">
        <v>555</v>
      </c>
      <c r="H202" s="297" t="s">
        <v>888</v>
      </c>
      <c r="I202" s="665" t="s">
        <v>889</v>
      </c>
      <c r="J202" s="266" t="s">
        <v>205</v>
      </c>
      <c r="K202" s="312">
        <v>244313413</v>
      </c>
      <c r="L202" s="318">
        <v>72500000</v>
      </c>
      <c r="M202" s="272">
        <v>44593</v>
      </c>
      <c r="N202" s="272">
        <v>44925</v>
      </c>
      <c r="O202" s="272">
        <v>44652</v>
      </c>
      <c r="P202" s="273">
        <f t="shared" si="21"/>
        <v>0.17771084337349397</v>
      </c>
      <c r="Q202" s="273">
        <f t="shared" si="24"/>
        <v>0.17771084337349397</v>
      </c>
      <c r="R202" s="274">
        <v>1</v>
      </c>
      <c r="S202" s="275">
        <v>0.25</v>
      </c>
      <c r="T202" s="275">
        <v>0.5</v>
      </c>
      <c r="U202" s="275">
        <v>0.75</v>
      </c>
      <c r="V202" s="275">
        <v>1</v>
      </c>
      <c r="W202" s="275">
        <v>0.25</v>
      </c>
      <c r="X202" s="275" t="s">
        <v>890</v>
      </c>
      <c r="Y202" s="341" t="s">
        <v>891</v>
      </c>
      <c r="Z202" s="318">
        <v>125000000</v>
      </c>
      <c r="AA202" s="275">
        <v>0.5</v>
      </c>
      <c r="AB202" s="277" t="s">
        <v>892</v>
      </c>
      <c r="AC202" s="277" t="s">
        <v>893</v>
      </c>
      <c r="AD202" s="276"/>
      <c r="AE202" s="277"/>
      <c r="AF202" s="277"/>
      <c r="AG202" s="276"/>
      <c r="AH202" s="277"/>
      <c r="AI202" s="277"/>
      <c r="AJ202" s="278"/>
    </row>
    <row r="203" spans="1:36" ht="72" hidden="1" customHeight="1" outlineLevel="1" x14ac:dyDescent="0.2">
      <c r="A203" s="747"/>
      <c r="B203" s="582"/>
      <c r="C203" s="582"/>
      <c r="D203" s="752"/>
      <c r="E203" s="549"/>
      <c r="F203" s="549"/>
      <c r="G203" s="297" t="s">
        <v>555</v>
      </c>
      <c r="H203" s="297" t="s">
        <v>894</v>
      </c>
      <c r="I203" s="666"/>
      <c r="J203" s="262" t="s">
        <v>895</v>
      </c>
      <c r="K203" s="312">
        <v>16000000</v>
      </c>
      <c r="L203" s="316">
        <v>0</v>
      </c>
      <c r="M203" s="272">
        <v>44593</v>
      </c>
      <c r="N203" s="272">
        <v>44925</v>
      </c>
      <c r="O203" s="272">
        <v>44652</v>
      </c>
      <c r="P203" s="273">
        <f t="shared" si="21"/>
        <v>0.17771084337349397</v>
      </c>
      <c r="Q203" s="273">
        <f t="shared" si="24"/>
        <v>0.17771084337349397</v>
      </c>
      <c r="R203" s="274">
        <v>1</v>
      </c>
      <c r="S203" s="275">
        <v>0.25</v>
      </c>
      <c r="T203" s="275">
        <v>0.5</v>
      </c>
      <c r="U203" s="275">
        <v>0.75</v>
      </c>
      <c r="V203" s="275">
        <v>1</v>
      </c>
      <c r="W203" s="275">
        <v>0</v>
      </c>
      <c r="X203" s="275" t="s">
        <v>896</v>
      </c>
      <c r="Y203" s="341" t="s">
        <v>53</v>
      </c>
      <c r="Z203" s="316">
        <v>0</v>
      </c>
      <c r="AA203" s="275">
        <v>0</v>
      </c>
      <c r="AB203" s="275" t="s">
        <v>896</v>
      </c>
      <c r="AC203" s="277" t="s">
        <v>53</v>
      </c>
      <c r="AD203" s="276"/>
      <c r="AE203" s="277"/>
      <c r="AF203" s="277"/>
      <c r="AG203" s="276"/>
      <c r="AH203" s="277"/>
      <c r="AI203" s="277"/>
      <c r="AJ203" s="278"/>
    </row>
    <row r="204" spans="1:36" ht="99.75" hidden="1" customHeight="1" outlineLevel="1" x14ac:dyDescent="0.2">
      <c r="A204" s="747"/>
      <c r="B204" s="582"/>
      <c r="C204" s="582"/>
      <c r="D204" s="752"/>
      <c r="E204" s="549"/>
      <c r="F204" s="549"/>
      <c r="G204" s="297" t="s">
        <v>555</v>
      </c>
      <c r="H204" s="297" t="s">
        <v>897</v>
      </c>
      <c r="I204" s="666"/>
      <c r="J204" s="262" t="s">
        <v>895</v>
      </c>
      <c r="K204" s="312">
        <v>19000000</v>
      </c>
      <c r="L204" s="316">
        <v>0</v>
      </c>
      <c r="M204" s="272">
        <v>44593</v>
      </c>
      <c r="N204" s="272">
        <v>44925</v>
      </c>
      <c r="O204" s="272">
        <v>44652</v>
      </c>
      <c r="P204" s="273">
        <f t="shared" si="21"/>
        <v>0.17771084337349397</v>
      </c>
      <c r="Q204" s="273">
        <f t="shared" si="24"/>
        <v>0.17771084337349397</v>
      </c>
      <c r="R204" s="274">
        <v>1</v>
      </c>
      <c r="S204" s="275">
        <v>0.25</v>
      </c>
      <c r="T204" s="275">
        <v>0.5</v>
      </c>
      <c r="U204" s="275">
        <v>0.75</v>
      </c>
      <c r="V204" s="275">
        <v>1</v>
      </c>
      <c r="W204" s="275">
        <v>0</v>
      </c>
      <c r="X204" s="345" t="s">
        <v>898</v>
      </c>
      <c r="Y204" s="341" t="s">
        <v>53</v>
      </c>
      <c r="Z204" s="316">
        <v>0</v>
      </c>
      <c r="AA204" s="275">
        <v>0.3</v>
      </c>
      <c r="AB204" s="277" t="s">
        <v>899</v>
      </c>
      <c r="AC204" s="277" t="s">
        <v>417</v>
      </c>
      <c r="AD204" s="276"/>
      <c r="AE204" s="277"/>
      <c r="AF204" s="277"/>
      <c r="AG204" s="276"/>
      <c r="AH204" s="277"/>
      <c r="AI204" s="277"/>
      <c r="AJ204" s="278"/>
    </row>
    <row r="205" spans="1:36" ht="56.25" hidden="1" customHeight="1" outlineLevel="1" x14ac:dyDescent="0.2">
      <c r="A205" s="747"/>
      <c r="B205" s="582"/>
      <c r="C205" s="582"/>
      <c r="D205" s="752"/>
      <c r="E205" s="549"/>
      <c r="F205" s="549"/>
      <c r="G205" s="297" t="s">
        <v>555</v>
      </c>
      <c r="H205" s="297" t="s">
        <v>900</v>
      </c>
      <c r="I205" s="666"/>
      <c r="J205" s="262" t="s">
        <v>895</v>
      </c>
      <c r="K205" s="312">
        <v>19000000</v>
      </c>
      <c r="L205" s="316">
        <v>0</v>
      </c>
      <c r="M205" s="272">
        <v>44593</v>
      </c>
      <c r="N205" s="272">
        <v>44925</v>
      </c>
      <c r="O205" s="272">
        <v>44652</v>
      </c>
      <c r="P205" s="273">
        <f t="shared" si="21"/>
        <v>0.17771084337349397</v>
      </c>
      <c r="Q205" s="273">
        <f t="shared" si="24"/>
        <v>0.17771084337349397</v>
      </c>
      <c r="R205" s="274">
        <v>1</v>
      </c>
      <c r="S205" s="275">
        <v>0.25</v>
      </c>
      <c r="T205" s="275">
        <v>0.5</v>
      </c>
      <c r="U205" s="275">
        <v>0.75</v>
      </c>
      <c r="V205" s="275">
        <v>1</v>
      </c>
      <c r="W205" s="275">
        <v>0.25</v>
      </c>
      <c r="X205" s="275" t="s">
        <v>901</v>
      </c>
      <c r="Y205" s="341" t="s">
        <v>417</v>
      </c>
      <c r="Z205" s="316">
        <v>13939669</v>
      </c>
      <c r="AA205" s="275">
        <v>1</v>
      </c>
      <c r="AB205" s="277" t="s">
        <v>902</v>
      </c>
      <c r="AC205" s="277" t="s">
        <v>205</v>
      </c>
      <c r="AD205" s="276"/>
      <c r="AE205" s="277"/>
      <c r="AF205" s="277"/>
      <c r="AG205" s="276"/>
      <c r="AH205" s="277"/>
      <c r="AI205" s="277"/>
      <c r="AJ205" s="278"/>
    </row>
    <row r="206" spans="1:36" ht="84" hidden="1" customHeight="1" outlineLevel="1" x14ac:dyDescent="0.2">
      <c r="A206" s="747"/>
      <c r="B206" s="582"/>
      <c r="C206" s="582"/>
      <c r="D206" s="752"/>
      <c r="E206" s="549"/>
      <c r="F206" s="549"/>
      <c r="G206" s="297" t="s">
        <v>555</v>
      </c>
      <c r="H206" s="297" t="s">
        <v>903</v>
      </c>
      <c r="I206" s="666"/>
      <c r="J206" s="262" t="s">
        <v>895</v>
      </c>
      <c r="K206" s="312">
        <v>21000000</v>
      </c>
      <c r="L206" s="316">
        <v>0</v>
      </c>
      <c r="M206" s="272">
        <v>44593</v>
      </c>
      <c r="N206" s="272">
        <v>44925</v>
      </c>
      <c r="O206" s="272">
        <v>44652</v>
      </c>
      <c r="P206" s="273">
        <f t="shared" si="21"/>
        <v>0.17771084337349397</v>
      </c>
      <c r="Q206" s="273">
        <f t="shared" si="24"/>
        <v>0.17771084337349397</v>
      </c>
      <c r="R206" s="274">
        <v>1</v>
      </c>
      <c r="S206" s="275">
        <v>0.25</v>
      </c>
      <c r="T206" s="275">
        <v>0.5</v>
      </c>
      <c r="U206" s="275">
        <v>0.75</v>
      </c>
      <c r="V206" s="275">
        <v>1</v>
      </c>
      <c r="W206" s="275">
        <v>0</v>
      </c>
      <c r="X206" s="345" t="s">
        <v>898</v>
      </c>
      <c r="Y206" s="341" t="s">
        <v>53</v>
      </c>
      <c r="Z206" s="316">
        <v>0</v>
      </c>
      <c r="AA206" s="275">
        <v>0</v>
      </c>
      <c r="AB206" s="277" t="s">
        <v>899</v>
      </c>
      <c r="AC206" s="277" t="s">
        <v>417</v>
      </c>
      <c r="AD206" s="276"/>
      <c r="AE206" s="277"/>
      <c r="AF206" s="277"/>
      <c r="AG206" s="276"/>
      <c r="AH206" s="277"/>
      <c r="AI206" s="277"/>
      <c r="AJ206" s="278"/>
    </row>
    <row r="207" spans="1:36" ht="75.75" hidden="1" customHeight="1" outlineLevel="1" x14ac:dyDescent="0.2">
      <c r="A207" s="747"/>
      <c r="B207" s="582"/>
      <c r="C207" s="582"/>
      <c r="D207" s="752"/>
      <c r="E207" s="549"/>
      <c r="F207" s="549"/>
      <c r="G207" s="297" t="s">
        <v>555</v>
      </c>
      <c r="H207" s="297" t="s">
        <v>904</v>
      </c>
      <c r="I207" s="666"/>
      <c r="J207" s="262" t="s">
        <v>895</v>
      </c>
      <c r="K207" s="312">
        <v>53000000</v>
      </c>
      <c r="L207" s="316">
        <v>0</v>
      </c>
      <c r="M207" s="272">
        <v>44593</v>
      </c>
      <c r="N207" s="272">
        <v>44925</v>
      </c>
      <c r="O207" s="272">
        <v>44652</v>
      </c>
      <c r="P207" s="273">
        <f t="shared" si="21"/>
        <v>0.17771084337349397</v>
      </c>
      <c r="Q207" s="273">
        <f t="shared" si="24"/>
        <v>0.17771084337349397</v>
      </c>
      <c r="R207" s="274">
        <v>1</v>
      </c>
      <c r="S207" s="275">
        <v>0.25</v>
      </c>
      <c r="T207" s="275">
        <v>0.5</v>
      </c>
      <c r="U207" s="275">
        <v>0.75</v>
      </c>
      <c r="V207" s="275">
        <v>1</v>
      </c>
      <c r="W207" s="275">
        <v>0</v>
      </c>
      <c r="X207" s="275" t="s">
        <v>896</v>
      </c>
      <c r="Y207" s="341" t="s">
        <v>53</v>
      </c>
      <c r="Z207" s="316">
        <v>0</v>
      </c>
      <c r="AA207" s="275">
        <v>0</v>
      </c>
      <c r="AB207" s="277" t="s">
        <v>905</v>
      </c>
      <c r="AC207" s="277" t="s">
        <v>53</v>
      </c>
      <c r="AD207" s="276"/>
      <c r="AE207" s="277"/>
      <c r="AF207" s="277"/>
      <c r="AG207" s="276"/>
      <c r="AH207" s="277"/>
      <c r="AI207" s="277"/>
      <c r="AJ207" s="278"/>
    </row>
    <row r="208" spans="1:36" ht="67.5" hidden="1" customHeight="1" outlineLevel="1" x14ac:dyDescent="0.2">
      <c r="A208" s="747"/>
      <c r="B208" s="582"/>
      <c r="C208" s="582"/>
      <c r="D208" s="752"/>
      <c r="E208" s="549"/>
      <c r="F208" s="549"/>
      <c r="G208" s="297" t="s">
        <v>555</v>
      </c>
      <c r="H208" s="297" t="s">
        <v>906</v>
      </c>
      <c r="I208" s="666"/>
      <c r="J208" s="262" t="s">
        <v>895</v>
      </c>
      <c r="K208" s="312">
        <v>35000000</v>
      </c>
      <c r="L208" s="316">
        <v>0</v>
      </c>
      <c r="M208" s="272">
        <v>44593</v>
      </c>
      <c r="N208" s="272">
        <v>44925</v>
      </c>
      <c r="O208" s="272">
        <v>44652</v>
      </c>
      <c r="P208" s="273">
        <f t="shared" si="21"/>
        <v>0.17771084337349397</v>
      </c>
      <c r="Q208" s="273">
        <f t="shared" si="24"/>
        <v>0.17771084337349397</v>
      </c>
      <c r="R208" s="274">
        <v>1</v>
      </c>
      <c r="S208" s="275">
        <v>0.25</v>
      </c>
      <c r="T208" s="275">
        <v>0.5</v>
      </c>
      <c r="U208" s="275">
        <v>0.75</v>
      </c>
      <c r="V208" s="275">
        <v>1</v>
      </c>
      <c r="W208" s="275">
        <v>0</v>
      </c>
      <c r="X208" s="275" t="s">
        <v>896</v>
      </c>
      <c r="Y208" s="341" t="s">
        <v>53</v>
      </c>
      <c r="Z208" s="316">
        <v>0</v>
      </c>
      <c r="AA208" s="275">
        <v>0</v>
      </c>
      <c r="AB208" s="277" t="s">
        <v>905</v>
      </c>
      <c r="AC208" s="277" t="s">
        <v>53</v>
      </c>
      <c r="AD208" s="276"/>
      <c r="AE208" s="277"/>
      <c r="AF208" s="277"/>
      <c r="AG208" s="276"/>
      <c r="AH208" s="277"/>
      <c r="AI208" s="277"/>
      <c r="AJ208" s="278"/>
    </row>
    <row r="209" spans="1:36" ht="75" hidden="1" customHeight="1" outlineLevel="1" x14ac:dyDescent="0.2">
      <c r="A209" s="747"/>
      <c r="B209" s="582"/>
      <c r="C209" s="582"/>
      <c r="D209" s="752"/>
      <c r="E209" s="549"/>
      <c r="F209" s="549"/>
      <c r="G209" s="297" t="s">
        <v>555</v>
      </c>
      <c r="H209" s="297" t="s">
        <v>908</v>
      </c>
      <c r="I209" s="666"/>
      <c r="J209" s="262" t="s">
        <v>895</v>
      </c>
      <c r="K209" s="312">
        <v>58000000</v>
      </c>
      <c r="L209" s="316">
        <v>0</v>
      </c>
      <c r="M209" s="272">
        <v>44593</v>
      </c>
      <c r="N209" s="272">
        <v>44925</v>
      </c>
      <c r="O209" s="272">
        <v>44652</v>
      </c>
      <c r="P209" s="273">
        <f t="shared" si="21"/>
        <v>0.17771084337349397</v>
      </c>
      <c r="Q209" s="273">
        <f t="shared" si="24"/>
        <v>0.17771084337349397</v>
      </c>
      <c r="R209" s="274">
        <v>1</v>
      </c>
      <c r="S209" s="275">
        <v>0.25</v>
      </c>
      <c r="T209" s="275">
        <v>0.5</v>
      </c>
      <c r="U209" s="275">
        <v>0.75</v>
      </c>
      <c r="V209" s="275">
        <v>1</v>
      </c>
      <c r="W209" s="275">
        <v>0</v>
      </c>
      <c r="X209" s="275" t="s">
        <v>896</v>
      </c>
      <c r="Y209" s="341" t="s">
        <v>53</v>
      </c>
      <c r="Z209" s="316">
        <v>0</v>
      </c>
      <c r="AA209" s="275">
        <v>0</v>
      </c>
      <c r="AB209" s="277" t="s">
        <v>909</v>
      </c>
      <c r="AC209" s="277" t="s">
        <v>53</v>
      </c>
      <c r="AD209" s="276"/>
      <c r="AE209" s="277"/>
      <c r="AF209" s="277"/>
      <c r="AG209" s="276"/>
      <c r="AH209" s="277"/>
      <c r="AI209" s="277"/>
      <c r="AJ209" s="278"/>
    </row>
    <row r="210" spans="1:36" ht="72.75" hidden="1" customHeight="1" outlineLevel="1" x14ac:dyDescent="0.2">
      <c r="A210" s="747"/>
      <c r="B210" s="582"/>
      <c r="C210" s="582"/>
      <c r="D210" s="752"/>
      <c r="E210" s="549"/>
      <c r="F210" s="549"/>
      <c r="G210" s="297" t="s">
        <v>555</v>
      </c>
      <c r="H210" s="297" t="s">
        <v>910</v>
      </c>
      <c r="I210" s="666"/>
      <c r="J210" s="262" t="s">
        <v>895</v>
      </c>
      <c r="K210" s="312">
        <v>17000000</v>
      </c>
      <c r="L210" s="316">
        <v>0</v>
      </c>
      <c r="M210" s="272">
        <v>44593</v>
      </c>
      <c r="N210" s="272">
        <v>44925</v>
      </c>
      <c r="O210" s="272">
        <v>44652</v>
      </c>
      <c r="P210" s="273">
        <f t="shared" si="21"/>
        <v>0.17771084337349397</v>
      </c>
      <c r="Q210" s="273">
        <f t="shared" si="24"/>
        <v>0.17771084337349397</v>
      </c>
      <c r="R210" s="274">
        <v>1</v>
      </c>
      <c r="S210" s="275">
        <v>0.25</v>
      </c>
      <c r="T210" s="275">
        <v>0.5</v>
      </c>
      <c r="U210" s="275">
        <v>0.75</v>
      </c>
      <c r="V210" s="275">
        <v>1</v>
      </c>
      <c r="W210" s="275">
        <v>0</v>
      </c>
      <c r="X210" s="275" t="s">
        <v>896</v>
      </c>
      <c r="Y210" s="341" t="s">
        <v>53</v>
      </c>
      <c r="Z210" s="316">
        <v>0</v>
      </c>
      <c r="AA210" s="275">
        <v>0.4</v>
      </c>
      <c r="AB210" s="277" t="s">
        <v>911</v>
      </c>
      <c r="AC210" s="277" t="s">
        <v>912</v>
      </c>
      <c r="AD210" s="276"/>
      <c r="AE210" s="277"/>
      <c r="AF210" s="277"/>
      <c r="AG210" s="276"/>
      <c r="AH210" s="277"/>
      <c r="AI210" s="277"/>
      <c r="AJ210" s="278"/>
    </row>
    <row r="211" spans="1:36" ht="56.25" hidden="1" customHeight="1" outlineLevel="1" x14ac:dyDescent="0.2">
      <c r="A211" s="747"/>
      <c r="B211" s="582"/>
      <c r="C211" s="582"/>
      <c r="D211" s="752"/>
      <c r="E211" s="549"/>
      <c r="F211" s="549"/>
      <c r="G211" s="297" t="s">
        <v>555</v>
      </c>
      <c r="H211" s="297" t="s">
        <v>913</v>
      </c>
      <c r="I211" s="666"/>
      <c r="J211" s="262" t="s">
        <v>895</v>
      </c>
      <c r="K211" s="312">
        <v>29000000</v>
      </c>
      <c r="L211" s="316">
        <v>0</v>
      </c>
      <c r="M211" s="272">
        <v>44593</v>
      </c>
      <c r="N211" s="272">
        <v>44925</v>
      </c>
      <c r="O211" s="272">
        <v>44652</v>
      </c>
      <c r="P211" s="273">
        <f t="shared" si="21"/>
        <v>0.17771084337349397</v>
      </c>
      <c r="Q211" s="273">
        <f t="shared" si="24"/>
        <v>0.17771084337349397</v>
      </c>
      <c r="R211" s="274">
        <v>1</v>
      </c>
      <c r="S211" s="275">
        <v>0.25</v>
      </c>
      <c r="T211" s="275">
        <v>0.5</v>
      </c>
      <c r="U211" s="275">
        <v>0.75</v>
      </c>
      <c r="V211" s="275">
        <v>1</v>
      </c>
      <c r="W211" s="275">
        <v>0</v>
      </c>
      <c r="X211" s="275" t="s">
        <v>896</v>
      </c>
      <c r="Y211" s="341" t="s">
        <v>53</v>
      </c>
      <c r="Z211" s="316">
        <v>0</v>
      </c>
      <c r="AA211" s="275">
        <v>0</v>
      </c>
      <c r="AB211" s="277" t="s">
        <v>909</v>
      </c>
      <c r="AC211" s="277" t="s">
        <v>53</v>
      </c>
      <c r="AD211" s="276"/>
      <c r="AE211" s="277"/>
      <c r="AF211" s="277"/>
      <c r="AG211" s="276"/>
      <c r="AH211" s="277"/>
      <c r="AI211" s="277"/>
      <c r="AJ211" s="278"/>
    </row>
    <row r="212" spans="1:36" ht="56.25" hidden="1" customHeight="1" outlineLevel="1" x14ac:dyDescent="0.2">
      <c r="A212" s="747"/>
      <c r="B212" s="582"/>
      <c r="C212" s="582"/>
      <c r="D212" s="752"/>
      <c r="E212" s="549"/>
      <c r="F212" s="549"/>
      <c r="G212" s="297" t="s">
        <v>555</v>
      </c>
      <c r="H212" s="297" t="s">
        <v>914</v>
      </c>
      <c r="I212" s="666"/>
      <c r="J212" s="262" t="s">
        <v>895</v>
      </c>
      <c r="K212" s="312">
        <v>39998000</v>
      </c>
      <c r="L212" s="316">
        <v>0</v>
      </c>
      <c r="M212" s="272">
        <v>44593</v>
      </c>
      <c r="N212" s="272">
        <v>44925</v>
      </c>
      <c r="O212" s="272">
        <v>44652</v>
      </c>
      <c r="P212" s="273">
        <f t="shared" ref="P212:P282" si="25">+(+_xlfn.DAYS(M212,O212))/(+_xlfn.DAYS(M212,N212))</f>
        <v>0.17771084337349397</v>
      </c>
      <c r="Q212" s="273">
        <f t="shared" si="24"/>
        <v>0.17771084337349397</v>
      </c>
      <c r="R212" s="274">
        <v>1</v>
      </c>
      <c r="S212" s="275">
        <v>0.25</v>
      </c>
      <c r="T212" s="275">
        <v>0.5</v>
      </c>
      <c r="U212" s="275">
        <v>0.75</v>
      </c>
      <c r="V212" s="275">
        <v>1</v>
      </c>
      <c r="W212" s="275">
        <v>0</v>
      </c>
      <c r="X212" s="275" t="s">
        <v>896</v>
      </c>
      <c r="Y212" s="341" t="s">
        <v>53</v>
      </c>
      <c r="Z212" s="316">
        <v>0</v>
      </c>
      <c r="AA212" s="275">
        <v>0</v>
      </c>
      <c r="AB212" s="277" t="s">
        <v>909</v>
      </c>
      <c r="AC212" s="277" t="s">
        <v>53</v>
      </c>
      <c r="AD212" s="276"/>
      <c r="AE212" s="277"/>
      <c r="AF212" s="277"/>
      <c r="AG212" s="276"/>
      <c r="AH212" s="277"/>
      <c r="AI212" s="277"/>
      <c r="AJ212" s="278"/>
    </row>
    <row r="213" spans="1:36" ht="100.5" hidden="1" customHeight="1" outlineLevel="1" x14ac:dyDescent="0.2">
      <c r="A213" s="747"/>
      <c r="B213" s="582"/>
      <c r="C213" s="582"/>
      <c r="D213" s="752"/>
      <c r="E213" s="549"/>
      <c r="F213" s="549"/>
      <c r="G213" s="297" t="s">
        <v>555</v>
      </c>
      <c r="H213" s="297" t="s">
        <v>915</v>
      </c>
      <c r="I213" s="666"/>
      <c r="J213" s="262" t="s">
        <v>895</v>
      </c>
      <c r="K213" s="312">
        <v>13000000</v>
      </c>
      <c r="L213" s="316">
        <v>0</v>
      </c>
      <c r="M213" s="272">
        <v>44593</v>
      </c>
      <c r="N213" s="272">
        <v>44925</v>
      </c>
      <c r="O213" s="272">
        <v>44652</v>
      </c>
      <c r="P213" s="273">
        <f t="shared" si="25"/>
        <v>0.17771084337349397</v>
      </c>
      <c r="Q213" s="273">
        <f t="shared" si="24"/>
        <v>0.17771084337349397</v>
      </c>
      <c r="R213" s="274">
        <v>1</v>
      </c>
      <c r="S213" s="275">
        <v>0.25</v>
      </c>
      <c r="T213" s="275">
        <v>0.5</v>
      </c>
      <c r="U213" s="275">
        <v>0.75</v>
      </c>
      <c r="V213" s="275">
        <v>1</v>
      </c>
      <c r="W213" s="275">
        <v>0.25</v>
      </c>
      <c r="X213" s="275" t="s">
        <v>916</v>
      </c>
      <c r="Y213" s="341" t="s">
        <v>417</v>
      </c>
      <c r="Z213" s="316">
        <v>12887700</v>
      </c>
      <c r="AA213" s="275">
        <v>1</v>
      </c>
      <c r="AB213" s="277" t="s">
        <v>917</v>
      </c>
      <c r="AC213" s="277" t="s">
        <v>918</v>
      </c>
      <c r="AD213" s="276"/>
      <c r="AE213" s="277"/>
      <c r="AF213" s="277"/>
      <c r="AG213" s="276"/>
      <c r="AH213" s="277"/>
      <c r="AI213" s="277"/>
      <c r="AJ213" s="278"/>
    </row>
    <row r="214" spans="1:36" ht="112.5" hidden="1" customHeight="1" outlineLevel="1" x14ac:dyDescent="0.2">
      <c r="A214" s="747"/>
      <c r="B214" s="582"/>
      <c r="C214" s="582"/>
      <c r="D214" s="752"/>
      <c r="E214" s="549"/>
      <c r="F214" s="549"/>
      <c r="G214" s="297" t="s">
        <v>555</v>
      </c>
      <c r="H214" s="297" t="s">
        <v>919</v>
      </c>
      <c r="I214" s="666"/>
      <c r="J214" s="262" t="s">
        <v>895</v>
      </c>
      <c r="K214" s="312">
        <v>3900000</v>
      </c>
      <c r="L214" s="316">
        <v>0</v>
      </c>
      <c r="M214" s="272">
        <v>44593</v>
      </c>
      <c r="N214" s="272">
        <v>44925</v>
      </c>
      <c r="O214" s="272">
        <v>44652</v>
      </c>
      <c r="P214" s="273">
        <f t="shared" si="25"/>
        <v>0.17771084337349397</v>
      </c>
      <c r="Q214" s="273">
        <f t="shared" si="24"/>
        <v>0.17771084337349397</v>
      </c>
      <c r="R214" s="274">
        <v>1</v>
      </c>
      <c r="S214" s="275">
        <v>0.25</v>
      </c>
      <c r="T214" s="275">
        <v>0.5</v>
      </c>
      <c r="U214" s="275">
        <v>0.75</v>
      </c>
      <c r="V214" s="275">
        <v>1</v>
      </c>
      <c r="W214" s="275">
        <v>0</v>
      </c>
      <c r="X214" s="275" t="s">
        <v>896</v>
      </c>
      <c r="Y214" s="341" t="s">
        <v>53</v>
      </c>
      <c r="Z214" s="316">
        <v>0</v>
      </c>
      <c r="AA214" s="275">
        <v>0</v>
      </c>
      <c r="AB214" s="277" t="s">
        <v>909</v>
      </c>
      <c r="AC214" s="277" t="s">
        <v>53</v>
      </c>
      <c r="AD214" s="276"/>
      <c r="AE214" s="277"/>
      <c r="AF214" s="277"/>
      <c r="AG214" s="276"/>
      <c r="AH214" s="277"/>
      <c r="AI214" s="277"/>
      <c r="AJ214" s="278"/>
    </row>
    <row r="215" spans="1:36" ht="84.75" hidden="1" customHeight="1" outlineLevel="1" x14ac:dyDescent="0.2">
      <c r="A215" s="747"/>
      <c r="B215" s="582"/>
      <c r="C215" s="582"/>
      <c r="D215" s="752"/>
      <c r="E215" s="549"/>
      <c r="F215" s="549"/>
      <c r="G215" s="297" t="s">
        <v>555</v>
      </c>
      <c r="H215" s="297" t="s">
        <v>920</v>
      </c>
      <c r="I215" s="666"/>
      <c r="J215" s="262" t="s">
        <v>921</v>
      </c>
      <c r="K215" s="312">
        <v>32000000</v>
      </c>
      <c r="L215" s="316">
        <v>0</v>
      </c>
      <c r="M215" s="272">
        <v>44593</v>
      </c>
      <c r="N215" s="272">
        <v>44925</v>
      </c>
      <c r="O215" s="272">
        <v>44652</v>
      </c>
      <c r="P215" s="273">
        <f t="shared" si="25"/>
        <v>0.17771084337349397</v>
      </c>
      <c r="Q215" s="273">
        <f t="shared" si="24"/>
        <v>0.17771084337349397</v>
      </c>
      <c r="R215" s="274">
        <v>1</v>
      </c>
      <c r="S215" s="275">
        <v>0.25</v>
      </c>
      <c r="T215" s="275">
        <v>0.5</v>
      </c>
      <c r="U215" s="275">
        <v>0.75</v>
      </c>
      <c r="V215" s="275">
        <v>1</v>
      </c>
      <c r="W215" s="275">
        <v>0</v>
      </c>
      <c r="X215" s="275" t="s">
        <v>896</v>
      </c>
      <c r="Y215" s="341" t="s">
        <v>53</v>
      </c>
      <c r="Z215" s="316">
        <v>0</v>
      </c>
      <c r="AA215" s="275">
        <v>0.3</v>
      </c>
      <c r="AB215" s="277" t="s">
        <v>922</v>
      </c>
      <c r="AC215" s="277" t="s">
        <v>101</v>
      </c>
      <c r="AD215" s="276"/>
      <c r="AE215" s="277"/>
      <c r="AF215" s="277"/>
      <c r="AG215" s="276"/>
      <c r="AH215" s="277"/>
      <c r="AI215" s="277"/>
      <c r="AJ215" s="278"/>
    </row>
    <row r="216" spans="1:36" ht="75" hidden="1" customHeight="1" outlineLevel="1" x14ac:dyDescent="0.2">
      <c r="A216" s="747"/>
      <c r="B216" s="582"/>
      <c r="C216" s="582"/>
      <c r="D216" s="752"/>
      <c r="E216" s="549"/>
      <c r="F216" s="549"/>
      <c r="G216" s="297" t="s">
        <v>555</v>
      </c>
      <c r="H216" s="297" t="s">
        <v>923</v>
      </c>
      <c r="I216" s="666"/>
      <c r="J216" s="262" t="s">
        <v>924</v>
      </c>
      <c r="K216" s="312">
        <v>23000000</v>
      </c>
      <c r="L216" s="316">
        <v>0</v>
      </c>
      <c r="M216" s="272">
        <v>44593</v>
      </c>
      <c r="N216" s="272">
        <v>44925</v>
      </c>
      <c r="O216" s="272">
        <v>44652</v>
      </c>
      <c r="P216" s="273">
        <f t="shared" si="25"/>
        <v>0.17771084337349397</v>
      </c>
      <c r="Q216" s="273">
        <f t="shared" si="24"/>
        <v>0.17771084337349397</v>
      </c>
      <c r="R216" s="274">
        <v>1</v>
      </c>
      <c r="S216" s="275">
        <v>0.25</v>
      </c>
      <c r="T216" s="275">
        <v>0.5</v>
      </c>
      <c r="U216" s="275">
        <v>0.75</v>
      </c>
      <c r="V216" s="275">
        <v>1</v>
      </c>
      <c r="W216" s="275">
        <v>0</v>
      </c>
      <c r="X216" s="275" t="s">
        <v>907</v>
      </c>
      <c r="Y216" s="341" t="s">
        <v>53</v>
      </c>
      <c r="Z216" s="316">
        <v>0</v>
      </c>
      <c r="AA216" s="275">
        <v>0</v>
      </c>
      <c r="AB216" s="277" t="s">
        <v>925</v>
      </c>
      <c r="AC216" s="277" t="s">
        <v>53</v>
      </c>
      <c r="AD216" s="276"/>
      <c r="AE216" s="277"/>
      <c r="AF216" s="277"/>
      <c r="AG216" s="276"/>
      <c r="AH216" s="277"/>
      <c r="AI216" s="277"/>
      <c r="AJ216" s="278"/>
    </row>
    <row r="217" spans="1:36" ht="86.25" hidden="1" customHeight="1" outlineLevel="1" x14ac:dyDescent="0.2">
      <c r="A217" s="747"/>
      <c r="B217" s="582"/>
      <c r="C217" s="582"/>
      <c r="D217" s="752"/>
      <c r="E217" s="549"/>
      <c r="F217" s="549"/>
      <c r="G217" s="297" t="s">
        <v>555</v>
      </c>
      <c r="H217" s="297" t="s">
        <v>926</v>
      </c>
      <c r="I217" s="666"/>
      <c r="J217" s="262" t="s">
        <v>924</v>
      </c>
      <c r="K217" s="312">
        <v>30000000</v>
      </c>
      <c r="L217" s="316">
        <v>0</v>
      </c>
      <c r="M217" s="272">
        <v>44593</v>
      </c>
      <c r="N217" s="272">
        <v>44925</v>
      </c>
      <c r="O217" s="272">
        <v>44652</v>
      </c>
      <c r="P217" s="273">
        <f t="shared" si="25"/>
        <v>0.17771084337349397</v>
      </c>
      <c r="Q217" s="273">
        <f t="shared" si="24"/>
        <v>0.17771084337349397</v>
      </c>
      <c r="R217" s="274">
        <v>1</v>
      </c>
      <c r="S217" s="275">
        <v>0.25</v>
      </c>
      <c r="T217" s="275">
        <v>0.5</v>
      </c>
      <c r="U217" s="275">
        <v>0.75</v>
      </c>
      <c r="V217" s="275">
        <v>1</v>
      </c>
      <c r="W217" s="275">
        <v>0</v>
      </c>
      <c r="X217" s="275" t="s">
        <v>907</v>
      </c>
      <c r="Y217" s="341" t="s">
        <v>53</v>
      </c>
      <c r="Z217" s="316">
        <v>0</v>
      </c>
      <c r="AA217" s="275">
        <v>0.25</v>
      </c>
      <c r="AB217" s="277" t="s">
        <v>927</v>
      </c>
      <c r="AC217" s="277" t="s">
        <v>928</v>
      </c>
      <c r="AD217" s="276"/>
      <c r="AE217" s="277"/>
      <c r="AF217" s="277"/>
      <c r="AG217" s="276"/>
      <c r="AH217" s="277"/>
      <c r="AI217" s="277"/>
      <c r="AJ217" s="278"/>
    </row>
    <row r="218" spans="1:36" ht="56.25" hidden="1" customHeight="1" outlineLevel="1" x14ac:dyDescent="0.2">
      <c r="A218" s="747"/>
      <c r="B218" s="582"/>
      <c r="C218" s="582"/>
      <c r="D218" s="752"/>
      <c r="E218" s="549"/>
      <c r="F218" s="549"/>
      <c r="G218" s="297" t="s">
        <v>555</v>
      </c>
      <c r="H218" s="297" t="s">
        <v>929</v>
      </c>
      <c r="I218" s="666"/>
      <c r="J218" s="262" t="s">
        <v>930</v>
      </c>
      <c r="K218" s="312">
        <v>30000000</v>
      </c>
      <c r="L218" s="316">
        <v>0</v>
      </c>
      <c r="M218" s="272">
        <v>44593</v>
      </c>
      <c r="N218" s="272">
        <v>44925</v>
      </c>
      <c r="O218" s="272">
        <v>44652</v>
      </c>
      <c r="P218" s="273">
        <f t="shared" si="25"/>
        <v>0.17771084337349397</v>
      </c>
      <c r="Q218" s="273">
        <f t="shared" si="24"/>
        <v>0.17771084337349397</v>
      </c>
      <c r="R218" s="274">
        <v>1</v>
      </c>
      <c r="S218" s="275">
        <v>0.25</v>
      </c>
      <c r="T218" s="275">
        <v>0.5</v>
      </c>
      <c r="U218" s="275">
        <v>0.75</v>
      </c>
      <c r="V218" s="275">
        <v>1</v>
      </c>
      <c r="W218" s="275">
        <v>0</v>
      </c>
      <c r="X218" s="275" t="s">
        <v>907</v>
      </c>
      <c r="Y218" s="341" t="s">
        <v>53</v>
      </c>
      <c r="Z218" s="316">
        <v>0</v>
      </c>
      <c r="AA218" s="275">
        <v>0.25</v>
      </c>
      <c r="AB218" s="277" t="s">
        <v>931</v>
      </c>
      <c r="AC218" s="277" t="s">
        <v>932</v>
      </c>
      <c r="AD218" s="276"/>
      <c r="AE218" s="277"/>
      <c r="AF218" s="277"/>
      <c r="AG218" s="276"/>
      <c r="AH218" s="277"/>
      <c r="AI218" s="277"/>
      <c r="AJ218" s="278"/>
    </row>
    <row r="219" spans="1:36" ht="75" hidden="1" customHeight="1" outlineLevel="1" x14ac:dyDescent="0.2">
      <c r="A219" s="747"/>
      <c r="B219" s="582"/>
      <c r="C219" s="582"/>
      <c r="D219" s="752"/>
      <c r="E219" s="549"/>
      <c r="F219" s="549"/>
      <c r="G219" s="297" t="s">
        <v>555</v>
      </c>
      <c r="H219" s="297" t="s">
        <v>933</v>
      </c>
      <c r="I219" s="667"/>
      <c r="J219" s="262" t="s">
        <v>934</v>
      </c>
      <c r="K219" s="312">
        <v>250000000</v>
      </c>
      <c r="L219" s="316">
        <v>0</v>
      </c>
      <c r="M219" s="272">
        <v>44593</v>
      </c>
      <c r="N219" s="272">
        <v>44925</v>
      </c>
      <c r="O219" s="272">
        <v>44652</v>
      </c>
      <c r="P219" s="273">
        <f t="shared" si="25"/>
        <v>0.17771084337349397</v>
      </c>
      <c r="Q219" s="273">
        <f t="shared" si="24"/>
        <v>0.17771084337349397</v>
      </c>
      <c r="R219" s="274">
        <v>1</v>
      </c>
      <c r="S219" s="275">
        <v>0.25</v>
      </c>
      <c r="T219" s="275">
        <v>0.5</v>
      </c>
      <c r="U219" s="275">
        <v>0.75</v>
      </c>
      <c r="V219" s="275">
        <v>1</v>
      </c>
      <c r="W219" s="275">
        <v>0</v>
      </c>
      <c r="X219" s="275" t="s">
        <v>935</v>
      </c>
      <c r="Y219" s="341" t="s">
        <v>53</v>
      </c>
      <c r="Z219" s="316">
        <v>0</v>
      </c>
      <c r="AA219" s="275">
        <v>0.4</v>
      </c>
      <c r="AB219" s="277" t="s">
        <v>936</v>
      </c>
      <c r="AC219" s="277" t="s">
        <v>937</v>
      </c>
      <c r="AD219" s="276"/>
      <c r="AE219" s="277"/>
      <c r="AF219" s="277"/>
      <c r="AG219" s="276"/>
      <c r="AH219" s="277"/>
      <c r="AI219" s="277"/>
      <c r="AJ219" s="278"/>
    </row>
    <row r="220" spans="1:36" ht="56.25" hidden="1" customHeight="1" outlineLevel="1" x14ac:dyDescent="0.2">
      <c r="A220" s="747"/>
      <c r="B220" s="582"/>
      <c r="C220" s="582"/>
      <c r="D220" s="752"/>
      <c r="E220" s="549"/>
      <c r="F220" s="548" t="s">
        <v>938</v>
      </c>
      <c r="G220" s="297" t="s">
        <v>555</v>
      </c>
      <c r="H220" s="297" t="s">
        <v>939</v>
      </c>
      <c r="I220" s="665" t="s">
        <v>504</v>
      </c>
      <c r="J220" s="262" t="s">
        <v>940</v>
      </c>
      <c r="K220" s="312">
        <v>1800000000</v>
      </c>
      <c r="L220" s="316">
        <v>0</v>
      </c>
      <c r="M220" s="272">
        <v>44593</v>
      </c>
      <c r="N220" s="272">
        <v>44925</v>
      </c>
      <c r="O220" s="272">
        <v>44652</v>
      </c>
      <c r="P220" s="273">
        <f t="shared" si="25"/>
        <v>0.17771084337349397</v>
      </c>
      <c r="Q220" s="273">
        <f t="shared" si="24"/>
        <v>0.17771084337349397</v>
      </c>
      <c r="R220" s="274">
        <v>1</v>
      </c>
      <c r="S220" s="275">
        <v>0.25</v>
      </c>
      <c r="T220" s="275">
        <v>0.5</v>
      </c>
      <c r="U220" s="275">
        <v>0.75</v>
      </c>
      <c r="V220" s="275">
        <v>1</v>
      </c>
      <c r="W220" s="275">
        <v>0</v>
      </c>
      <c r="X220" s="275" t="s">
        <v>941</v>
      </c>
      <c r="Y220" s="341" t="s">
        <v>53</v>
      </c>
      <c r="Z220" s="316">
        <v>0</v>
      </c>
      <c r="AA220" s="275">
        <v>0</v>
      </c>
      <c r="AB220" s="275" t="s">
        <v>941</v>
      </c>
      <c r="AC220" s="277" t="s">
        <v>53</v>
      </c>
      <c r="AD220" s="276"/>
      <c r="AE220" s="277"/>
      <c r="AF220" s="277"/>
      <c r="AG220" s="276"/>
      <c r="AH220" s="277"/>
      <c r="AI220" s="277"/>
      <c r="AJ220" s="278"/>
    </row>
    <row r="221" spans="1:36" ht="77.25" hidden="1" customHeight="1" outlineLevel="1" x14ac:dyDescent="0.2">
      <c r="A221" s="747"/>
      <c r="B221" s="582"/>
      <c r="C221" s="582"/>
      <c r="D221" s="752"/>
      <c r="E221" s="549"/>
      <c r="F221" s="549"/>
      <c r="G221" s="297" t="s">
        <v>555</v>
      </c>
      <c r="H221" s="297" t="s">
        <v>942</v>
      </c>
      <c r="I221" s="666"/>
      <c r="J221" s="262" t="s">
        <v>943</v>
      </c>
      <c r="K221" s="312">
        <v>80000000</v>
      </c>
      <c r="L221" s="316">
        <v>0</v>
      </c>
      <c r="M221" s="272">
        <v>44593</v>
      </c>
      <c r="N221" s="272">
        <v>44925</v>
      </c>
      <c r="O221" s="272">
        <v>44652</v>
      </c>
      <c r="P221" s="273">
        <f t="shared" si="25"/>
        <v>0.17771084337349397</v>
      </c>
      <c r="Q221" s="273">
        <f t="shared" si="24"/>
        <v>0.17771084337349397</v>
      </c>
      <c r="R221" s="274">
        <v>1</v>
      </c>
      <c r="S221" s="275">
        <v>0.25</v>
      </c>
      <c r="T221" s="275">
        <v>0.5</v>
      </c>
      <c r="U221" s="275">
        <v>0.75</v>
      </c>
      <c r="V221" s="275">
        <v>1</v>
      </c>
      <c r="W221" s="275">
        <v>0</v>
      </c>
      <c r="X221" s="275" t="s">
        <v>935</v>
      </c>
      <c r="Y221" s="341" t="s">
        <v>53</v>
      </c>
      <c r="Z221" s="316">
        <v>0</v>
      </c>
      <c r="AA221" s="275">
        <v>0.4</v>
      </c>
      <c r="AB221" s="277" t="s">
        <v>944</v>
      </c>
      <c r="AC221" s="277" t="s">
        <v>53</v>
      </c>
      <c r="AD221" s="276"/>
      <c r="AE221" s="277"/>
      <c r="AF221" s="277"/>
      <c r="AG221" s="276"/>
      <c r="AH221" s="277"/>
      <c r="AI221" s="277"/>
      <c r="AJ221" s="278"/>
    </row>
    <row r="222" spans="1:36" ht="56.25" hidden="1" customHeight="1" outlineLevel="1" x14ac:dyDescent="0.2">
      <c r="A222" s="747"/>
      <c r="B222" s="582"/>
      <c r="C222" s="582"/>
      <c r="D222" s="752"/>
      <c r="E222" s="549"/>
      <c r="F222" s="549"/>
      <c r="G222" s="297" t="s">
        <v>555</v>
      </c>
      <c r="H222" s="297" t="s">
        <v>945</v>
      </c>
      <c r="I222" s="667"/>
      <c r="J222" s="262" t="s">
        <v>946</v>
      </c>
      <c r="K222" s="312" t="s">
        <v>128</v>
      </c>
      <c r="L222" s="316">
        <v>0</v>
      </c>
      <c r="M222" s="272">
        <v>44593</v>
      </c>
      <c r="N222" s="272">
        <v>44925</v>
      </c>
      <c r="O222" s="272">
        <v>44652</v>
      </c>
      <c r="P222" s="273">
        <f t="shared" si="25"/>
        <v>0.17771084337349397</v>
      </c>
      <c r="Q222" s="273">
        <f t="shared" si="24"/>
        <v>0.17771084337349397</v>
      </c>
      <c r="R222" s="274">
        <v>1</v>
      </c>
      <c r="S222" s="275">
        <v>0.25</v>
      </c>
      <c r="T222" s="275">
        <v>0.5</v>
      </c>
      <c r="U222" s="275">
        <v>0.75</v>
      </c>
      <c r="V222" s="275">
        <v>1</v>
      </c>
      <c r="W222" s="275">
        <v>0</v>
      </c>
      <c r="X222" s="275" t="s">
        <v>947</v>
      </c>
      <c r="Y222" s="341" t="s">
        <v>53</v>
      </c>
      <c r="Z222" s="316">
        <v>0</v>
      </c>
      <c r="AA222" s="275">
        <v>0.5</v>
      </c>
      <c r="AB222" s="277" t="s">
        <v>948</v>
      </c>
      <c r="AC222" s="277" t="s">
        <v>949</v>
      </c>
      <c r="AD222" s="276"/>
      <c r="AE222" s="277"/>
      <c r="AF222" s="277"/>
      <c r="AG222" s="276"/>
      <c r="AH222" s="277"/>
      <c r="AI222" s="277"/>
      <c r="AJ222" s="278"/>
    </row>
    <row r="223" spans="1:36" ht="196.5" hidden="1" customHeight="1" outlineLevel="1" x14ac:dyDescent="0.2">
      <c r="A223" s="747"/>
      <c r="B223" s="582"/>
      <c r="C223" s="582"/>
      <c r="D223" s="752"/>
      <c r="E223" s="796"/>
      <c r="F223" s="796"/>
      <c r="G223" s="297" t="s">
        <v>251</v>
      </c>
      <c r="H223" s="297" t="s">
        <v>950</v>
      </c>
      <c r="I223" s="297" t="s">
        <v>504</v>
      </c>
      <c r="J223" s="262" t="s">
        <v>951</v>
      </c>
      <c r="K223" s="312" t="s">
        <v>952</v>
      </c>
      <c r="L223" s="316">
        <v>0</v>
      </c>
      <c r="M223" s="272">
        <v>44593</v>
      </c>
      <c r="N223" s="272">
        <v>44925</v>
      </c>
      <c r="O223" s="272">
        <v>44652</v>
      </c>
      <c r="P223" s="273">
        <f>+(+_xlfn.DAYS(M223,O223))/(+_xlfn.DAYS(M223,N223))</f>
        <v>0.17771084337349397</v>
      </c>
      <c r="Q223" s="273">
        <f>+IF(P223&gt;=100,100,IF(P223&lt;=0,0,P223))</f>
        <v>0.17771084337349397</v>
      </c>
      <c r="R223" s="274">
        <v>0.6</v>
      </c>
      <c r="S223" s="275">
        <v>0.52</v>
      </c>
      <c r="T223" s="275">
        <v>0.54</v>
      </c>
      <c r="U223" s="275">
        <v>0.56999999999999995</v>
      </c>
      <c r="V223" s="275">
        <v>0.6</v>
      </c>
      <c r="W223" s="275">
        <v>0.5</v>
      </c>
      <c r="X223" s="275" t="s">
        <v>953</v>
      </c>
      <c r="Y223" s="341" t="s">
        <v>954</v>
      </c>
      <c r="Z223" s="316" t="s">
        <v>955</v>
      </c>
      <c r="AA223" s="275">
        <v>0.9</v>
      </c>
      <c r="AB223" s="277" t="s">
        <v>2298</v>
      </c>
      <c r="AC223" s="277" t="s">
        <v>956</v>
      </c>
      <c r="AD223" s="276"/>
      <c r="AE223" s="277"/>
      <c r="AF223" s="277"/>
      <c r="AG223" s="276"/>
      <c r="AH223" s="277"/>
      <c r="AI223" s="277"/>
      <c r="AJ223" s="278"/>
    </row>
    <row r="224" spans="1:36" ht="131.25" hidden="1" customHeight="1" outlineLevel="1" x14ac:dyDescent="0.2">
      <c r="A224" s="747"/>
      <c r="B224" s="582"/>
      <c r="C224" s="582"/>
      <c r="D224" s="752"/>
      <c r="E224" s="411"/>
      <c r="F224" s="411"/>
      <c r="G224" s="297"/>
      <c r="H224" s="297" t="s">
        <v>957</v>
      </c>
      <c r="I224" s="433"/>
      <c r="J224" s="262" t="s">
        <v>2217</v>
      </c>
      <c r="K224" s="312">
        <v>3818115</v>
      </c>
      <c r="L224" s="316">
        <v>0</v>
      </c>
      <c r="M224" s="272">
        <v>44593</v>
      </c>
      <c r="N224" s="272">
        <v>44925</v>
      </c>
      <c r="O224" s="272">
        <v>44652</v>
      </c>
      <c r="P224" s="273">
        <f>+(+_xlfn.DAYS(M224,O224))/(+_xlfn.DAYS(M224,N224))</f>
        <v>0.17771084337349397</v>
      </c>
      <c r="Q224" s="273">
        <f>+IF(P224&gt;=100,100,IF(P224&lt;=0,0,P224))</f>
        <v>0.17771084337349397</v>
      </c>
      <c r="R224" s="274">
        <v>0.6</v>
      </c>
      <c r="S224" s="275">
        <v>0.52</v>
      </c>
      <c r="T224" s="275">
        <v>0.54</v>
      </c>
      <c r="U224" s="275">
        <v>0.56999999999999995</v>
      </c>
      <c r="V224" s="275">
        <v>0.6</v>
      </c>
      <c r="W224" s="275">
        <v>0.2</v>
      </c>
      <c r="X224" s="275" t="s">
        <v>958</v>
      </c>
      <c r="Y224" s="341" t="s">
        <v>417</v>
      </c>
      <c r="Z224" s="316">
        <v>3818115</v>
      </c>
      <c r="AA224" s="275">
        <v>1</v>
      </c>
      <c r="AB224" s="277" t="s">
        <v>2299</v>
      </c>
      <c r="AC224" s="277" t="s">
        <v>53</v>
      </c>
      <c r="AD224" s="276"/>
      <c r="AE224" s="277"/>
      <c r="AF224" s="277"/>
      <c r="AG224" s="276"/>
      <c r="AH224" s="277"/>
      <c r="AI224" s="277"/>
      <c r="AJ224" s="278"/>
    </row>
    <row r="225" spans="1:36" ht="168.75" hidden="1" customHeight="1" outlineLevel="1" x14ac:dyDescent="0.2">
      <c r="A225" s="747"/>
      <c r="B225" s="582"/>
      <c r="C225" s="582"/>
      <c r="D225" s="752"/>
      <c r="E225" s="548" t="s">
        <v>500</v>
      </c>
      <c r="F225" s="354" t="s">
        <v>959</v>
      </c>
      <c r="G225" s="297" t="s">
        <v>555</v>
      </c>
      <c r="H225" s="297" t="s">
        <v>960</v>
      </c>
      <c r="I225" s="433" t="s">
        <v>961</v>
      </c>
      <c r="J225" s="262" t="s">
        <v>962</v>
      </c>
      <c r="K225" s="312">
        <v>97206675</v>
      </c>
      <c r="L225" s="316">
        <v>0</v>
      </c>
      <c r="M225" s="272">
        <v>44593</v>
      </c>
      <c r="N225" s="272">
        <v>44925</v>
      </c>
      <c r="O225" s="272">
        <v>44652</v>
      </c>
      <c r="P225" s="273">
        <f t="shared" si="25"/>
        <v>0.17771084337349397</v>
      </c>
      <c r="Q225" s="273">
        <f t="shared" si="24"/>
        <v>0.17771084337349397</v>
      </c>
      <c r="R225" s="274">
        <v>0.9</v>
      </c>
      <c r="S225" s="275">
        <v>0.86</v>
      </c>
      <c r="T225" s="275">
        <v>0.87</v>
      </c>
      <c r="U225" s="275">
        <v>0.88</v>
      </c>
      <c r="V225" s="275">
        <v>1</v>
      </c>
      <c r="W225" s="275">
        <v>0.25</v>
      </c>
      <c r="X225" s="275" t="s">
        <v>963</v>
      </c>
      <c r="Y225" s="341" t="s">
        <v>417</v>
      </c>
      <c r="Z225" s="316">
        <v>0</v>
      </c>
      <c r="AA225" s="275">
        <v>0.35</v>
      </c>
      <c r="AB225" s="277" t="s">
        <v>964</v>
      </c>
      <c r="AC225" s="277" t="s">
        <v>965</v>
      </c>
      <c r="AD225" s="276"/>
      <c r="AE225" s="277"/>
      <c r="AF225" s="277"/>
      <c r="AG225" s="276"/>
      <c r="AH225" s="277"/>
      <c r="AI225" s="277"/>
      <c r="AJ225" s="278"/>
    </row>
    <row r="226" spans="1:36" ht="142.5" hidden="1" customHeight="1" outlineLevel="1" x14ac:dyDescent="0.2">
      <c r="A226" s="355"/>
      <c r="B226" s="582"/>
      <c r="C226" s="582"/>
      <c r="D226" s="752"/>
      <c r="E226" s="796"/>
      <c r="F226" s="252" t="s">
        <v>966</v>
      </c>
      <c r="G226" s="297" t="s">
        <v>251</v>
      </c>
      <c r="H226" s="297" t="s">
        <v>967</v>
      </c>
      <c r="I226" s="297" t="s">
        <v>968</v>
      </c>
      <c r="J226" s="262" t="s">
        <v>969</v>
      </c>
      <c r="K226" s="312" t="s">
        <v>53</v>
      </c>
      <c r="L226" s="316">
        <v>0</v>
      </c>
      <c r="M226" s="272">
        <v>44593</v>
      </c>
      <c r="N226" s="272">
        <v>44925</v>
      </c>
      <c r="O226" s="272">
        <v>44652</v>
      </c>
      <c r="P226" s="273">
        <f t="shared" si="25"/>
        <v>0.17771084337349397</v>
      </c>
      <c r="Q226" s="273">
        <f t="shared" si="24"/>
        <v>0.17771084337349397</v>
      </c>
      <c r="R226" s="274">
        <v>1</v>
      </c>
      <c r="S226" s="275">
        <v>1</v>
      </c>
      <c r="T226" s="275">
        <v>1</v>
      </c>
      <c r="U226" s="275">
        <v>1</v>
      </c>
      <c r="V226" s="275">
        <v>1</v>
      </c>
      <c r="W226" s="275">
        <v>0.25</v>
      </c>
      <c r="X226" s="275" t="s">
        <v>970</v>
      </c>
      <c r="Y226" s="341" t="s">
        <v>971</v>
      </c>
      <c r="Z226" s="316">
        <v>0</v>
      </c>
      <c r="AA226" s="275">
        <v>0.3</v>
      </c>
      <c r="AB226" s="277" t="s">
        <v>972</v>
      </c>
      <c r="AC226" s="277" t="s">
        <v>53</v>
      </c>
      <c r="AD226" s="276"/>
      <c r="AE226" s="277"/>
      <c r="AF226" s="277"/>
      <c r="AG226" s="276"/>
      <c r="AH226" s="277"/>
      <c r="AI226" s="277"/>
      <c r="AJ226" s="278"/>
    </row>
    <row r="227" spans="1:36" ht="67.150000000000006" customHeight="1" collapsed="1" thickBot="1" x14ac:dyDescent="0.25">
      <c r="A227" s="649" t="s">
        <v>496</v>
      </c>
      <c r="B227" s="650"/>
      <c r="C227" s="650"/>
      <c r="D227" s="650"/>
      <c r="E227" s="650"/>
      <c r="F227" s="650"/>
      <c r="G227" s="650"/>
      <c r="H227" s="650"/>
      <c r="I227" s="650"/>
      <c r="J227" s="650"/>
      <c r="K227" s="650"/>
      <c r="L227" s="650"/>
      <c r="M227" s="650"/>
      <c r="N227" s="651"/>
      <c r="O227" s="319">
        <v>44652</v>
      </c>
      <c r="P227" s="273"/>
      <c r="Q227" s="380">
        <f>+AVERAGE(Q109:Q226)</f>
        <v>0.17771084337349344</v>
      </c>
      <c r="R227" s="285">
        <v>100</v>
      </c>
      <c r="S227" s="610"/>
      <c r="T227" s="611"/>
      <c r="U227" s="611"/>
      <c r="V227" s="612"/>
      <c r="W227" s="381">
        <f>AVERAGE(W109:W124,W126:W226)</f>
        <v>0.16639310344827585</v>
      </c>
      <c r="X227" s="275"/>
      <c r="Y227" s="341"/>
      <c r="Z227" s="316"/>
      <c r="AA227" s="381">
        <f>AVERAGE(AA109:AA125,AA126:AA226)</f>
        <v>0.36661016949152536</v>
      </c>
      <c r="AB227" s="277"/>
      <c r="AC227" s="277"/>
      <c r="AD227" s="276"/>
      <c r="AE227" s="277"/>
      <c r="AF227" s="277"/>
      <c r="AG227" s="276"/>
      <c r="AH227" s="277"/>
      <c r="AI227" s="277"/>
      <c r="AJ227" s="278"/>
    </row>
    <row r="228" spans="1:36" ht="114.75" hidden="1" customHeight="1" outlineLevel="1" x14ac:dyDescent="0.2">
      <c r="A228" s="636" t="s">
        <v>973</v>
      </c>
      <c r="B228" s="416" t="s">
        <v>40</v>
      </c>
      <c r="C228" s="416" t="s">
        <v>91</v>
      </c>
      <c r="D228" s="689" t="s">
        <v>974</v>
      </c>
      <c r="E228" s="246" t="s">
        <v>824</v>
      </c>
      <c r="F228" s="246" t="s">
        <v>975</v>
      </c>
      <c r="G228" s="10" t="s">
        <v>976</v>
      </c>
      <c r="H228" s="10" t="s">
        <v>977</v>
      </c>
      <c r="I228" s="10" t="s">
        <v>978</v>
      </c>
      <c r="J228" s="251" t="s">
        <v>979</v>
      </c>
      <c r="K228" s="251" t="s">
        <v>555</v>
      </c>
      <c r="L228" s="316">
        <v>0</v>
      </c>
      <c r="M228" s="272">
        <v>44593</v>
      </c>
      <c r="N228" s="272">
        <v>44925</v>
      </c>
      <c r="O228" s="272">
        <v>44652</v>
      </c>
      <c r="P228" s="273">
        <f t="shared" si="25"/>
        <v>0.17771084337349397</v>
      </c>
      <c r="Q228" s="273">
        <f t="shared" ref="Q228:Q305" si="26">+IF(P228&gt;=100,100,IF(P228&lt;=0,0,P228))</f>
        <v>0.17771084337349397</v>
      </c>
      <c r="R228" s="274">
        <v>0.2</v>
      </c>
      <c r="S228" s="275">
        <v>0.12</v>
      </c>
      <c r="T228" s="275">
        <v>0.14000000000000001</v>
      </c>
      <c r="U228" s="275">
        <v>0.17</v>
      </c>
      <c r="V228" s="275">
        <v>0.2</v>
      </c>
      <c r="W228" s="275">
        <v>0.25</v>
      </c>
      <c r="X228" s="275" t="s">
        <v>980</v>
      </c>
      <c r="Y228" s="341" t="s">
        <v>981</v>
      </c>
      <c r="Z228" s="316">
        <v>0</v>
      </c>
      <c r="AA228" s="275">
        <v>0.5</v>
      </c>
      <c r="AB228" s="277" t="s">
        <v>982</v>
      </c>
      <c r="AC228" s="277" t="s">
        <v>2218</v>
      </c>
      <c r="AD228" s="276"/>
      <c r="AE228" s="277"/>
      <c r="AF228" s="277"/>
      <c r="AG228" s="276"/>
      <c r="AH228" s="277"/>
      <c r="AI228" s="277"/>
      <c r="AJ228" s="278"/>
    </row>
    <row r="229" spans="1:36" ht="75" hidden="1" customHeight="1" outlineLevel="1" x14ac:dyDescent="0.2">
      <c r="A229" s="637"/>
      <c r="B229" s="546" t="s">
        <v>983</v>
      </c>
      <c r="C229" s="546" t="s">
        <v>984</v>
      </c>
      <c r="D229" s="630"/>
      <c r="E229" s="532" t="s">
        <v>985</v>
      </c>
      <c r="F229" s="532" t="s">
        <v>986</v>
      </c>
      <c r="G229" s="553" t="s">
        <v>987</v>
      </c>
      <c r="H229" s="10" t="s">
        <v>988</v>
      </c>
      <c r="I229" s="553" t="s">
        <v>989</v>
      </c>
      <c r="J229" s="251" t="s">
        <v>990</v>
      </c>
      <c r="K229" s="312">
        <v>14000000</v>
      </c>
      <c r="L229" s="316">
        <v>0</v>
      </c>
      <c r="M229" s="272">
        <v>44593</v>
      </c>
      <c r="N229" s="272">
        <v>44925</v>
      </c>
      <c r="O229" s="272">
        <v>44652</v>
      </c>
      <c r="P229" s="273">
        <f t="shared" si="25"/>
        <v>0.17771084337349397</v>
      </c>
      <c r="Q229" s="273">
        <f t="shared" si="26"/>
        <v>0.17771084337349397</v>
      </c>
      <c r="R229" s="274">
        <v>0.33</v>
      </c>
      <c r="S229" s="610" t="s">
        <v>991</v>
      </c>
      <c r="T229" s="611"/>
      <c r="U229" s="611"/>
      <c r="V229" s="612"/>
      <c r="W229" s="275">
        <v>0.97</v>
      </c>
      <c r="X229" s="275" t="s">
        <v>992</v>
      </c>
      <c r="Y229" s="341" t="s">
        <v>993</v>
      </c>
      <c r="Z229" s="316">
        <v>0</v>
      </c>
      <c r="AA229" s="275">
        <v>0.5</v>
      </c>
      <c r="AB229" s="277" t="s">
        <v>2315</v>
      </c>
      <c r="AC229" s="473" t="s">
        <v>994</v>
      </c>
      <c r="AD229" s="276"/>
      <c r="AE229" s="277"/>
      <c r="AF229" s="277"/>
      <c r="AG229" s="276"/>
      <c r="AH229" s="277"/>
      <c r="AI229" s="277"/>
      <c r="AJ229" s="278"/>
    </row>
    <row r="230" spans="1:36" ht="97.5" hidden="1" customHeight="1" outlineLevel="1" x14ac:dyDescent="0.2">
      <c r="A230" s="637"/>
      <c r="B230" s="581"/>
      <c r="C230" s="581"/>
      <c r="D230" s="630"/>
      <c r="E230" s="534"/>
      <c r="F230" s="534"/>
      <c r="G230" s="554"/>
      <c r="H230" s="10" t="s">
        <v>995</v>
      </c>
      <c r="I230" s="554"/>
      <c r="J230" s="251" t="s">
        <v>996</v>
      </c>
      <c r="K230" s="251" t="s">
        <v>53</v>
      </c>
      <c r="L230" s="316">
        <v>0</v>
      </c>
      <c r="M230" s="272">
        <v>44593</v>
      </c>
      <c r="N230" s="272">
        <v>44925</v>
      </c>
      <c r="O230" s="272">
        <v>44652</v>
      </c>
      <c r="P230" s="273">
        <f t="shared" si="25"/>
        <v>0.17771084337349397</v>
      </c>
      <c r="Q230" s="273">
        <f t="shared" si="26"/>
        <v>0.17771084337349397</v>
      </c>
      <c r="R230" s="274">
        <v>1</v>
      </c>
      <c r="S230" s="275">
        <v>0.25</v>
      </c>
      <c r="T230" s="275">
        <v>0.5</v>
      </c>
      <c r="U230" s="275">
        <v>0.75</v>
      </c>
      <c r="V230" s="275">
        <v>1</v>
      </c>
      <c r="W230" s="275">
        <v>0.4</v>
      </c>
      <c r="X230" s="275" t="s">
        <v>997</v>
      </c>
      <c r="Y230" s="341" t="s">
        <v>53</v>
      </c>
      <c r="Z230" s="316">
        <v>0</v>
      </c>
      <c r="AA230" s="275">
        <v>0.6</v>
      </c>
      <c r="AB230" s="277" t="s">
        <v>998</v>
      </c>
      <c r="AC230" s="277" t="s">
        <v>53</v>
      </c>
      <c r="AD230" s="276"/>
      <c r="AE230" s="277"/>
      <c r="AF230" s="277"/>
      <c r="AG230" s="276"/>
      <c r="AH230" s="277"/>
      <c r="AI230" s="277"/>
      <c r="AJ230" s="278"/>
    </row>
    <row r="231" spans="1:36" ht="123" hidden="1" customHeight="1" outlineLevel="1" x14ac:dyDescent="0.2">
      <c r="A231" s="637"/>
      <c r="B231" s="581"/>
      <c r="C231" s="581"/>
      <c r="D231" s="630"/>
      <c r="E231" s="534"/>
      <c r="F231" s="533"/>
      <c r="G231" s="555"/>
      <c r="H231" s="10" t="s">
        <v>999</v>
      </c>
      <c r="I231" s="555"/>
      <c r="J231" s="251" t="s">
        <v>1000</v>
      </c>
      <c r="K231" s="251" t="s">
        <v>53</v>
      </c>
      <c r="L231" s="316">
        <v>0</v>
      </c>
      <c r="M231" s="272">
        <v>44593</v>
      </c>
      <c r="N231" s="272">
        <v>44925</v>
      </c>
      <c r="O231" s="272">
        <v>44652</v>
      </c>
      <c r="P231" s="273">
        <f t="shared" si="25"/>
        <v>0.17771084337349397</v>
      </c>
      <c r="Q231" s="273">
        <f t="shared" si="26"/>
        <v>0.17771084337349397</v>
      </c>
      <c r="R231" s="274">
        <v>1</v>
      </c>
      <c r="S231" s="275">
        <v>0.25</v>
      </c>
      <c r="T231" s="275">
        <v>0.5</v>
      </c>
      <c r="U231" s="275">
        <v>0.75</v>
      </c>
      <c r="V231" s="275">
        <v>1</v>
      </c>
      <c r="W231" s="275">
        <v>0.25</v>
      </c>
      <c r="X231" s="275" t="s">
        <v>1001</v>
      </c>
      <c r="Y231" s="341" t="s">
        <v>1002</v>
      </c>
      <c r="Z231" s="316">
        <v>0</v>
      </c>
      <c r="AA231" s="275">
        <v>0.4</v>
      </c>
      <c r="AB231" s="275" t="s">
        <v>1001</v>
      </c>
      <c r="AC231" s="277" t="s">
        <v>53</v>
      </c>
      <c r="AD231" s="276"/>
      <c r="AE231" s="277"/>
      <c r="AF231" s="277"/>
      <c r="AG231" s="276"/>
      <c r="AH231" s="277"/>
      <c r="AI231" s="277"/>
      <c r="AJ231" s="278"/>
    </row>
    <row r="232" spans="1:36" ht="93.75" hidden="1" customHeight="1" outlineLevel="1" x14ac:dyDescent="0.2">
      <c r="A232" s="637"/>
      <c r="B232" s="581"/>
      <c r="C232" s="581"/>
      <c r="D232" s="630"/>
      <c r="E232" s="534"/>
      <c r="F232" s="405" t="s">
        <v>1003</v>
      </c>
      <c r="G232" s="10" t="s">
        <v>1004</v>
      </c>
      <c r="H232" s="10" t="s">
        <v>2311</v>
      </c>
      <c r="I232" s="406" t="s">
        <v>1005</v>
      </c>
      <c r="J232" s="251" t="s">
        <v>1006</v>
      </c>
      <c r="K232" s="312">
        <v>36000000</v>
      </c>
      <c r="L232" s="316">
        <v>0</v>
      </c>
      <c r="M232" s="272">
        <v>44593</v>
      </c>
      <c r="N232" s="272">
        <v>44925</v>
      </c>
      <c r="O232" s="272">
        <v>44652</v>
      </c>
      <c r="P232" s="273">
        <f t="shared" si="25"/>
        <v>0.17771084337349397</v>
      </c>
      <c r="Q232" s="273">
        <f t="shared" si="26"/>
        <v>0.17771084337349397</v>
      </c>
      <c r="R232" s="286">
        <v>0.6</v>
      </c>
      <c r="S232" s="281">
        <v>0.4</v>
      </c>
      <c r="T232" s="281">
        <v>0.45</v>
      </c>
      <c r="U232" s="281">
        <v>0.54</v>
      </c>
      <c r="V232" s="281">
        <v>0.6</v>
      </c>
      <c r="W232" s="275">
        <v>0.25</v>
      </c>
      <c r="X232" s="275" t="s">
        <v>1007</v>
      </c>
      <c r="Y232" s="341" t="s">
        <v>1008</v>
      </c>
      <c r="Z232" s="316">
        <v>0</v>
      </c>
      <c r="AA232" s="275">
        <v>0.45</v>
      </c>
      <c r="AB232" s="277" t="s">
        <v>2312</v>
      </c>
      <c r="AC232" s="277" t="s">
        <v>2215</v>
      </c>
      <c r="AD232" s="276"/>
      <c r="AE232" s="277"/>
      <c r="AF232" s="277"/>
      <c r="AG232" s="276"/>
      <c r="AH232" s="277"/>
      <c r="AI232" s="277"/>
      <c r="AJ232" s="278"/>
    </row>
    <row r="233" spans="1:36" ht="58.5" hidden="1" customHeight="1" outlineLevel="1" x14ac:dyDescent="0.2">
      <c r="A233" s="637"/>
      <c r="B233" s="547"/>
      <c r="C233" s="547"/>
      <c r="D233" s="631"/>
      <c r="E233" s="533"/>
      <c r="F233" s="405" t="s">
        <v>1009</v>
      </c>
      <c r="G233" s="406" t="s">
        <v>185</v>
      </c>
      <c r="H233" s="10" t="s">
        <v>1010</v>
      </c>
      <c r="I233" s="434" t="s">
        <v>1011</v>
      </c>
      <c r="J233" s="251" t="s">
        <v>1012</v>
      </c>
      <c r="K233" s="251" t="s">
        <v>53</v>
      </c>
      <c r="L233" s="316">
        <v>0</v>
      </c>
      <c r="M233" s="272">
        <v>44593</v>
      </c>
      <c r="N233" s="272">
        <v>44925</v>
      </c>
      <c r="O233" s="272">
        <v>44652</v>
      </c>
      <c r="P233" s="273">
        <f t="shared" si="25"/>
        <v>0.17771084337349397</v>
      </c>
      <c r="Q233" s="273">
        <f t="shared" si="26"/>
        <v>0.17771084337349397</v>
      </c>
      <c r="R233" s="274">
        <v>0.12</v>
      </c>
      <c r="S233" s="275">
        <v>0.09</v>
      </c>
      <c r="T233" s="275">
        <v>0.1</v>
      </c>
      <c r="U233" s="275">
        <v>0.11</v>
      </c>
      <c r="V233" s="275">
        <v>0.12</v>
      </c>
      <c r="W233" s="275">
        <v>0.2</v>
      </c>
      <c r="X233" s="345" t="s">
        <v>2360</v>
      </c>
      <c r="Y233" s="341"/>
      <c r="Z233" s="316"/>
      <c r="AA233" s="275">
        <v>0.3</v>
      </c>
      <c r="AB233" s="345" t="s">
        <v>2360</v>
      </c>
      <c r="AC233" s="277"/>
      <c r="AD233" s="276"/>
      <c r="AE233" s="277"/>
      <c r="AF233" s="277"/>
      <c r="AG233" s="276"/>
      <c r="AH233" s="277"/>
      <c r="AI233" s="277"/>
      <c r="AJ233" s="278"/>
    </row>
    <row r="234" spans="1:36" ht="78.599999999999994" hidden="1" customHeight="1" outlineLevel="1" x14ac:dyDescent="0.2">
      <c r="A234" s="637"/>
      <c r="B234" s="546" t="s">
        <v>983</v>
      </c>
      <c r="C234" s="546" t="s">
        <v>1013</v>
      </c>
      <c r="D234" s="530" t="s">
        <v>1014</v>
      </c>
      <c r="E234" s="735" t="s">
        <v>1015</v>
      </c>
      <c r="F234" s="720" t="s">
        <v>1016</v>
      </c>
      <c r="G234" s="583" t="s">
        <v>1017</v>
      </c>
      <c r="H234" s="494" t="s">
        <v>1018</v>
      </c>
      <c r="I234" s="583" t="s">
        <v>1019</v>
      </c>
      <c r="J234" s="251" t="s">
        <v>1020</v>
      </c>
      <c r="K234" s="312">
        <v>84000000</v>
      </c>
      <c r="L234" s="316">
        <v>0</v>
      </c>
      <c r="M234" s="272">
        <v>44593</v>
      </c>
      <c r="N234" s="272">
        <v>44925</v>
      </c>
      <c r="O234" s="272">
        <v>44652</v>
      </c>
      <c r="P234" s="273">
        <f t="shared" si="25"/>
        <v>0.17771084337349397</v>
      </c>
      <c r="Q234" s="273">
        <f t="shared" si="26"/>
        <v>0.17771084337349397</v>
      </c>
      <c r="R234" s="274">
        <v>0.1</v>
      </c>
      <c r="S234" s="275">
        <v>0.03</v>
      </c>
      <c r="T234" s="275">
        <v>0.03</v>
      </c>
      <c r="U234" s="275">
        <v>0.03</v>
      </c>
      <c r="V234" s="275">
        <v>0.03</v>
      </c>
      <c r="W234" s="275">
        <v>0.25</v>
      </c>
      <c r="X234" s="275" t="s">
        <v>1021</v>
      </c>
      <c r="Y234" s="376" t="s">
        <v>1022</v>
      </c>
      <c r="Z234" s="316">
        <v>0</v>
      </c>
      <c r="AA234" s="275">
        <v>0.5</v>
      </c>
      <c r="AB234" s="277" t="s">
        <v>2320</v>
      </c>
      <c r="AC234" s="473" t="s">
        <v>1023</v>
      </c>
      <c r="AD234" s="276"/>
      <c r="AE234" s="277"/>
      <c r="AF234" s="277"/>
      <c r="AG234" s="276"/>
      <c r="AH234" s="277"/>
      <c r="AI234" s="277"/>
      <c r="AJ234" s="278"/>
    </row>
    <row r="235" spans="1:36" ht="75.599999999999994" hidden="1" customHeight="1" outlineLevel="1" x14ac:dyDescent="0.2">
      <c r="A235" s="637"/>
      <c r="B235" s="581"/>
      <c r="C235" s="581"/>
      <c r="D235" s="531"/>
      <c r="E235" s="736"/>
      <c r="F235" s="721"/>
      <c r="G235" s="584"/>
      <c r="H235" s="494" t="s">
        <v>1024</v>
      </c>
      <c r="I235" s="584"/>
      <c r="J235" s="251" t="s">
        <v>1025</v>
      </c>
      <c r="K235" s="251" t="s">
        <v>53</v>
      </c>
      <c r="L235" s="316">
        <v>0</v>
      </c>
      <c r="M235" s="272">
        <v>44593</v>
      </c>
      <c r="N235" s="272">
        <v>44925</v>
      </c>
      <c r="O235" s="272">
        <v>44652</v>
      </c>
      <c r="P235" s="273">
        <f t="shared" si="25"/>
        <v>0.17771084337349397</v>
      </c>
      <c r="Q235" s="273">
        <f t="shared" si="26"/>
        <v>0.17771084337349397</v>
      </c>
      <c r="R235" s="274">
        <v>1</v>
      </c>
      <c r="S235" s="275">
        <v>0.25</v>
      </c>
      <c r="T235" s="275">
        <v>0.5</v>
      </c>
      <c r="U235" s="275">
        <v>0.75</v>
      </c>
      <c r="V235" s="275">
        <v>1</v>
      </c>
      <c r="W235" s="275">
        <v>0.5</v>
      </c>
      <c r="X235" s="275" t="s">
        <v>1026</v>
      </c>
      <c r="Y235" s="376" t="s">
        <v>1022</v>
      </c>
      <c r="Z235" s="316">
        <v>0</v>
      </c>
      <c r="AA235" s="275">
        <v>0.5</v>
      </c>
      <c r="AB235" s="277" t="s">
        <v>1027</v>
      </c>
      <c r="AC235" s="277" t="s">
        <v>53</v>
      </c>
      <c r="AD235" s="276"/>
      <c r="AE235" s="277"/>
      <c r="AF235" s="277"/>
      <c r="AG235" s="276"/>
      <c r="AH235" s="277"/>
      <c r="AI235" s="277"/>
      <c r="AJ235" s="278"/>
    </row>
    <row r="236" spans="1:36" ht="75.599999999999994" hidden="1" customHeight="1" outlineLevel="1" x14ac:dyDescent="0.2">
      <c r="A236" s="637"/>
      <c r="B236" s="581"/>
      <c r="C236" s="581"/>
      <c r="D236" s="531"/>
      <c r="E236" s="736"/>
      <c r="F236" s="721"/>
      <c r="G236" s="584"/>
      <c r="H236" s="494" t="s">
        <v>1028</v>
      </c>
      <c r="I236" s="584"/>
      <c r="J236" s="251" t="s">
        <v>1029</v>
      </c>
      <c r="K236" s="251" t="s">
        <v>53</v>
      </c>
      <c r="L236" s="316">
        <v>0</v>
      </c>
      <c r="M236" s="272">
        <v>44593</v>
      </c>
      <c r="N236" s="272">
        <v>44925</v>
      </c>
      <c r="O236" s="272">
        <v>44652</v>
      </c>
      <c r="P236" s="273">
        <f t="shared" ref="P236:P238" si="27">+(+_xlfn.DAYS(M236,O236))/(+_xlfn.DAYS(M236,N236))</f>
        <v>0.17771084337349397</v>
      </c>
      <c r="Q236" s="273">
        <f t="shared" ref="Q236:Q238" si="28">+IF(P236&gt;=100,100,IF(P236&lt;=0,0,P236))</f>
        <v>0.17771084337349397</v>
      </c>
      <c r="R236" s="274">
        <v>1</v>
      </c>
      <c r="S236" s="275">
        <v>0.25</v>
      </c>
      <c r="T236" s="275">
        <v>0.5</v>
      </c>
      <c r="U236" s="275">
        <v>0.75</v>
      </c>
      <c r="V236" s="275">
        <v>1</v>
      </c>
      <c r="W236" s="275">
        <v>0.35</v>
      </c>
      <c r="X236" s="275" t="s">
        <v>1030</v>
      </c>
      <c r="Y236" s="369" t="s">
        <v>1022</v>
      </c>
      <c r="Z236" s="316">
        <v>0</v>
      </c>
      <c r="AA236" s="275">
        <v>0.5</v>
      </c>
      <c r="AB236" s="277" t="s">
        <v>1031</v>
      </c>
      <c r="AC236" s="473" t="s">
        <v>1032</v>
      </c>
      <c r="AD236" s="276"/>
      <c r="AE236" s="277"/>
      <c r="AF236" s="277"/>
      <c r="AG236" s="276"/>
      <c r="AH236" s="277"/>
      <c r="AI236" s="277"/>
      <c r="AJ236" s="278"/>
    </row>
    <row r="237" spans="1:36" ht="75.599999999999994" hidden="1" customHeight="1" outlineLevel="1" x14ac:dyDescent="0.2">
      <c r="A237" s="637"/>
      <c r="B237" s="581"/>
      <c r="C237" s="581"/>
      <c r="D237" s="531"/>
      <c r="E237" s="736"/>
      <c r="F237" s="722"/>
      <c r="G237" s="585"/>
      <c r="H237" s="494" t="s">
        <v>1033</v>
      </c>
      <c r="I237" s="585"/>
      <c r="J237" s="251" t="s">
        <v>1034</v>
      </c>
      <c r="K237" s="251" t="s">
        <v>53</v>
      </c>
      <c r="L237" s="316">
        <v>0</v>
      </c>
      <c r="M237" s="272">
        <v>44593</v>
      </c>
      <c r="N237" s="272">
        <v>44925</v>
      </c>
      <c r="O237" s="272">
        <v>44652</v>
      </c>
      <c r="P237" s="273">
        <f t="shared" si="27"/>
        <v>0.17771084337349397</v>
      </c>
      <c r="Q237" s="273">
        <f t="shared" si="28"/>
        <v>0.17771084337349397</v>
      </c>
      <c r="R237" s="274">
        <v>1</v>
      </c>
      <c r="S237" s="275">
        <v>0.25</v>
      </c>
      <c r="T237" s="275">
        <v>0.5</v>
      </c>
      <c r="U237" s="275">
        <v>0.75</v>
      </c>
      <c r="V237" s="275">
        <v>1</v>
      </c>
      <c r="W237" s="275">
        <v>0.4</v>
      </c>
      <c r="X237" s="275" t="s">
        <v>1035</v>
      </c>
      <c r="Y237" s="369" t="s">
        <v>1022</v>
      </c>
      <c r="Z237" s="316">
        <v>0</v>
      </c>
      <c r="AA237" s="275">
        <v>0.6</v>
      </c>
      <c r="AB237" s="277" t="s">
        <v>2321</v>
      </c>
      <c r="AC237" s="473" t="s">
        <v>1036</v>
      </c>
      <c r="AD237" s="276"/>
      <c r="AE237" s="277"/>
      <c r="AF237" s="277"/>
      <c r="AG237" s="276"/>
      <c r="AH237" s="277"/>
      <c r="AI237" s="277"/>
      <c r="AJ237" s="278"/>
    </row>
    <row r="238" spans="1:36" ht="93.6" hidden="1" customHeight="1" outlineLevel="1" x14ac:dyDescent="0.2">
      <c r="A238" s="637"/>
      <c r="B238" s="581"/>
      <c r="C238" s="581"/>
      <c r="D238" s="531"/>
      <c r="E238" s="736"/>
      <c r="F238" s="430" t="s">
        <v>1037</v>
      </c>
      <c r="G238" s="414" t="s">
        <v>1038</v>
      </c>
      <c r="H238" s="416" t="s">
        <v>1039</v>
      </c>
      <c r="I238" s="416" t="s">
        <v>1040</v>
      </c>
      <c r="J238" s="251" t="s">
        <v>1041</v>
      </c>
      <c r="K238" s="312">
        <v>49200000</v>
      </c>
      <c r="L238" s="316">
        <v>0</v>
      </c>
      <c r="M238" s="272">
        <v>44593</v>
      </c>
      <c r="N238" s="272">
        <v>44925</v>
      </c>
      <c r="O238" s="272">
        <v>44652</v>
      </c>
      <c r="P238" s="273">
        <f t="shared" si="27"/>
        <v>0.17771084337349397</v>
      </c>
      <c r="Q238" s="273">
        <f t="shared" si="28"/>
        <v>0.17771084337349397</v>
      </c>
      <c r="R238" s="274">
        <v>0.66</v>
      </c>
      <c r="S238" s="275">
        <v>0.35</v>
      </c>
      <c r="T238" s="275">
        <v>0.45</v>
      </c>
      <c r="U238" s="275">
        <v>0.55000000000000004</v>
      </c>
      <c r="V238" s="275">
        <v>0.66</v>
      </c>
      <c r="W238" s="370">
        <v>0.35</v>
      </c>
      <c r="X238" s="275" t="s">
        <v>1042</v>
      </c>
      <c r="Y238" s="369" t="s">
        <v>1022</v>
      </c>
      <c r="Z238" s="316">
        <v>0</v>
      </c>
      <c r="AA238" s="275">
        <v>0.6</v>
      </c>
      <c r="AB238" s="277" t="s">
        <v>1043</v>
      </c>
      <c r="AC238" s="473" t="s">
        <v>1044</v>
      </c>
      <c r="AD238" s="276"/>
      <c r="AE238" s="277"/>
      <c r="AF238" s="277"/>
      <c r="AG238" s="276"/>
      <c r="AH238" s="277"/>
      <c r="AI238" s="277"/>
      <c r="AJ238" s="278"/>
    </row>
    <row r="239" spans="1:36" ht="93.6" hidden="1" customHeight="1" outlineLevel="1" x14ac:dyDescent="0.2">
      <c r="A239" s="637"/>
      <c r="B239" s="581"/>
      <c r="C239" s="581"/>
      <c r="D239" s="531"/>
      <c r="E239" s="736"/>
      <c r="F239" s="735" t="s">
        <v>1045</v>
      </c>
      <c r="G239" s="546" t="s">
        <v>1046</v>
      </c>
      <c r="H239" s="416" t="s">
        <v>1047</v>
      </c>
      <c r="I239" s="546" t="s">
        <v>1048</v>
      </c>
      <c r="J239" s="251" t="s">
        <v>1049</v>
      </c>
      <c r="K239" s="312">
        <v>40000000</v>
      </c>
      <c r="L239" s="316">
        <v>0</v>
      </c>
      <c r="M239" s="272">
        <v>44593</v>
      </c>
      <c r="N239" s="272">
        <v>44925</v>
      </c>
      <c r="O239" s="272">
        <v>44652</v>
      </c>
      <c r="P239" s="273">
        <f t="shared" si="25"/>
        <v>0.17771084337349397</v>
      </c>
      <c r="Q239" s="273">
        <f t="shared" si="26"/>
        <v>0.17771084337349397</v>
      </c>
      <c r="R239" s="274">
        <v>0.33</v>
      </c>
      <c r="S239" s="610" t="s">
        <v>1050</v>
      </c>
      <c r="T239" s="611"/>
      <c r="U239" s="611"/>
      <c r="V239" s="612"/>
      <c r="W239" s="275">
        <v>0</v>
      </c>
      <c r="X239" s="275" t="s">
        <v>1051</v>
      </c>
      <c r="Y239" s="372" t="s">
        <v>53</v>
      </c>
      <c r="Z239" s="316">
        <v>0</v>
      </c>
      <c r="AA239" s="275">
        <v>0.5</v>
      </c>
      <c r="AB239" s="561" t="s">
        <v>1052</v>
      </c>
      <c r="AC239" s="564" t="s">
        <v>1053</v>
      </c>
      <c r="AD239" s="276"/>
      <c r="AE239" s="277"/>
      <c r="AF239" s="277"/>
      <c r="AG239" s="276"/>
      <c r="AH239" s="277"/>
      <c r="AI239" s="277"/>
      <c r="AJ239" s="278"/>
    </row>
    <row r="240" spans="1:36" ht="43.15" hidden="1" customHeight="1" outlineLevel="1" x14ac:dyDescent="0.2">
      <c r="A240" s="637"/>
      <c r="B240" s="581"/>
      <c r="C240" s="581"/>
      <c r="D240" s="531"/>
      <c r="E240" s="736"/>
      <c r="F240" s="736"/>
      <c r="G240" s="581"/>
      <c r="H240" s="416" t="s">
        <v>1054</v>
      </c>
      <c r="I240" s="581"/>
      <c r="J240" s="251" t="s">
        <v>1055</v>
      </c>
      <c r="K240" s="251" t="s">
        <v>53</v>
      </c>
      <c r="L240" s="316">
        <v>0</v>
      </c>
      <c r="M240" s="272">
        <v>44593</v>
      </c>
      <c r="N240" s="272">
        <v>44925</v>
      </c>
      <c r="O240" s="272">
        <v>44652</v>
      </c>
      <c r="P240" s="273">
        <f t="shared" ref="P240:P241" si="29">+(+_xlfn.DAYS(M240,O240))/(+_xlfn.DAYS(M240,N240))</f>
        <v>0.17771084337349397</v>
      </c>
      <c r="Q240" s="273">
        <f t="shared" ref="Q240:Q241" si="30">+IF(P240&gt;=100,100,IF(P240&lt;=0,0,P240))</f>
        <v>0.17771084337349397</v>
      </c>
      <c r="R240" s="274">
        <v>1</v>
      </c>
      <c r="S240" s="275">
        <v>0.25</v>
      </c>
      <c r="T240" s="275">
        <v>0.5</v>
      </c>
      <c r="U240" s="275">
        <v>0.75</v>
      </c>
      <c r="V240" s="275">
        <v>1</v>
      </c>
      <c r="W240" s="275">
        <v>0</v>
      </c>
      <c r="X240" s="275"/>
      <c r="Y240" s="372" t="s">
        <v>53</v>
      </c>
      <c r="Z240" s="316">
        <v>0</v>
      </c>
      <c r="AA240" s="275"/>
      <c r="AB240" s="562"/>
      <c r="AC240" s="565"/>
      <c r="AD240" s="276"/>
      <c r="AE240" s="277"/>
      <c r="AF240" s="277"/>
      <c r="AG240" s="276"/>
      <c r="AH240" s="277"/>
      <c r="AI240" s="277"/>
      <c r="AJ240" s="278"/>
    </row>
    <row r="241" spans="1:36" ht="46.5" hidden="1" customHeight="1" outlineLevel="1" x14ac:dyDescent="0.2">
      <c r="A241" s="637"/>
      <c r="B241" s="581"/>
      <c r="C241" s="581"/>
      <c r="D241" s="531"/>
      <c r="E241" s="736"/>
      <c r="F241" s="736"/>
      <c r="G241" s="581"/>
      <c r="H241" s="416" t="s">
        <v>1056</v>
      </c>
      <c r="I241" s="581"/>
      <c r="J241" s="251" t="s">
        <v>1057</v>
      </c>
      <c r="K241" s="251" t="s">
        <v>53</v>
      </c>
      <c r="L241" s="316">
        <v>0</v>
      </c>
      <c r="M241" s="272">
        <v>44593</v>
      </c>
      <c r="N241" s="272">
        <v>44925</v>
      </c>
      <c r="O241" s="272">
        <v>44652</v>
      </c>
      <c r="P241" s="273">
        <f t="shared" si="29"/>
        <v>0.17771084337349397</v>
      </c>
      <c r="Q241" s="273">
        <f t="shared" si="30"/>
        <v>0.17771084337349397</v>
      </c>
      <c r="R241" s="274">
        <v>1</v>
      </c>
      <c r="S241" s="275">
        <v>0.25</v>
      </c>
      <c r="T241" s="275">
        <v>0.5</v>
      </c>
      <c r="U241" s="275">
        <v>0.75</v>
      </c>
      <c r="V241" s="275">
        <v>1</v>
      </c>
      <c r="W241" s="275">
        <v>0</v>
      </c>
      <c r="X241" s="275"/>
      <c r="Y241" s="372" t="s">
        <v>53</v>
      </c>
      <c r="Z241" s="316">
        <v>0</v>
      </c>
      <c r="AA241" s="275"/>
      <c r="AB241" s="563"/>
      <c r="AC241" s="566"/>
      <c r="AD241" s="276"/>
      <c r="AE241" s="277"/>
      <c r="AF241" s="277"/>
      <c r="AG241" s="276"/>
      <c r="AH241" s="277"/>
      <c r="AI241" s="277"/>
      <c r="AJ241" s="278"/>
    </row>
    <row r="242" spans="1:36" ht="93.6" hidden="1" customHeight="1" outlineLevel="1" x14ac:dyDescent="0.2">
      <c r="A242" s="637"/>
      <c r="B242" s="581"/>
      <c r="C242" s="581"/>
      <c r="D242" s="531"/>
      <c r="E242" s="736"/>
      <c r="F242" s="736"/>
      <c r="G242" s="581"/>
      <c r="H242" s="416" t="s">
        <v>1058</v>
      </c>
      <c r="I242" s="581"/>
      <c r="J242" s="251" t="s">
        <v>1059</v>
      </c>
      <c r="K242" s="312" t="s">
        <v>1060</v>
      </c>
      <c r="L242" s="312" t="s">
        <v>1060</v>
      </c>
      <c r="M242" s="272">
        <v>44593</v>
      </c>
      <c r="N242" s="272">
        <v>44925</v>
      </c>
      <c r="O242" s="272">
        <v>44652</v>
      </c>
      <c r="P242" s="273">
        <f t="shared" si="25"/>
        <v>0.17771084337349397</v>
      </c>
      <c r="Q242" s="274">
        <v>0.2636</v>
      </c>
      <c r="R242" s="570" t="s">
        <v>1061</v>
      </c>
      <c r="S242" s="571"/>
      <c r="T242" s="570" t="s">
        <v>1061</v>
      </c>
      <c r="U242" s="571"/>
      <c r="V242" s="409"/>
      <c r="W242" s="345">
        <v>1</v>
      </c>
      <c r="X242" s="275" t="s">
        <v>1062</v>
      </c>
      <c r="Y242" s="377" t="s">
        <v>1063</v>
      </c>
      <c r="Z242" s="316">
        <v>0</v>
      </c>
      <c r="AA242" s="275">
        <v>1</v>
      </c>
      <c r="AB242" s="277" t="s">
        <v>1064</v>
      </c>
      <c r="AC242" s="473" t="s">
        <v>1065</v>
      </c>
      <c r="AD242" s="276"/>
      <c r="AE242" s="277"/>
      <c r="AF242" s="277"/>
      <c r="AG242" s="276"/>
      <c r="AH242" s="277"/>
      <c r="AI242" s="277"/>
      <c r="AJ242" s="278"/>
    </row>
    <row r="243" spans="1:36" ht="93.6" hidden="1" customHeight="1" outlineLevel="1" x14ac:dyDescent="0.2">
      <c r="A243" s="637"/>
      <c r="B243" s="581"/>
      <c r="C243" s="581"/>
      <c r="D243" s="531"/>
      <c r="E243" s="736"/>
      <c r="F243" s="736"/>
      <c r="G243" s="581"/>
      <c r="H243" s="416" t="s">
        <v>1066</v>
      </c>
      <c r="I243" s="581"/>
      <c r="J243" s="251" t="s">
        <v>1067</v>
      </c>
      <c r="K243" s="312" t="s">
        <v>1060</v>
      </c>
      <c r="L243" s="312" t="s">
        <v>1060</v>
      </c>
      <c r="M243" s="272">
        <v>44593</v>
      </c>
      <c r="N243" s="272">
        <v>44925</v>
      </c>
      <c r="O243" s="272">
        <v>44652</v>
      </c>
      <c r="P243" s="273">
        <f t="shared" si="25"/>
        <v>0.17771084337349397</v>
      </c>
      <c r="Q243" s="273"/>
      <c r="R243" s="274"/>
      <c r="S243" s="407"/>
      <c r="T243" s="408"/>
      <c r="U243" s="408"/>
      <c r="V243" s="409"/>
      <c r="W243" s="371">
        <v>1</v>
      </c>
      <c r="X243" s="275" t="s">
        <v>1068</v>
      </c>
      <c r="Y243" s="378" t="s">
        <v>1069</v>
      </c>
      <c r="Z243" s="316">
        <v>0</v>
      </c>
      <c r="AA243" s="275">
        <v>1</v>
      </c>
      <c r="AB243" s="277" t="s">
        <v>1070</v>
      </c>
      <c r="AC243" s="473" t="s">
        <v>1071</v>
      </c>
      <c r="AD243" s="276"/>
      <c r="AE243" s="277"/>
      <c r="AF243" s="277"/>
      <c r="AG243" s="276"/>
      <c r="AH243" s="277"/>
      <c r="AI243" s="277"/>
      <c r="AJ243" s="278"/>
    </row>
    <row r="244" spans="1:36" ht="93.6" hidden="1" customHeight="1" outlineLevel="1" x14ac:dyDescent="0.2">
      <c r="A244" s="637"/>
      <c r="B244" s="581"/>
      <c r="C244" s="581"/>
      <c r="D244" s="531"/>
      <c r="E244" s="736"/>
      <c r="F244" s="736"/>
      <c r="G244" s="581"/>
      <c r="H244" s="416" t="s">
        <v>1072</v>
      </c>
      <c r="I244" s="581"/>
      <c r="J244" s="251" t="s">
        <v>1073</v>
      </c>
      <c r="K244" s="312" t="s">
        <v>1074</v>
      </c>
      <c r="L244" s="312" t="s">
        <v>1074</v>
      </c>
      <c r="M244" s="272">
        <v>44593</v>
      </c>
      <c r="N244" s="272">
        <v>44925</v>
      </c>
      <c r="O244" s="272">
        <v>44652</v>
      </c>
      <c r="P244" s="273">
        <f t="shared" si="25"/>
        <v>0.17771084337349397</v>
      </c>
      <c r="Q244" s="274">
        <v>1</v>
      </c>
      <c r="R244" s="407">
        <v>1</v>
      </c>
      <c r="S244" s="408">
        <v>0</v>
      </c>
      <c r="T244" s="408">
        <v>0</v>
      </c>
      <c r="U244" s="409">
        <v>0</v>
      </c>
      <c r="V244" s="409"/>
      <c r="W244" s="275">
        <v>1</v>
      </c>
      <c r="X244" s="275" t="s">
        <v>1075</v>
      </c>
      <c r="Y244" s="377" t="s">
        <v>1076</v>
      </c>
      <c r="Z244" s="316">
        <v>0</v>
      </c>
      <c r="AA244" s="275">
        <v>1</v>
      </c>
      <c r="AB244" s="277" t="s">
        <v>1077</v>
      </c>
      <c r="AC244" s="277" t="s">
        <v>53</v>
      </c>
      <c r="AD244" s="276"/>
      <c r="AE244" s="277"/>
      <c r="AF244" s="277"/>
      <c r="AG244" s="276"/>
      <c r="AH244" s="277"/>
      <c r="AI244" s="277"/>
      <c r="AJ244" s="278"/>
    </row>
    <row r="245" spans="1:36" ht="93.6" hidden="1" customHeight="1" outlineLevel="1" x14ac:dyDescent="0.2">
      <c r="A245" s="637"/>
      <c r="B245" s="581"/>
      <c r="C245" s="581"/>
      <c r="D245" s="531"/>
      <c r="E245" s="736"/>
      <c r="F245" s="736"/>
      <c r="G245" s="581"/>
      <c r="H245" s="416" t="s">
        <v>1078</v>
      </c>
      <c r="I245" s="581"/>
      <c r="J245" s="251" t="s">
        <v>1079</v>
      </c>
      <c r="K245" s="312" t="s">
        <v>1074</v>
      </c>
      <c r="L245" s="312" t="s">
        <v>1074</v>
      </c>
      <c r="M245" s="272">
        <v>44593</v>
      </c>
      <c r="N245" s="272">
        <v>44925</v>
      </c>
      <c r="O245" s="272">
        <v>44652</v>
      </c>
      <c r="P245" s="273">
        <f t="shared" si="25"/>
        <v>0.17771084337349397</v>
      </c>
      <c r="Q245" s="274">
        <v>1</v>
      </c>
      <c r="R245" s="570" t="s">
        <v>1080</v>
      </c>
      <c r="S245" s="571"/>
      <c r="T245" s="570" t="s">
        <v>1081</v>
      </c>
      <c r="U245" s="571"/>
      <c r="V245" s="409"/>
      <c r="W245" s="275">
        <v>0.25</v>
      </c>
      <c r="X245" s="275" t="s">
        <v>1082</v>
      </c>
      <c r="Y245" s="478" t="s">
        <v>1083</v>
      </c>
      <c r="Z245" s="316">
        <v>0</v>
      </c>
      <c r="AA245" s="275">
        <v>0.5</v>
      </c>
      <c r="AB245" s="277" t="s">
        <v>1084</v>
      </c>
      <c r="AC245" s="277" t="s">
        <v>53</v>
      </c>
      <c r="AD245" s="276"/>
      <c r="AE245" s="277"/>
      <c r="AF245" s="277"/>
      <c r="AG245" s="276"/>
      <c r="AH245" s="277"/>
      <c r="AI245" s="277"/>
      <c r="AJ245" s="278"/>
    </row>
    <row r="246" spans="1:36" ht="56.25" hidden="1" customHeight="1" outlineLevel="1" x14ac:dyDescent="0.2">
      <c r="A246" s="637"/>
      <c r="B246" s="581"/>
      <c r="C246" s="581"/>
      <c r="D246" s="531"/>
      <c r="E246" s="736"/>
      <c r="F246" s="735" t="s">
        <v>1085</v>
      </c>
      <c r="G246" s="415" t="s">
        <v>1086</v>
      </c>
      <c r="H246" s="416" t="s">
        <v>1087</v>
      </c>
      <c r="I246" s="416" t="s">
        <v>1088</v>
      </c>
      <c r="J246" s="251" t="s">
        <v>1089</v>
      </c>
      <c r="K246" s="251" t="s">
        <v>128</v>
      </c>
      <c r="L246" s="316">
        <v>0</v>
      </c>
      <c r="M246" s="272">
        <v>44593</v>
      </c>
      <c r="N246" s="272">
        <v>44925</v>
      </c>
      <c r="O246" s="272">
        <v>44652</v>
      </c>
      <c r="P246" s="273">
        <f t="shared" si="25"/>
        <v>0.17771084337349397</v>
      </c>
      <c r="Q246" s="273">
        <f t="shared" si="26"/>
        <v>0.17771084337349397</v>
      </c>
      <c r="R246" s="274">
        <v>0.1</v>
      </c>
      <c r="S246" s="275">
        <v>0.06</v>
      </c>
      <c r="T246" s="275">
        <v>7.0000000000000007E-2</v>
      </c>
      <c r="U246" s="275">
        <v>0.08</v>
      </c>
      <c r="V246" s="275">
        <v>0.1</v>
      </c>
      <c r="W246" s="275">
        <v>0</v>
      </c>
      <c r="X246" s="275" t="s">
        <v>1090</v>
      </c>
      <c r="Y246" s="479" t="s">
        <v>1091</v>
      </c>
      <c r="Z246" s="316">
        <v>0</v>
      </c>
      <c r="AA246" s="275">
        <v>0.5</v>
      </c>
      <c r="AB246" s="277" t="s">
        <v>1092</v>
      </c>
      <c r="AC246" s="277" t="s">
        <v>53</v>
      </c>
      <c r="AD246" s="276"/>
      <c r="AE246" s="277"/>
      <c r="AF246" s="277"/>
      <c r="AG246" s="276"/>
      <c r="AH246" s="277"/>
      <c r="AI246" s="277"/>
      <c r="AJ246" s="278"/>
    </row>
    <row r="247" spans="1:36" ht="99.75" hidden="1" customHeight="1" outlineLevel="1" x14ac:dyDescent="0.2">
      <c r="A247" s="637"/>
      <c r="B247" s="581"/>
      <c r="C247" s="581"/>
      <c r="D247" s="531"/>
      <c r="E247" s="736"/>
      <c r="F247" s="736"/>
      <c r="G247" s="546" t="s">
        <v>1093</v>
      </c>
      <c r="H247" s="416" t="s">
        <v>1094</v>
      </c>
      <c r="I247" s="546" t="s">
        <v>1088</v>
      </c>
      <c r="J247" s="251" t="s">
        <v>1095</v>
      </c>
      <c r="K247" s="312">
        <v>88250000</v>
      </c>
      <c r="L247" s="316">
        <v>0</v>
      </c>
      <c r="M247" s="272">
        <v>44593</v>
      </c>
      <c r="N247" s="272">
        <v>44925</v>
      </c>
      <c r="O247" s="272">
        <v>44652</v>
      </c>
      <c r="P247" s="273">
        <f t="shared" si="25"/>
        <v>0.17771084337349397</v>
      </c>
      <c r="Q247" s="273">
        <f t="shared" si="26"/>
        <v>0.17771084337349397</v>
      </c>
      <c r="R247" s="274">
        <v>1</v>
      </c>
      <c r="S247" s="275">
        <v>0.25</v>
      </c>
      <c r="T247" s="275">
        <v>0.5</v>
      </c>
      <c r="U247" s="275">
        <v>0.75</v>
      </c>
      <c r="V247" s="275">
        <v>1</v>
      </c>
      <c r="W247" s="275">
        <v>0.25</v>
      </c>
      <c r="X247" s="275" t="s">
        <v>1096</v>
      </c>
      <c r="Y247" s="341" t="s">
        <v>115</v>
      </c>
      <c r="Z247" s="316">
        <v>0</v>
      </c>
      <c r="AA247" s="275">
        <v>0.5</v>
      </c>
      <c r="AB247" s="277" t="s">
        <v>1097</v>
      </c>
      <c r="AC247" s="473" t="s">
        <v>1098</v>
      </c>
      <c r="AD247" s="276"/>
      <c r="AE247" s="277"/>
      <c r="AF247" s="277"/>
      <c r="AG247" s="276"/>
      <c r="AH247" s="277"/>
      <c r="AI247" s="277"/>
      <c r="AJ247" s="278"/>
    </row>
    <row r="248" spans="1:36" ht="93.75" hidden="1" customHeight="1" outlineLevel="1" x14ac:dyDescent="0.2">
      <c r="A248" s="637"/>
      <c r="B248" s="581"/>
      <c r="C248" s="581"/>
      <c r="D248" s="531"/>
      <c r="E248" s="736"/>
      <c r="F248" s="736"/>
      <c r="G248" s="547"/>
      <c r="H248" s="416" t="s">
        <v>1099</v>
      </c>
      <c r="I248" s="581"/>
      <c r="J248" s="251" t="s">
        <v>1095</v>
      </c>
      <c r="K248" s="251" t="s">
        <v>53</v>
      </c>
      <c r="L248" s="316">
        <v>0</v>
      </c>
      <c r="M248" s="272">
        <v>44593</v>
      </c>
      <c r="N248" s="272">
        <v>44925</v>
      </c>
      <c r="O248" s="272">
        <v>44652</v>
      </c>
      <c r="P248" s="273">
        <f t="shared" si="25"/>
        <v>0.17771084337349397</v>
      </c>
      <c r="Q248" s="273">
        <f t="shared" si="26"/>
        <v>0.17771084337349397</v>
      </c>
      <c r="R248" s="274">
        <v>1</v>
      </c>
      <c r="S248" s="275">
        <v>0.25</v>
      </c>
      <c r="T248" s="275">
        <v>0.5</v>
      </c>
      <c r="U248" s="275">
        <v>0.75</v>
      </c>
      <c r="V248" s="275">
        <v>1</v>
      </c>
      <c r="W248" s="275">
        <v>0.25</v>
      </c>
      <c r="X248" s="275" t="s">
        <v>1100</v>
      </c>
      <c r="Y248" s="373" t="s">
        <v>1098</v>
      </c>
      <c r="Z248" s="316">
        <v>0</v>
      </c>
      <c r="AA248" s="275">
        <v>0.5</v>
      </c>
      <c r="AB248" s="277" t="s">
        <v>1101</v>
      </c>
      <c r="AC248" s="473" t="s">
        <v>1098</v>
      </c>
      <c r="AD248" s="276"/>
      <c r="AE248" s="277"/>
      <c r="AF248" s="277"/>
      <c r="AG248" s="276"/>
      <c r="AH248" s="277"/>
      <c r="AI248" s="277"/>
      <c r="AJ248" s="278"/>
    </row>
    <row r="249" spans="1:36" ht="118.5" hidden="1" customHeight="1" outlineLevel="1" x14ac:dyDescent="0.2">
      <c r="A249" s="637"/>
      <c r="B249" s="581"/>
      <c r="C249" s="581"/>
      <c r="D249" s="531"/>
      <c r="E249" s="736"/>
      <c r="F249" s="736"/>
      <c r="G249" s="546" t="s">
        <v>1102</v>
      </c>
      <c r="H249" s="416" t="s">
        <v>1103</v>
      </c>
      <c r="I249" s="581"/>
      <c r="J249" s="251" t="s">
        <v>1104</v>
      </c>
      <c r="K249" s="312">
        <v>49000000</v>
      </c>
      <c r="L249" s="316">
        <v>0</v>
      </c>
      <c r="M249" s="272">
        <v>44593</v>
      </c>
      <c r="N249" s="272">
        <v>44925</v>
      </c>
      <c r="O249" s="272">
        <v>44652</v>
      </c>
      <c r="P249" s="273">
        <f t="shared" si="25"/>
        <v>0.17771084337349397</v>
      </c>
      <c r="Q249" s="273">
        <f t="shared" si="26"/>
        <v>0.17771084337349397</v>
      </c>
      <c r="R249" s="274">
        <v>1</v>
      </c>
      <c r="S249" s="275">
        <v>0.25</v>
      </c>
      <c r="T249" s="275">
        <v>0.5</v>
      </c>
      <c r="U249" s="275">
        <v>0.75</v>
      </c>
      <c r="V249" s="275">
        <v>1</v>
      </c>
      <c r="W249" s="275">
        <v>0.25</v>
      </c>
      <c r="X249" s="275" t="s">
        <v>1105</v>
      </c>
      <c r="Y249" s="343" t="s">
        <v>1106</v>
      </c>
      <c r="Z249" s="316">
        <v>0</v>
      </c>
      <c r="AA249" s="275">
        <v>0.5</v>
      </c>
      <c r="AB249" s="277" t="s">
        <v>1107</v>
      </c>
      <c r="AC249" s="473" t="s">
        <v>1108</v>
      </c>
      <c r="AD249" s="276"/>
      <c r="AE249" s="277"/>
      <c r="AF249" s="277"/>
      <c r="AG249" s="276"/>
      <c r="AH249" s="277"/>
      <c r="AI249" s="277"/>
      <c r="AJ249" s="278"/>
    </row>
    <row r="250" spans="1:36" ht="75" hidden="1" customHeight="1" outlineLevel="1" x14ac:dyDescent="0.2">
      <c r="A250" s="637"/>
      <c r="B250" s="581"/>
      <c r="C250" s="581"/>
      <c r="D250" s="531"/>
      <c r="E250" s="736"/>
      <c r="F250" s="736"/>
      <c r="G250" s="547"/>
      <c r="H250" s="416" t="s">
        <v>1109</v>
      </c>
      <c r="I250" s="581"/>
      <c r="J250" s="251" t="s">
        <v>1110</v>
      </c>
      <c r="K250" s="251" t="s">
        <v>53</v>
      </c>
      <c r="L250" s="316">
        <v>0</v>
      </c>
      <c r="M250" s="272">
        <v>44593</v>
      </c>
      <c r="N250" s="272">
        <v>44925</v>
      </c>
      <c r="O250" s="272">
        <v>44652</v>
      </c>
      <c r="P250" s="273">
        <f t="shared" si="25"/>
        <v>0.17771084337349397</v>
      </c>
      <c r="Q250" s="273">
        <f t="shared" si="26"/>
        <v>0.17771084337349397</v>
      </c>
      <c r="R250" s="274">
        <v>1</v>
      </c>
      <c r="S250" s="275">
        <v>0.25</v>
      </c>
      <c r="T250" s="275">
        <v>0.5</v>
      </c>
      <c r="U250" s="275">
        <v>0.75</v>
      </c>
      <c r="V250" s="275">
        <v>1</v>
      </c>
      <c r="W250" s="275">
        <v>0.25</v>
      </c>
      <c r="X250" s="275" t="s">
        <v>1111</v>
      </c>
      <c r="Y250" s="341" t="s">
        <v>1112</v>
      </c>
      <c r="Z250" s="316">
        <v>0</v>
      </c>
      <c r="AA250" s="275">
        <v>0.5</v>
      </c>
      <c r="AB250" s="277" t="s">
        <v>1113</v>
      </c>
      <c r="AC250" s="277" t="s">
        <v>53</v>
      </c>
      <c r="AD250" s="276"/>
      <c r="AE250" s="277"/>
      <c r="AF250" s="277"/>
      <c r="AG250" s="276"/>
      <c r="AH250" s="277"/>
      <c r="AI250" s="277"/>
      <c r="AJ250" s="278"/>
    </row>
    <row r="251" spans="1:36" ht="46.5" hidden="1" customHeight="1" outlineLevel="1" x14ac:dyDescent="0.2">
      <c r="A251" s="637"/>
      <c r="B251" s="581"/>
      <c r="C251" s="581"/>
      <c r="D251" s="531"/>
      <c r="E251" s="736"/>
      <c r="F251" s="736"/>
      <c r="G251" s="546" t="s">
        <v>1114</v>
      </c>
      <c r="H251" s="416" t="s">
        <v>1115</v>
      </c>
      <c r="I251" s="581"/>
      <c r="J251" s="251" t="s">
        <v>1116</v>
      </c>
      <c r="K251" s="312">
        <v>62300000</v>
      </c>
      <c r="L251" s="316">
        <v>0</v>
      </c>
      <c r="M251" s="272">
        <v>44593</v>
      </c>
      <c r="N251" s="272">
        <v>44925</v>
      </c>
      <c r="O251" s="272">
        <v>44652</v>
      </c>
      <c r="P251" s="273">
        <f t="shared" si="25"/>
        <v>0.17771084337349397</v>
      </c>
      <c r="Q251" s="273">
        <f t="shared" si="26"/>
        <v>0.17771084337349397</v>
      </c>
      <c r="R251" s="274">
        <v>1</v>
      </c>
      <c r="S251" s="275">
        <v>0.25</v>
      </c>
      <c r="T251" s="275">
        <v>0.5</v>
      </c>
      <c r="U251" s="275">
        <v>0.75</v>
      </c>
      <c r="V251" s="275">
        <v>1</v>
      </c>
      <c r="W251" s="275">
        <v>0.25</v>
      </c>
      <c r="X251" s="275" t="s">
        <v>1117</v>
      </c>
      <c r="Y251" s="341" t="s">
        <v>1112</v>
      </c>
      <c r="Z251" s="316">
        <v>0</v>
      </c>
      <c r="AA251" s="275">
        <v>0.5</v>
      </c>
      <c r="AB251" s="277" t="s">
        <v>1118</v>
      </c>
      <c r="AC251" s="473" t="s">
        <v>1119</v>
      </c>
      <c r="AD251" s="276"/>
      <c r="AE251" s="277"/>
      <c r="AF251" s="277"/>
      <c r="AG251" s="276"/>
      <c r="AH251" s="277"/>
      <c r="AI251" s="277"/>
      <c r="AJ251" s="278"/>
    </row>
    <row r="252" spans="1:36" ht="46.5" hidden="1" customHeight="1" outlineLevel="1" x14ac:dyDescent="0.2">
      <c r="A252" s="637"/>
      <c r="B252" s="581"/>
      <c r="C252" s="581"/>
      <c r="D252" s="531"/>
      <c r="E252" s="736"/>
      <c r="F252" s="736"/>
      <c r="G252" s="581"/>
      <c r="H252" s="416" t="s">
        <v>1120</v>
      </c>
      <c r="I252" s="581"/>
      <c r="J252" s="251" t="s">
        <v>1116</v>
      </c>
      <c r="K252" s="251" t="s">
        <v>53</v>
      </c>
      <c r="L252" s="316">
        <v>0</v>
      </c>
      <c r="M252" s="272">
        <v>44593</v>
      </c>
      <c r="N252" s="272">
        <v>44925</v>
      </c>
      <c r="O252" s="272">
        <v>44652</v>
      </c>
      <c r="P252" s="273">
        <f t="shared" si="25"/>
        <v>0.17771084337349397</v>
      </c>
      <c r="Q252" s="273">
        <f t="shared" si="26"/>
        <v>0.17771084337349397</v>
      </c>
      <c r="R252" s="274">
        <v>1</v>
      </c>
      <c r="S252" s="275">
        <v>0.25</v>
      </c>
      <c r="T252" s="275">
        <v>0.5</v>
      </c>
      <c r="U252" s="275">
        <v>0.75</v>
      </c>
      <c r="V252" s="275">
        <v>1</v>
      </c>
      <c r="W252" s="275">
        <v>0.25</v>
      </c>
      <c r="X252" s="275" t="s">
        <v>1121</v>
      </c>
      <c r="Y252" s="341" t="s">
        <v>1112</v>
      </c>
      <c r="Z252" s="316">
        <v>0</v>
      </c>
      <c r="AA252" s="275">
        <v>0.5</v>
      </c>
      <c r="AB252" s="277" t="s">
        <v>1122</v>
      </c>
      <c r="AC252" s="473" t="s">
        <v>1123</v>
      </c>
      <c r="AD252" s="276"/>
      <c r="AE252" s="277"/>
      <c r="AF252" s="277"/>
      <c r="AG252" s="276"/>
      <c r="AH252" s="277"/>
      <c r="AI252" s="277"/>
      <c r="AJ252" s="278"/>
    </row>
    <row r="253" spans="1:36" ht="46.5" hidden="1" customHeight="1" outlineLevel="1" x14ac:dyDescent="0.2">
      <c r="A253" s="637"/>
      <c r="B253" s="581"/>
      <c r="C253" s="581"/>
      <c r="D253" s="531"/>
      <c r="E253" s="736"/>
      <c r="F253" s="736"/>
      <c r="G253" s="581"/>
      <c r="H253" s="416" t="s">
        <v>1124</v>
      </c>
      <c r="I253" s="581"/>
      <c r="J253" s="251"/>
      <c r="K253" s="251" t="s">
        <v>53</v>
      </c>
      <c r="L253" s="316">
        <v>0</v>
      </c>
      <c r="M253" s="272"/>
      <c r="N253" s="272"/>
      <c r="O253" s="272"/>
      <c r="P253" s="273"/>
      <c r="Q253" s="273"/>
      <c r="R253" s="274"/>
      <c r="S253" s="275"/>
      <c r="T253" s="275"/>
      <c r="U253" s="275"/>
      <c r="V253" s="275"/>
      <c r="W253" s="275">
        <v>0</v>
      </c>
      <c r="X253" s="275" t="s">
        <v>53</v>
      </c>
      <c r="Y253" s="341"/>
      <c r="Z253" s="316">
        <v>0</v>
      </c>
      <c r="AA253" s="275">
        <v>1</v>
      </c>
      <c r="AB253" s="277" t="s">
        <v>1125</v>
      </c>
      <c r="AC253" s="473" t="s">
        <v>1126</v>
      </c>
      <c r="AD253" s="276"/>
      <c r="AE253" s="277"/>
      <c r="AF253" s="277"/>
      <c r="AG253" s="276"/>
      <c r="AH253" s="277"/>
      <c r="AI253" s="277"/>
      <c r="AJ253" s="278"/>
    </row>
    <row r="254" spans="1:36" ht="54.6" hidden="1" customHeight="1" outlineLevel="1" x14ac:dyDescent="0.2">
      <c r="A254" s="637"/>
      <c r="B254" s="581"/>
      <c r="C254" s="581"/>
      <c r="D254" s="531"/>
      <c r="E254" s="736"/>
      <c r="F254" s="736"/>
      <c r="G254" s="547"/>
      <c r="H254" s="416" t="s">
        <v>1127</v>
      </c>
      <c r="I254" s="581"/>
      <c r="J254" s="251" t="s">
        <v>1116</v>
      </c>
      <c r="K254" s="251" t="s">
        <v>53</v>
      </c>
      <c r="L254" s="316">
        <v>0</v>
      </c>
      <c r="M254" s="272">
        <v>44593</v>
      </c>
      <c r="N254" s="272">
        <v>44925</v>
      </c>
      <c r="O254" s="272">
        <v>44652</v>
      </c>
      <c r="P254" s="273">
        <f t="shared" si="25"/>
        <v>0.17771084337349397</v>
      </c>
      <c r="Q254" s="273">
        <f t="shared" si="26"/>
        <v>0.17771084337349397</v>
      </c>
      <c r="R254" s="274">
        <v>1</v>
      </c>
      <c r="S254" s="275">
        <v>0.25</v>
      </c>
      <c r="T254" s="275">
        <v>0.5</v>
      </c>
      <c r="U254" s="275">
        <v>0.75</v>
      </c>
      <c r="V254" s="275">
        <v>1</v>
      </c>
      <c r="W254" s="275">
        <v>0</v>
      </c>
      <c r="X254" s="275" t="s">
        <v>1112</v>
      </c>
      <c r="Y254" s="341" t="s">
        <v>1112</v>
      </c>
      <c r="Z254" s="316">
        <v>0</v>
      </c>
      <c r="AA254" s="275">
        <v>0.5</v>
      </c>
      <c r="AB254" s="277" t="s">
        <v>1128</v>
      </c>
      <c r="AC254" s="473" t="s">
        <v>1129</v>
      </c>
      <c r="AD254" s="276"/>
      <c r="AE254" s="277"/>
      <c r="AF254" s="277"/>
      <c r="AG254" s="276"/>
      <c r="AH254" s="277"/>
      <c r="AI254" s="277"/>
      <c r="AJ254" s="278"/>
    </row>
    <row r="255" spans="1:36" ht="171" hidden="1" customHeight="1" outlineLevel="1" x14ac:dyDescent="0.2">
      <c r="A255" s="637"/>
      <c r="B255" s="581"/>
      <c r="C255" s="581"/>
      <c r="D255" s="531"/>
      <c r="E255" s="736"/>
      <c r="F255" s="736"/>
      <c r="G255" s="583" t="s">
        <v>1130</v>
      </c>
      <c r="H255" s="416" t="s">
        <v>1131</v>
      </c>
      <c r="I255" s="581"/>
      <c r="J255" s="251"/>
      <c r="K255" s="251" t="s">
        <v>53</v>
      </c>
      <c r="L255" s="316">
        <v>0</v>
      </c>
      <c r="M255" s="272">
        <v>44593</v>
      </c>
      <c r="N255" s="272">
        <v>44925</v>
      </c>
      <c r="O255" s="272">
        <v>44652</v>
      </c>
      <c r="P255" s="273">
        <f t="shared" si="25"/>
        <v>0.17771084337349397</v>
      </c>
      <c r="Q255" s="273">
        <f t="shared" si="26"/>
        <v>0.17771084337349397</v>
      </c>
      <c r="R255" s="274">
        <v>1</v>
      </c>
      <c r="S255" s="275">
        <v>0.25</v>
      </c>
      <c r="T255" s="275">
        <v>0.5</v>
      </c>
      <c r="U255" s="275">
        <v>0.75</v>
      </c>
      <c r="V255" s="275">
        <v>1</v>
      </c>
      <c r="W255" s="275">
        <v>0.4</v>
      </c>
      <c r="X255" s="275" t="s">
        <v>1132</v>
      </c>
      <c r="Y255" s="374" t="s">
        <v>1022</v>
      </c>
      <c r="Z255" s="316">
        <v>0</v>
      </c>
      <c r="AA255" s="275">
        <v>0.6</v>
      </c>
      <c r="AB255" s="277" t="s">
        <v>1133</v>
      </c>
      <c r="AC255" s="473" t="s">
        <v>1134</v>
      </c>
      <c r="AD255" s="276"/>
      <c r="AE255" s="277"/>
      <c r="AF255" s="277"/>
      <c r="AG255" s="276"/>
      <c r="AH255" s="277"/>
      <c r="AI255" s="277"/>
      <c r="AJ255" s="278"/>
    </row>
    <row r="256" spans="1:36" ht="46.5" hidden="1" customHeight="1" outlineLevel="1" x14ac:dyDescent="0.2">
      <c r="A256" s="637"/>
      <c r="B256" s="581"/>
      <c r="C256" s="581"/>
      <c r="D256" s="531"/>
      <c r="E256" s="736"/>
      <c r="F256" s="736"/>
      <c r="G256" s="584"/>
      <c r="H256" s="416" t="s">
        <v>1135</v>
      </c>
      <c r="I256" s="581"/>
      <c r="J256" s="251" t="s">
        <v>1136</v>
      </c>
      <c r="K256" s="312">
        <v>14000000</v>
      </c>
      <c r="L256" s="316">
        <v>0</v>
      </c>
      <c r="M256" s="272">
        <v>44593</v>
      </c>
      <c r="N256" s="272">
        <v>44925</v>
      </c>
      <c r="O256" s="272">
        <v>44652</v>
      </c>
      <c r="P256" s="273">
        <f t="shared" si="25"/>
        <v>0.17771084337349397</v>
      </c>
      <c r="Q256" s="273">
        <f t="shared" si="26"/>
        <v>0.17771084337349397</v>
      </c>
      <c r="R256" s="274">
        <v>1</v>
      </c>
      <c r="S256" s="275">
        <v>0.25</v>
      </c>
      <c r="T256" s="275">
        <v>0.5</v>
      </c>
      <c r="U256" s="275">
        <v>0.75</v>
      </c>
      <c r="V256" s="275">
        <v>1</v>
      </c>
      <c r="W256" s="275">
        <v>0.1</v>
      </c>
      <c r="X256" s="275" t="s">
        <v>1137</v>
      </c>
      <c r="Y256" s="374" t="s">
        <v>1022</v>
      </c>
      <c r="Z256" s="316">
        <v>0</v>
      </c>
      <c r="AA256" s="275">
        <v>0.1</v>
      </c>
      <c r="AB256" s="277" t="s">
        <v>1137</v>
      </c>
      <c r="AC256" s="277" t="s">
        <v>53</v>
      </c>
      <c r="AD256" s="276"/>
      <c r="AE256" s="277"/>
      <c r="AF256" s="277"/>
      <c r="AG256" s="276"/>
      <c r="AH256" s="277"/>
      <c r="AI256" s="277"/>
      <c r="AJ256" s="278"/>
    </row>
    <row r="257" spans="1:36" ht="46.5" hidden="1" customHeight="1" outlineLevel="1" x14ac:dyDescent="0.2">
      <c r="A257" s="637"/>
      <c r="B257" s="581"/>
      <c r="C257" s="581"/>
      <c r="D257" s="531"/>
      <c r="E257" s="736"/>
      <c r="F257" s="736"/>
      <c r="G257" s="584"/>
      <c r="H257" s="416" t="s">
        <v>1138</v>
      </c>
      <c r="I257" s="581"/>
      <c r="J257" s="251"/>
      <c r="K257" s="312"/>
      <c r="L257" s="316">
        <v>0</v>
      </c>
      <c r="M257" s="272">
        <v>44593</v>
      </c>
      <c r="N257" s="272">
        <v>44925</v>
      </c>
      <c r="O257" s="272">
        <v>44652</v>
      </c>
      <c r="P257" s="273">
        <f t="shared" ref="P257:P258" si="31">+(+_xlfn.DAYS(M257,O257))/(+_xlfn.DAYS(M257,N257))</f>
        <v>0.17771084337349397</v>
      </c>
      <c r="Q257" s="273">
        <f t="shared" ref="Q257:Q258" si="32">+IF(P257&gt;=100,100,IF(P257&lt;=0,0,P257))</f>
        <v>0.17771084337349397</v>
      </c>
      <c r="R257" s="274">
        <v>1</v>
      </c>
      <c r="S257" s="275">
        <v>0.25</v>
      </c>
      <c r="T257" s="275">
        <v>0.5</v>
      </c>
      <c r="U257" s="275">
        <v>0.75</v>
      </c>
      <c r="V257" s="275">
        <v>1</v>
      </c>
      <c r="W257" s="275">
        <v>0.35</v>
      </c>
      <c r="X257" s="275" t="s">
        <v>1139</v>
      </c>
      <c r="Y257" s="374" t="s">
        <v>1022</v>
      </c>
      <c r="Z257" s="316">
        <v>0</v>
      </c>
      <c r="AA257" s="275">
        <v>0.6</v>
      </c>
      <c r="AB257" s="277" t="s">
        <v>1140</v>
      </c>
      <c r="AC257" s="473" t="s">
        <v>1141</v>
      </c>
      <c r="AD257" s="276"/>
      <c r="AE257" s="277"/>
      <c r="AF257" s="277"/>
      <c r="AG257" s="276"/>
      <c r="AH257" s="277"/>
      <c r="AI257" s="277"/>
      <c r="AJ257" s="278"/>
    </row>
    <row r="258" spans="1:36" ht="46.5" hidden="1" customHeight="1" outlineLevel="1" x14ac:dyDescent="0.2">
      <c r="A258" s="637"/>
      <c r="B258" s="581"/>
      <c r="C258" s="581"/>
      <c r="D258" s="531"/>
      <c r="E258" s="736"/>
      <c r="F258" s="736"/>
      <c r="G258" s="585"/>
      <c r="H258" s="416" t="s">
        <v>1142</v>
      </c>
      <c r="I258" s="581"/>
      <c r="J258" s="251"/>
      <c r="K258" s="312"/>
      <c r="L258" s="316">
        <v>0</v>
      </c>
      <c r="M258" s="272">
        <v>44593</v>
      </c>
      <c r="N258" s="272">
        <v>44925</v>
      </c>
      <c r="O258" s="272">
        <v>44652</v>
      </c>
      <c r="P258" s="273">
        <f t="shared" si="31"/>
        <v>0.17771084337349397</v>
      </c>
      <c r="Q258" s="273">
        <f t="shared" si="32"/>
        <v>0.17771084337349397</v>
      </c>
      <c r="R258" s="274">
        <v>1</v>
      </c>
      <c r="S258" s="275">
        <v>0.25</v>
      </c>
      <c r="T258" s="275">
        <v>0.5</v>
      </c>
      <c r="U258" s="275">
        <v>0.75</v>
      </c>
      <c r="V258" s="275">
        <v>1</v>
      </c>
      <c r="W258" s="275">
        <v>0.25</v>
      </c>
      <c r="X258" s="275" t="s">
        <v>1143</v>
      </c>
      <c r="Y258" s="374" t="s">
        <v>1022</v>
      </c>
      <c r="Z258" s="316">
        <v>0</v>
      </c>
      <c r="AA258" s="275">
        <v>0.5</v>
      </c>
      <c r="AB258" s="277" t="s">
        <v>1144</v>
      </c>
      <c r="AC258" s="277" t="s">
        <v>53</v>
      </c>
      <c r="AD258" s="276"/>
      <c r="AE258" s="277"/>
      <c r="AF258" s="277"/>
      <c r="AG258" s="276"/>
      <c r="AH258" s="277"/>
      <c r="AI258" s="277"/>
      <c r="AJ258" s="278"/>
    </row>
    <row r="259" spans="1:36" ht="43.15" hidden="1" customHeight="1" outlineLevel="1" x14ac:dyDescent="0.2">
      <c r="A259" s="637"/>
      <c r="B259" s="581"/>
      <c r="C259" s="581"/>
      <c r="D259" s="531"/>
      <c r="E259" s="736"/>
      <c r="F259" s="736"/>
      <c r="G259" s="583" t="s">
        <v>1145</v>
      </c>
      <c r="H259" s="416" t="s">
        <v>1146</v>
      </c>
      <c r="I259" s="581"/>
      <c r="J259" s="251"/>
      <c r="K259" s="312">
        <v>59000000</v>
      </c>
      <c r="L259" s="316">
        <v>0</v>
      </c>
      <c r="M259" s="272">
        <v>44593</v>
      </c>
      <c r="N259" s="272">
        <v>44925</v>
      </c>
      <c r="O259" s="272">
        <v>44652</v>
      </c>
      <c r="P259" s="273">
        <f t="shared" si="25"/>
        <v>0.17771084337349397</v>
      </c>
      <c r="Q259" s="273">
        <f t="shared" si="26"/>
        <v>0.17771084337349397</v>
      </c>
      <c r="R259" s="274">
        <v>1</v>
      </c>
      <c r="S259" s="275">
        <v>0.25</v>
      </c>
      <c r="T259" s="275">
        <v>0.5</v>
      </c>
      <c r="U259" s="275">
        <v>0.75</v>
      </c>
      <c r="V259" s="275">
        <v>1</v>
      </c>
      <c r="W259" s="275">
        <v>0.25</v>
      </c>
      <c r="X259" s="275" t="s">
        <v>1147</v>
      </c>
      <c r="Y259" s="373" t="s">
        <v>1148</v>
      </c>
      <c r="Z259" s="316">
        <v>0</v>
      </c>
      <c r="AA259" s="275">
        <v>0.5</v>
      </c>
      <c r="AB259" s="277" t="s">
        <v>1149</v>
      </c>
      <c r="AC259" s="277" t="s">
        <v>1150</v>
      </c>
      <c r="AD259" s="276"/>
      <c r="AE259" s="277"/>
      <c r="AF259" s="277"/>
      <c r="AG259" s="276"/>
      <c r="AH259" s="277"/>
      <c r="AI259" s="277"/>
      <c r="AJ259" s="278"/>
    </row>
    <row r="260" spans="1:36" ht="43.15" hidden="1" customHeight="1" outlineLevel="1" x14ac:dyDescent="0.2">
      <c r="A260" s="637"/>
      <c r="B260" s="581"/>
      <c r="C260" s="581"/>
      <c r="D260" s="531"/>
      <c r="E260" s="736"/>
      <c r="F260" s="736"/>
      <c r="G260" s="584"/>
      <c r="H260" s="416" t="s">
        <v>1151</v>
      </c>
      <c r="I260" s="581"/>
      <c r="J260" s="251" t="s">
        <v>1116</v>
      </c>
      <c r="K260" s="312"/>
      <c r="L260" s="316">
        <v>0</v>
      </c>
      <c r="M260" s="272">
        <v>44593</v>
      </c>
      <c r="N260" s="272">
        <v>44925</v>
      </c>
      <c r="O260" s="272">
        <v>44652</v>
      </c>
      <c r="P260" s="273">
        <f t="shared" ref="P260:P262" si="33">+(+_xlfn.DAYS(M260,O260))/(+_xlfn.DAYS(M260,N260))</f>
        <v>0.17771084337349397</v>
      </c>
      <c r="Q260" s="273">
        <f t="shared" ref="Q260:Q262" si="34">+IF(P260&gt;=100,100,IF(P260&lt;=0,0,P260))</f>
        <v>0.17771084337349397</v>
      </c>
      <c r="R260" s="274">
        <v>1</v>
      </c>
      <c r="S260" s="275">
        <v>0.25</v>
      </c>
      <c r="T260" s="275">
        <v>0.5</v>
      </c>
      <c r="U260" s="275">
        <v>0.75</v>
      </c>
      <c r="V260" s="275">
        <v>1</v>
      </c>
      <c r="W260" s="275">
        <v>0.25</v>
      </c>
      <c r="X260" s="275" t="s">
        <v>1152</v>
      </c>
      <c r="Y260" s="375" t="s">
        <v>1112</v>
      </c>
      <c r="Z260" s="316">
        <v>0</v>
      </c>
      <c r="AA260" s="275">
        <v>0.5</v>
      </c>
      <c r="AB260" s="277" t="s">
        <v>1153</v>
      </c>
      <c r="AC260" s="277" t="s">
        <v>1154</v>
      </c>
      <c r="AD260" s="276"/>
      <c r="AE260" s="277"/>
      <c r="AF260" s="277"/>
      <c r="AG260" s="276"/>
      <c r="AH260" s="277"/>
      <c r="AI260" s="277"/>
      <c r="AJ260" s="278"/>
    </row>
    <row r="261" spans="1:36" ht="43.15" hidden="1" customHeight="1" outlineLevel="1" x14ac:dyDescent="0.2">
      <c r="A261" s="637"/>
      <c r="B261" s="581"/>
      <c r="C261" s="581"/>
      <c r="D261" s="531"/>
      <c r="E261" s="736"/>
      <c r="F261" s="736"/>
      <c r="G261" s="585"/>
      <c r="H261" s="416" t="s">
        <v>1155</v>
      </c>
      <c r="I261" s="581"/>
      <c r="J261" s="251" t="s">
        <v>1156</v>
      </c>
      <c r="K261" s="312"/>
      <c r="L261" s="316">
        <v>0</v>
      </c>
      <c r="M261" s="272">
        <v>44593</v>
      </c>
      <c r="N261" s="272">
        <v>44925</v>
      </c>
      <c r="O261" s="272">
        <v>44652</v>
      </c>
      <c r="P261" s="273">
        <f t="shared" si="33"/>
        <v>0.17771084337349397</v>
      </c>
      <c r="Q261" s="273">
        <f t="shared" si="34"/>
        <v>0.17771084337349397</v>
      </c>
      <c r="R261" s="274">
        <v>1</v>
      </c>
      <c r="S261" s="275">
        <v>0.25</v>
      </c>
      <c r="T261" s="275">
        <v>0.5</v>
      </c>
      <c r="U261" s="275">
        <v>0.75</v>
      </c>
      <c r="V261" s="275">
        <v>1</v>
      </c>
      <c r="W261" s="275">
        <v>0.25</v>
      </c>
      <c r="X261" s="275" t="s">
        <v>1157</v>
      </c>
      <c r="Y261" s="373" t="s">
        <v>1158</v>
      </c>
      <c r="Z261" s="316">
        <v>0</v>
      </c>
      <c r="AA261" s="275">
        <v>0.5</v>
      </c>
      <c r="AB261" s="277" t="s">
        <v>1159</v>
      </c>
      <c r="AC261" s="277" t="s">
        <v>1160</v>
      </c>
      <c r="AD261" s="276"/>
      <c r="AE261" s="277"/>
      <c r="AF261" s="277"/>
      <c r="AG261" s="276"/>
      <c r="AH261" s="277"/>
      <c r="AI261" s="277"/>
      <c r="AJ261" s="278"/>
    </row>
    <row r="262" spans="1:36" ht="94.5" hidden="1" customHeight="1" outlineLevel="1" x14ac:dyDescent="0.2">
      <c r="A262" s="637"/>
      <c r="B262" s="581"/>
      <c r="C262" s="581"/>
      <c r="D262" s="531"/>
      <c r="E262" s="736"/>
      <c r="F262" s="736"/>
      <c r="G262" s="546" t="s">
        <v>1161</v>
      </c>
      <c r="H262" s="416" t="s">
        <v>1162</v>
      </c>
      <c r="I262" s="581"/>
      <c r="J262" s="251"/>
      <c r="K262" s="312">
        <v>42000000</v>
      </c>
      <c r="L262" s="316">
        <v>0</v>
      </c>
      <c r="M262" s="272">
        <v>44593</v>
      </c>
      <c r="N262" s="272">
        <v>44925</v>
      </c>
      <c r="O262" s="272">
        <v>44652</v>
      </c>
      <c r="P262" s="273">
        <f t="shared" si="33"/>
        <v>0.17771084337349397</v>
      </c>
      <c r="Q262" s="273">
        <f t="shared" si="34"/>
        <v>0.17771084337349397</v>
      </c>
      <c r="R262" s="274">
        <v>1</v>
      </c>
      <c r="S262" s="275">
        <v>0.25</v>
      </c>
      <c r="T262" s="275">
        <v>0.5</v>
      </c>
      <c r="U262" s="275">
        <v>0.75</v>
      </c>
      <c r="V262" s="275">
        <v>1</v>
      </c>
      <c r="W262" s="275">
        <v>0.1</v>
      </c>
      <c r="X262" s="275" t="s">
        <v>1163</v>
      </c>
      <c r="Y262" s="343" t="s">
        <v>1164</v>
      </c>
      <c r="Z262" s="316">
        <v>0</v>
      </c>
      <c r="AA262" s="275">
        <v>0.5</v>
      </c>
      <c r="AB262" s="277" t="s">
        <v>1165</v>
      </c>
      <c r="AC262" s="473" t="s">
        <v>1166</v>
      </c>
      <c r="AD262" s="276"/>
      <c r="AE262" s="277"/>
      <c r="AF262" s="277"/>
      <c r="AG262" s="276"/>
      <c r="AH262" s="277"/>
      <c r="AI262" s="277"/>
      <c r="AJ262" s="278"/>
    </row>
    <row r="263" spans="1:36" ht="112.5" hidden="1" customHeight="1" outlineLevel="1" x14ac:dyDescent="0.2">
      <c r="A263" s="637"/>
      <c r="B263" s="581"/>
      <c r="C263" s="581"/>
      <c r="D263" s="531"/>
      <c r="E263" s="736"/>
      <c r="F263" s="736"/>
      <c r="G263" s="581"/>
      <c r="H263" s="416" t="s">
        <v>1167</v>
      </c>
      <c r="I263" s="581"/>
      <c r="J263" s="251"/>
      <c r="K263" s="312">
        <v>51500000</v>
      </c>
      <c r="L263" s="316">
        <v>0</v>
      </c>
      <c r="M263" s="272">
        <v>44593</v>
      </c>
      <c r="N263" s="272">
        <v>44925</v>
      </c>
      <c r="O263" s="272">
        <v>44652</v>
      </c>
      <c r="P263" s="273">
        <f t="shared" si="25"/>
        <v>0.17771084337349397</v>
      </c>
      <c r="Q263" s="273">
        <f t="shared" si="26"/>
        <v>0.17771084337349397</v>
      </c>
      <c r="R263" s="274">
        <v>1</v>
      </c>
      <c r="S263" s="275">
        <v>0.25</v>
      </c>
      <c r="T263" s="275">
        <v>0.5</v>
      </c>
      <c r="U263" s="275">
        <v>0.75</v>
      </c>
      <c r="V263" s="275">
        <v>1</v>
      </c>
      <c r="W263" s="275">
        <v>0.5</v>
      </c>
      <c r="X263" s="275" t="s">
        <v>1168</v>
      </c>
      <c r="Y263" s="343" t="s">
        <v>1164</v>
      </c>
      <c r="Z263" s="316">
        <v>0</v>
      </c>
      <c r="AA263" s="275">
        <v>0.5</v>
      </c>
      <c r="AB263" s="277" t="s">
        <v>1169</v>
      </c>
      <c r="AC263" s="473" t="s">
        <v>1170</v>
      </c>
      <c r="AD263" s="276"/>
      <c r="AE263" s="277"/>
      <c r="AF263" s="277"/>
      <c r="AG263" s="276"/>
      <c r="AH263" s="277"/>
      <c r="AI263" s="277"/>
      <c r="AJ263" s="278"/>
    </row>
    <row r="264" spans="1:36" ht="112.5" hidden="1" customHeight="1" outlineLevel="1" x14ac:dyDescent="0.2">
      <c r="A264" s="637"/>
      <c r="B264" s="581"/>
      <c r="C264" s="581"/>
      <c r="D264" s="531"/>
      <c r="E264" s="736"/>
      <c r="F264" s="736"/>
      <c r="G264" s="581"/>
      <c r="H264" s="416" t="s">
        <v>1171</v>
      </c>
      <c r="I264" s="581"/>
      <c r="J264" s="251"/>
      <c r="K264" s="251" t="s">
        <v>53</v>
      </c>
      <c r="L264" s="316">
        <v>0</v>
      </c>
      <c r="M264" s="272">
        <v>44593</v>
      </c>
      <c r="N264" s="272">
        <v>44925</v>
      </c>
      <c r="O264" s="272">
        <v>44652</v>
      </c>
      <c r="P264" s="273">
        <f t="shared" ref="P264" si="35">+(+_xlfn.DAYS(M264,O264))/(+_xlfn.DAYS(M264,N264))</f>
        <v>0.17771084337349397</v>
      </c>
      <c r="Q264" s="273">
        <f t="shared" ref="Q264" si="36">+IF(P264&gt;=100,100,IF(P264&lt;=0,0,P264))</f>
        <v>0.17771084337349397</v>
      </c>
      <c r="R264" s="274">
        <v>1</v>
      </c>
      <c r="S264" s="275">
        <v>0.25</v>
      </c>
      <c r="T264" s="275">
        <v>0.5</v>
      </c>
      <c r="U264" s="275">
        <v>0.75</v>
      </c>
      <c r="V264" s="275">
        <v>1</v>
      </c>
      <c r="W264" s="275">
        <v>0.25</v>
      </c>
      <c r="X264" s="275" t="s">
        <v>1172</v>
      </c>
      <c r="Y264" s="343" t="s">
        <v>1164</v>
      </c>
      <c r="Z264" s="316">
        <v>0</v>
      </c>
      <c r="AA264" s="275">
        <v>0.5</v>
      </c>
      <c r="AB264" s="277" t="s">
        <v>1173</v>
      </c>
      <c r="AC264" s="473" t="s">
        <v>1174</v>
      </c>
      <c r="AD264" s="276"/>
      <c r="AE264" s="277"/>
      <c r="AF264" s="277"/>
      <c r="AG264" s="276"/>
      <c r="AH264" s="277"/>
      <c r="AI264" s="277"/>
      <c r="AJ264" s="278"/>
    </row>
    <row r="265" spans="1:36" ht="36.6" hidden="1" customHeight="1" outlineLevel="1" x14ac:dyDescent="0.2">
      <c r="A265" s="637"/>
      <c r="B265" s="581"/>
      <c r="C265" s="547"/>
      <c r="D265" s="531"/>
      <c r="E265" s="737"/>
      <c r="F265" s="737"/>
      <c r="G265" s="547"/>
      <c r="H265" s="416" t="s">
        <v>1175</v>
      </c>
      <c r="I265" s="547"/>
      <c r="J265" s="251"/>
      <c r="K265" s="251" t="s">
        <v>53</v>
      </c>
      <c r="L265" s="316">
        <v>0</v>
      </c>
      <c r="M265" s="272">
        <v>44593</v>
      </c>
      <c r="N265" s="272">
        <v>44925</v>
      </c>
      <c r="O265" s="272">
        <v>44652</v>
      </c>
      <c r="P265" s="273">
        <f t="shared" si="25"/>
        <v>0.17771084337349397</v>
      </c>
      <c r="Q265" s="273">
        <f t="shared" si="26"/>
        <v>0.17771084337349397</v>
      </c>
      <c r="R265" s="274">
        <v>1</v>
      </c>
      <c r="S265" s="275">
        <v>0.25</v>
      </c>
      <c r="T265" s="275">
        <v>0.5</v>
      </c>
      <c r="U265" s="275">
        <v>0.75</v>
      </c>
      <c r="V265" s="275">
        <v>1</v>
      </c>
      <c r="W265" s="275">
        <v>0.5</v>
      </c>
      <c r="X265" s="275" t="s">
        <v>1176</v>
      </c>
      <c r="Y265" s="343" t="s">
        <v>1164</v>
      </c>
      <c r="Z265" s="316">
        <v>0</v>
      </c>
      <c r="AA265" s="275">
        <v>0.6</v>
      </c>
      <c r="AB265" s="277" t="s">
        <v>1177</v>
      </c>
      <c r="AC265" s="473" t="s">
        <v>1178</v>
      </c>
      <c r="AD265" s="276"/>
      <c r="AE265" s="277"/>
      <c r="AF265" s="277"/>
      <c r="AG265" s="276"/>
      <c r="AH265" s="277"/>
      <c r="AI265" s="277"/>
      <c r="AJ265" s="278"/>
    </row>
    <row r="266" spans="1:36" ht="36.6" hidden="1" customHeight="1" outlineLevel="1" x14ac:dyDescent="0.2">
      <c r="A266" s="637"/>
      <c r="B266" s="416" t="s">
        <v>293</v>
      </c>
      <c r="C266" s="416" t="s">
        <v>308</v>
      </c>
      <c r="D266" s="684"/>
      <c r="E266" s="431" t="s">
        <v>1179</v>
      </c>
      <c r="F266" s="298" t="s">
        <v>1180</v>
      </c>
      <c r="G266" s="416" t="s">
        <v>1181</v>
      </c>
      <c r="H266" s="416" t="s">
        <v>1182</v>
      </c>
      <c r="I266" s="416" t="s">
        <v>1183</v>
      </c>
      <c r="J266" s="251" t="s">
        <v>1184</v>
      </c>
      <c r="K266" s="251" t="s">
        <v>53</v>
      </c>
      <c r="L266" s="316">
        <v>0</v>
      </c>
      <c r="M266" s="272">
        <v>44593</v>
      </c>
      <c r="N266" s="272">
        <v>44925</v>
      </c>
      <c r="O266" s="272">
        <v>44652</v>
      </c>
      <c r="P266" s="273">
        <f t="shared" si="25"/>
        <v>0.17771084337349397</v>
      </c>
      <c r="Q266" s="273">
        <f>+IF(P266&gt;=100,100,IF(P266&lt;=0,0,P266))</f>
        <v>0.17771084337349397</v>
      </c>
      <c r="R266" s="274">
        <v>0.5</v>
      </c>
      <c r="S266" s="275">
        <v>0.3</v>
      </c>
      <c r="T266" s="275">
        <v>0.35</v>
      </c>
      <c r="U266" s="275">
        <v>0.34</v>
      </c>
      <c r="V266" s="275">
        <v>0.5</v>
      </c>
      <c r="W266" s="275">
        <v>0.4</v>
      </c>
      <c r="X266" s="275" t="s">
        <v>1185</v>
      </c>
      <c r="Y266" s="373" t="s">
        <v>1022</v>
      </c>
      <c r="Z266" s="316">
        <v>0</v>
      </c>
      <c r="AA266" s="275">
        <v>0.4</v>
      </c>
      <c r="AB266" s="277" t="s">
        <v>1186</v>
      </c>
      <c r="AC266" s="277" t="s">
        <v>53</v>
      </c>
      <c r="AD266" s="276"/>
      <c r="AE266" s="277"/>
      <c r="AF266" s="277"/>
      <c r="AG266" s="276"/>
      <c r="AH266" s="277"/>
      <c r="AI266" s="277"/>
      <c r="AJ266" s="278"/>
    </row>
    <row r="267" spans="1:36" ht="108.75" hidden="1" customHeight="1" outlineLevel="1" x14ac:dyDescent="0.2">
      <c r="A267" s="637"/>
      <c r="B267" s="583" t="s">
        <v>40</v>
      </c>
      <c r="C267" s="546" t="s">
        <v>1187</v>
      </c>
      <c r="D267" s="807" t="s">
        <v>1188</v>
      </c>
      <c r="E267" s="245" t="s">
        <v>1189</v>
      </c>
      <c r="F267" s="245" t="s">
        <v>1190</v>
      </c>
      <c r="G267" s="242" t="s">
        <v>1191</v>
      </c>
      <c r="H267" s="242" t="s">
        <v>1192</v>
      </c>
      <c r="I267" s="242" t="s">
        <v>1193</v>
      </c>
      <c r="J267" s="12" t="s">
        <v>1194</v>
      </c>
      <c r="K267" s="312">
        <v>250000000</v>
      </c>
      <c r="L267" s="316">
        <v>0</v>
      </c>
      <c r="M267" s="272">
        <v>44593</v>
      </c>
      <c r="N267" s="272">
        <v>44925</v>
      </c>
      <c r="O267" s="272">
        <v>44652</v>
      </c>
      <c r="P267" s="273">
        <f t="shared" si="25"/>
        <v>0.17771084337349397</v>
      </c>
      <c r="Q267" s="273">
        <f t="shared" si="26"/>
        <v>0.17771084337349397</v>
      </c>
      <c r="R267" s="274">
        <v>0.6</v>
      </c>
      <c r="S267" s="275">
        <v>0.3</v>
      </c>
      <c r="T267" s="275">
        <v>0.4</v>
      </c>
      <c r="U267" s="275">
        <v>0.5</v>
      </c>
      <c r="V267" s="275">
        <v>0.6</v>
      </c>
      <c r="W267" s="275">
        <v>0.2</v>
      </c>
      <c r="X267" s="275" t="s">
        <v>1195</v>
      </c>
      <c r="Y267" s="341" t="s">
        <v>1196</v>
      </c>
      <c r="Z267" s="316">
        <v>0</v>
      </c>
      <c r="AA267" s="275">
        <v>0.35</v>
      </c>
      <c r="AB267" s="277" t="s">
        <v>1197</v>
      </c>
      <c r="AC267" s="277" t="s">
        <v>1198</v>
      </c>
      <c r="AD267" s="276"/>
      <c r="AE267" s="277"/>
      <c r="AF267" s="277"/>
      <c r="AG267" s="276"/>
      <c r="AH267" s="277"/>
      <c r="AI267" s="277"/>
      <c r="AJ267" s="278"/>
    </row>
    <row r="268" spans="1:36" ht="70.150000000000006" hidden="1" customHeight="1" outlineLevel="1" x14ac:dyDescent="0.2">
      <c r="A268" s="637"/>
      <c r="B268" s="584"/>
      <c r="C268" s="581"/>
      <c r="D268" s="808"/>
      <c r="E268" s="476" t="s">
        <v>1199</v>
      </c>
      <c r="F268" s="476" t="s">
        <v>191</v>
      </c>
      <c r="G268" s="242" t="s">
        <v>1200</v>
      </c>
      <c r="H268" s="242" t="s">
        <v>1201</v>
      </c>
      <c r="I268" s="471"/>
      <c r="J268" s="12" t="s">
        <v>1202</v>
      </c>
      <c r="K268" s="312">
        <v>27667500</v>
      </c>
      <c r="L268" s="316">
        <v>7500000</v>
      </c>
      <c r="M268" s="272">
        <v>44593</v>
      </c>
      <c r="N268" s="272">
        <v>44925</v>
      </c>
      <c r="O268" s="272">
        <v>44652</v>
      </c>
      <c r="P268" s="273">
        <f t="shared" si="25"/>
        <v>0.17771084337349397</v>
      </c>
      <c r="Q268" s="273">
        <f t="shared" ref="Q268" si="37">+IF(P268&gt;=100,100,IF(P268&lt;=0,0,P268))</f>
        <v>0.17771084337349397</v>
      </c>
      <c r="R268" s="274">
        <v>1</v>
      </c>
      <c r="S268" s="275">
        <v>0.25</v>
      </c>
      <c r="T268" s="275">
        <v>0.5</v>
      </c>
      <c r="U268" s="275">
        <v>0.75</v>
      </c>
      <c r="V268" s="275">
        <v>1</v>
      </c>
      <c r="W268" s="275">
        <v>0.24</v>
      </c>
      <c r="X268" s="275" t="s">
        <v>1203</v>
      </c>
      <c r="Y268" s="341" t="s">
        <v>306</v>
      </c>
      <c r="Z268" s="316">
        <v>13000000</v>
      </c>
      <c r="AA268" s="275">
        <v>0.47</v>
      </c>
      <c r="AB268" s="277" t="s">
        <v>1204</v>
      </c>
      <c r="AC268" s="277" t="s">
        <v>1205</v>
      </c>
      <c r="AD268" s="276"/>
      <c r="AE268" s="277"/>
      <c r="AF268" s="277"/>
      <c r="AG268" s="276"/>
      <c r="AH268" s="277"/>
      <c r="AI268" s="277"/>
      <c r="AJ268" s="278"/>
    </row>
    <row r="269" spans="1:36" ht="90" hidden="1" customHeight="1" outlineLevel="1" x14ac:dyDescent="0.2">
      <c r="A269" s="637"/>
      <c r="B269" s="584"/>
      <c r="C269" s="581"/>
      <c r="D269" s="808"/>
      <c r="E269" s="536" t="s">
        <v>1206</v>
      </c>
      <c r="F269" s="536" t="s">
        <v>1207</v>
      </c>
      <c r="G269" s="242" t="s">
        <v>1208</v>
      </c>
      <c r="H269" s="242" t="s">
        <v>1209</v>
      </c>
      <c r="I269" s="242" t="s">
        <v>1210</v>
      </c>
      <c r="J269" s="12" t="s">
        <v>555</v>
      </c>
      <c r="K269" s="12" t="s">
        <v>555</v>
      </c>
      <c r="L269" s="316">
        <v>0</v>
      </c>
      <c r="M269" s="272">
        <v>44593</v>
      </c>
      <c r="N269" s="272">
        <v>44925</v>
      </c>
      <c r="O269" s="272">
        <v>44652</v>
      </c>
      <c r="P269" s="273">
        <f t="shared" si="25"/>
        <v>0.17771084337349397</v>
      </c>
      <c r="Q269" s="273">
        <f t="shared" si="26"/>
        <v>0.17771084337349397</v>
      </c>
      <c r="R269" s="274">
        <v>1</v>
      </c>
      <c r="S269" s="275">
        <v>0.35</v>
      </c>
      <c r="T269" s="275">
        <v>0.45</v>
      </c>
      <c r="U269" s="275">
        <v>0.55000000000000004</v>
      </c>
      <c r="V269" s="275">
        <v>0.6</v>
      </c>
      <c r="W269" s="275">
        <v>0</v>
      </c>
      <c r="X269" s="275" t="s">
        <v>1211</v>
      </c>
      <c r="Y269" s="341" t="s">
        <v>53</v>
      </c>
      <c r="Z269" s="316">
        <v>0</v>
      </c>
      <c r="AA269" s="275">
        <v>0.3</v>
      </c>
      <c r="AB269" s="277" t="s">
        <v>1212</v>
      </c>
      <c r="AC269" s="277" t="s">
        <v>53</v>
      </c>
      <c r="AD269" s="276"/>
      <c r="AE269" s="277"/>
      <c r="AF269" s="277"/>
      <c r="AG269" s="276"/>
      <c r="AH269" s="277"/>
      <c r="AI269" s="277"/>
      <c r="AJ269" s="278"/>
    </row>
    <row r="270" spans="1:36" ht="90" hidden="1" customHeight="1" outlineLevel="1" x14ac:dyDescent="0.2">
      <c r="A270" s="637"/>
      <c r="B270" s="584"/>
      <c r="C270" s="547"/>
      <c r="D270" s="808"/>
      <c r="E270" s="537"/>
      <c r="F270" s="537"/>
      <c r="G270" s="242" t="s">
        <v>1213</v>
      </c>
      <c r="H270" s="242" t="s">
        <v>1214</v>
      </c>
      <c r="I270" s="242" t="s">
        <v>1215</v>
      </c>
      <c r="J270" s="12" t="s">
        <v>1216</v>
      </c>
      <c r="K270" s="326">
        <v>32550000</v>
      </c>
      <c r="L270" s="316">
        <v>0</v>
      </c>
      <c r="M270" s="272">
        <v>44593</v>
      </c>
      <c r="N270" s="272">
        <v>44925</v>
      </c>
      <c r="O270" s="272">
        <v>44652</v>
      </c>
      <c r="P270" s="273">
        <f t="shared" si="25"/>
        <v>0.17771084337349397</v>
      </c>
      <c r="Q270" s="273">
        <f t="shared" ref="Q270" si="38">+IF(P270&gt;=100,100,IF(P270&lt;=0,0,P270))</f>
        <v>0.17771084337349397</v>
      </c>
      <c r="R270" s="274">
        <v>0.6</v>
      </c>
      <c r="S270" s="275">
        <v>0.35</v>
      </c>
      <c r="T270" s="275">
        <v>0.45</v>
      </c>
      <c r="U270" s="275">
        <v>0.55000000000000004</v>
      </c>
      <c r="V270" s="275">
        <v>0.6</v>
      </c>
      <c r="W270" s="275">
        <v>0.3</v>
      </c>
      <c r="X270" s="275" t="s">
        <v>1217</v>
      </c>
      <c r="Y270" s="341" t="s">
        <v>340</v>
      </c>
      <c r="Z270" s="316">
        <v>15000000</v>
      </c>
      <c r="AA270" s="275">
        <v>0.33</v>
      </c>
      <c r="AB270" s="277" t="s">
        <v>1218</v>
      </c>
      <c r="AC270" s="277" t="s">
        <v>1219</v>
      </c>
      <c r="AD270" s="276"/>
      <c r="AE270" s="277"/>
      <c r="AF270" s="277"/>
      <c r="AG270" s="276"/>
      <c r="AH270" s="277"/>
      <c r="AI270" s="277"/>
      <c r="AJ270" s="278"/>
    </row>
    <row r="271" spans="1:36" ht="68.25" hidden="1" customHeight="1" outlineLevel="1" x14ac:dyDescent="0.2">
      <c r="A271" s="637"/>
      <c r="B271" s="584"/>
      <c r="C271" s="583" t="s">
        <v>984</v>
      </c>
      <c r="D271" s="808"/>
      <c r="E271" s="536" t="s">
        <v>279</v>
      </c>
      <c r="F271" s="245" t="s">
        <v>1220</v>
      </c>
      <c r="G271" s="242" t="s">
        <v>555</v>
      </c>
      <c r="H271" s="242" t="s">
        <v>555</v>
      </c>
      <c r="I271" s="242" t="s">
        <v>282</v>
      </c>
      <c r="J271" s="251" t="s">
        <v>1221</v>
      </c>
      <c r="K271" s="12" t="s">
        <v>555</v>
      </c>
      <c r="L271" s="316">
        <v>0</v>
      </c>
      <c r="M271" s="272">
        <v>44593</v>
      </c>
      <c r="N271" s="272">
        <v>44925</v>
      </c>
      <c r="O271" s="272">
        <v>44652</v>
      </c>
      <c r="P271" s="273">
        <f t="shared" si="25"/>
        <v>0.17771084337349397</v>
      </c>
      <c r="Q271" s="273">
        <f t="shared" si="26"/>
        <v>0.17771084337349397</v>
      </c>
      <c r="R271" s="287">
        <v>0.25</v>
      </c>
      <c r="S271" s="275">
        <v>0.12</v>
      </c>
      <c r="T271" s="275">
        <v>0.18</v>
      </c>
      <c r="U271" s="275">
        <v>0.21</v>
      </c>
      <c r="V271" s="275">
        <v>0.25</v>
      </c>
      <c r="W271" s="275">
        <v>1</v>
      </c>
      <c r="X271" s="275" t="s">
        <v>2309</v>
      </c>
      <c r="Y271" s="341" t="s">
        <v>53</v>
      </c>
      <c r="Z271" s="316">
        <v>0</v>
      </c>
      <c r="AA271" s="275">
        <v>1</v>
      </c>
      <c r="AB271" s="277" t="s">
        <v>1223</v>
      </c>
      <c r="AC271" s="277" t="s">
        <v>53</v>
      </c>
      <c r="AD271" s="276"/>
      <c r="AE271" s="277"/>
      <c r="AF271" s="277"/>
      <c r="AG271" s="276"/>
      <c r="AH271" s="277"/>
      <c r="AI271" s="277"/>
      <c r="AJ271" s="278"/>
    </row>
    <row r="272" spans="1:36" ht="111.75" hidden="1" customHeight="1" outlineLevel="1" x14ac:dyDescent="0.2">
      <c r="A272" s="637"/>
      <c r="B272" s="584"/>
      <c r="C272" s="584"/>
      <c r="D272" s="808"/>
      <c r="E272" s="537"/>
      <c r="F272" s="245" t="s">
        <v>1224</v>
      </c>
      <c r="G272" s="242" t="s">
        <v>555</v>
      </c>
      <c r="H272" s="242" t="s">
        <v>555</v>
      </c>
      <c r="I272" s="242" t="s">
        <v>298</v>
      </c>
      <c r="J272" s="251" t="s">
        <v>555</v>
      </c>
      <c r="K272" s="12" t="s">
        <v>555</v>
      </c>
      <c r="L272" s="316">
        <v>0</v>
      </c>
      <c r="M272" s="272">
        <v>44593</v>
      </c>
      <c r="N272" s="272">
        <v>44925</v>
      </c>
      <c r="O272" s="272">
        <v>44652</v>
      </c>
      <c r="P272" s="273">
        <f t="shared" si="25"/>
        <v>0.17771084337349397</v>
      </c>
      <c r="Q272" s="273">
        <f t="shared" si="26"/>
        <v>0.17771084337349397</v>
      </c>
      <c r="R272" s="274">
        <v>0.15</v>
      </c>
      <c r="S272" s="275">
        <v>0.03</v>
      </c>
      <c r="T272" s="275">
        <v>0.06</v>
      </c>
      <c r="U272" s="275">
        <v>0.1</v>
      </c>
      <c r="V272" s="275">
        <v>0.15</v>
      </c>
      <c r="W272" s="275">
        <v>0</v>
      </c>
      <c r="X272" s="275" t="s">
        <v>1225</v>
      </c>
      <c r="Y272" s="341" t="s">
        <v>53</v>
      </c>
      <c r="Z272" s="316">
        <v>0</v>
      </c>
      <c r="AA272" s="275">
        <v>0.2</v>
      </c>
      <c r="AB272" s="277" t="s">
        <v>1226</v>
      </c>
      <c r="AC272" s="277" t="s">
        <v>1227</v>
      </c>
      <c r="AD272" s="276"/>
      <c r="AE272" s="277"/>
      <c r="AF272" s="277"/>
      <c r="AG272" s="276"/>
      <c r="AH272" s="277"/>
      <c r="AI272" s="277"/>
      <c r="AJ272" s="278"/>
    </row>
    <row r="273" spans="1:36" ht="111.75" hidden="1" customHeight="1" outlineLevel="1" x14ac:dyDescent="0.2">
      <c r="A273" s="637"/>
      <c r="B273" s="585"/>
      <c r="C273" s="585"/>
      <c r="D273" s="809"/>
      <c r="E273" s="496" t="s">
        <v>824</v>
      </c>
      <c r="F273" s="495" t="s">
        <v>825</v>
      </c>
      <c r="G273" s="500" t="s">
        <v>395</v>
      </c>
      <c r="H273" s="242" t="s">
        <v>826</v>
      </c>
      <c r="I273" s="435" t="s">
        <v>827</v>
      </c>
      <c r="J273" s="262" t="s">
        <v>828</v>
      </c>
      <c r="K273" s="262" t="s">
        <v>53</v>
      </c>
      <c r="L273" s="316">
        <v>0</v>
      </c>
      <c r="M273" s="272">
        <v>44593</v>
      </c>
      <c r="N273" s="272">
        <v>44925</v>
      </c>
      <c r="O273" s="272">
        <v>44652</v>
      </c>
      <c r="P273" s="273">
        <f>+(+_xlfn.DAYS(M273,O273))/(+_xlfn.DAYS(M273,N273))</f>
        <v>0.17771084337349397</v>
      </c>
      <c r="Q273" s="273">
        <f t="shared" ref="Q273" si="39">+IF(P273&gt;=100,100,IF(P273&lt;=0,0,P273))</f>
        <v>0.17771084337349397</v>
      </c>
      <c r="R273" s="274">
        <v>0.6</v>
      </c>
      <c r="S273" s="275">
        <v>0.45</v>
      </c>
      <c r="T273" s="275">
        <v>0.5</v>
      </c>
      <c r="U273" s="275">
        <v>0.55000000000000004</v>
      </c>
      <c r="V273" s="275">
        <v>0.6</v>
      </c>
      <c r="W273" s="275">
        <v>0</v>
      </c>
      <c r="X273" s="345" t="s">
        <v>829</v>
      </c>
      <c r="Y273" s="341"/>
      <c r="Z273" s="477" t="s">
        <v>830</v>
      </c>
      <c r="AA273" s="275">
        <v>0.31</v>
      </c>
      <c r="AB273" s="277" t="s">
        <v>2366</v>
      </c>
      <c r="AC273" s="277" t="s">
        <v>2367</v>
      </c>
      <c r="AD273" s="276"/>
      <c r="AE273" s="277"/>
      <c r="AF273" s="277"/>
      <c r="AG273" s="276"/>
      <c r="AH273" s="277"/>
      <c r="AI273" s="277"/>
      <c r="AJ273" s="278"/>
    </row>
    <row r="274" spans="1:36" ht="96" hidden="1" customHeight="1" outlineLevel="1" x14ac:dyDescent="0.2">
      <c r="A274" s="637"/>
      <c r="B274" s="546" t="s">
        <v>40</v>
      </c>
      <c r="C274" s="546" t="s">
        <v>1228</v>
      </c>
      <c r="D274" s="632" t="s">
        <v>1229</v>
      </c>
      <c r="E274" s="540" t="s">
        <v>886</v>
      </c>
      <c r="F274" s="540" t="s">
        <v>887</v>
      </c>
      <c r="G274" s="579" t="s">
        <v>45</v>
      </c>
      <c r="H274" s="247" t="s">
        <v>1230</v>
      </c>
      <c r="I274" s="579" t="s">
        <v>889</v>
      </c>
      <c r="J274" s="550" t="s">
        <v>1231</v>
      </c>
      <c r="K274" s="326">
        <v>335000000</v>
      </c>
      <c r="L274" s="316">
        <v>0</v>
      </c>
      <c r="M274" s="272">
        <v>44593</v>
      </c>
      <c r="N274" s="272">
        <v>44925</v>
      </c>
      <c r="O274" s="272">
        <v>44652</v>
      </c>
      <c r="P274" s="273">
        <f t="shared" si="25"/>
        <v>0.17771084337349397</v>
      </c>
      <c r="Q274" s="273">
        <f t="shared" si="26"/>
        <v>0.17771084337349397</v>
      </c>
      <c r="R274" s="274">
        <v>0.5</v>
      </c>
      <c r="S274" s="275">
        <v>0.35</v>
      </c>
      <c r="T274" s="275">
        <v>0.4</v>
      </c>
      <c r="U274" s="275">
        <v>0.45</v>
      </c>
      <c r="V274" s="275">
        <v>0.5</v>
      </c>
      <c r="W274" s="275">
        <v>0.8</v>
      </c>
      <c r="X274" s="275" t="s">
        <v>1232</v>
      </c>
      <c r="Y274" s="341" t="s">
        <v>1233</v>
      </c>
      <c r="Z274" s="316">
        <v>0</v>
      </c>
      <c r="AA274" s="275">
        <v>0.9</v>
      </c>
      <c r="AB274" s="277" t="s">
        <v>1234</v>
      </c>
      <c r="AC274" s="277" t="s">
        <v>1235</v>
      </c>
      <c r="AD274" s="276"/>
      <c r="AE274" s="277"/>
      <c r="AF274" s="277"/>
      <c r="AG274" s="276"/>
      <c r="AH274" s="277"/>
      <c r="AI274" s="277"/>
      <c r="AJ274" s="278"/>
    </row>
    <row r="275" spans="1:36" ht="99" hidden="1" customHeight="1" outlineLevel="1" x14ac:dyDescent="0.2">
      <c r="A275" s="637"/>
      <c r="B275" s="581"/>
      <c r="C275" s="581"/>
      <c r="D275" s="633"/>
      <c r="E275" s="541"/>
      <c r="F275" s="541"/>
      <c r="G275" s="580"/>
      <c r="H275" s="247" t="s">
        <v>1236</v>
      </c>
      <c r="I275" s="580"/>
      <c r="J275" s="551"/>
      <c r="K275" s="490" t="s">
        <v>2219</v>
      </c>
      <c r="L275" s="316">
        <v>0</v>
      </c>
      <c r="M275" s="272">
        <v>44593</v>
      </c>
      <c r="N275" s="272">
        <v>44925</v>
      </c>
      <c r="O275" s="272">
        <v>44652</v>
      </c>
      <c r="P275" s="273">
        <f t="shared" si="25"/>
        <v>0.17771084337349397</v>
      </c>
      <c r="Q275" s="273">
        <f t="shared" si="26"/>
        <v>0.17771084337349397</v>
      </c>
      <c r="R275" s="274">
        <v>1</v>
      </c>
      <c r="S275" s="275">
        <v>0.25</v>
      </c>
      <c r="T275" s="275">
        <v>0.5</v>
      </c>
      <c r="U275" s="275">
        <v>0.75</v>
      </c>
      <c r="V275" s="275">
        <v>1</v>
      </c>
      <c r="W275" s="275">
        <v>0.25</v>
      </c>
      <c r="X275" s="275" t="s">
        <v>1237</v>
      </c>
      <c r="Y275" s="341" t="s">
        <v>1238</v>
      </c>
      <c r="Z275" s="316">
        <v>0</v>
      </c>
      <c r="AA275" s="275">
        <v>0.45</v>
      </c>
      <c r="AB275" s="277" t="s">
        <v>1239</v>
      </c>
      <c r="AC275" s="277" t="s">
        <v>2220</v>
      </c>
      <c r="AD275" s="276"/>
      <c r="AE275" s="277"/>
      <c r="AF275" s="277"/>
      <c r="AG275" s="276"/>
      <c r="AH275" s="277"/>
      <c r="AI275" s="277"/>
      <c r="AJ275" s="278"/>
    </row>
    <row r="276" spans="1:36" ht="107.25" hidden="1" customHeight="1" outlineLevel="1" x14ac:dyDescent="0.2">
      <c r="A276" s="637"/>
      <c r="B276" s="547"/>
      <c r="C276" s="547"/>
      <c r="D276" s="633"/>
      <c r="E276" s="542"/>
      <c r="F276" s="253" t="s">
        <v>1240</v>
      </c>
      <c r="G276" s="247" t="s">
        <v>1241</v>
      </c>
      <c r="H276" s="247" t="s">
        <v>1242</v>
      </c>
      <c r="I276" s="247" t="s">
        <v>504</v>
      </c>
      <c r="J276" s="251" t="s">
        <v>1243</v>
      </c>
      <c r="K276" s="251" t="s">
        <v>128</v>
      </c>
      <c r="L276" s="316">
        <v>0</v>
      </c>
      <c r="M276" s="272">
        <v>44593</v>
      </c>
      <c r="N276" s="272">
        <v>44925</v>
      </c>
      <c r="O276" s="272">
        <v>44652</v>
      </c>
      <c r="P276" s="273">
        <f t="shared" si="25"/>
        <v>0.17771084337349397</v>
      </c>
      <c r="Q276" s="273">
        <f t="shared" si="26"/>
        <v>0.17771084337349397</v>
      </c>
      <c r="R276" s="274">
        <v>1</v>
      </c>
      <c r="S276" s="275">
        <v>0.25</v>
      </c>
      <c r="T276" s="275">
        <v>0.5</v>
      </c>
      <c r="U276" s="275">
        <v>0.75</v>
      </c>
      <c r="V276" s="275">
        <v>1</v>
      </c>
      <c r="W276" s="275">
        <v>0.25</v>
      </c>
      <c r="X276" s="345" t="s">
        <v>1244</v>
      </c>
      <c r="Y276" s="341" t="s">
        <v>53</v>
      </c>
      <c r="Z276" s="316">
        <v>0</v>
      </c>
      <c r="AA276" s="275">
        <v>0.4</v>
      </c>
      <c r="AB276" s="277" t="s">
        <v>1245</v>
      </c>
      <c r="AC276" s="277" t="s">
        <v>417</v>
      </c>
      <c r="AD276" s="276"/>
      <c r="AE276" s="277"/>
      <c r="AF276" s="277"/>
      <c r="AG276" s="276"/>
      <c r="AH276" s="277"/>
      <c r="AI276" s="277"/>
      <c r="AJ276" s="278"/>
    </row>
    <row r="277" spans="1:36" ht="92.25" hidden="1" customHeight="1" outlineLevel="1" x14ac:dyDescent="0.2">
      <c r="A277" s="637"/>
      <c r="B277" s="416" t="s">
        <v>293</v>
      </c>
      <c r="C277" s="416" t="s">
        <v>1246</v>
      </c>
      <c r="D277" s="633"/>
      <c r="E277" s="253" t="s">
        <v>1247</v>
      </c>
      <c r="F277" s="253" t="s">
        <v>1248</v>
      </c>
      <c r="G277" s="247" t="s">
        <v>395</v>
      </c>
      <c r="H277" s="247" t="s">
        <v>1249</v>
      </c>
      <c r="I277" s="247" t="s">
        <v>1250</v>
      </c>
      <c r="J277" s="251" t="s">
        <v>1251</v>
      </c>
      <c r="K277" s="251" t="s">
        <v>128</v>
      </c>
      <c r="L277" s="316">
        <v>0</v>
      </c>
      <c r="M277" s="272">
        <v>44593</v>
      </c>
      <c r="N277" s="272">
        <v>44925</v>
      </c>
      <c r="O277" s="272">
        <v>44652</v>
      </c>
      <c r="P277" s="273">
        <f t="shared" si="25"/>
        <v>0.17771084337349397</v>
      </c>
      <c r="Q277" s="273">
        <f t="shared" si="26"/>
        <v>0.17771084337349397</v>
      </c>
      <c r="R277" s="274">
        <v>0.5</v>
      </c>
      <c r="S277" s="275">
        <v>0.3</v>
      </c>
      <c r="T277" s="275">
        <v>0.4</v>
      </c>
      <c r="U277" s="275">
        <v>0.45</v>
      </c>
      <c r="V277" s="275">
        <v>0.5</v>
      </c>
      <c r="W277" s="275">
        <v>0.05</v>
      </c>
      <c r="X277" s="275" t="s">
        <v>1252</v>
      </c>
      <c r="Y277" s="341" t="s">
        <v>53</v>
      </c>
      <c r="Z277" s="316">
        <v>0</v>
      </c>
      <c r="AA277" s="275">
        <v>0.35</v>
      </c>
      <c r="AB277" s="277" t="s">
        <v>1253</v>
      </c>
      <c r="AC277" s="277" t="s">
        <v>417</v>
      </c>
      <c r="AD277" s="276"/>
      <c r="AE277" s="277"/>
      <c r="AF277" s="277"/>
      <c r="AG277" s="276"/>
      <c r="AH277" s="277"/>
      <c r="AI277" s="277"/>
      <c r="AJ277" s="278"/>
    </row>
    <row r="278" spans="1:36" ht="165" hidden="1" customHeight="1" outlineLevel="1" x14ac:dyDescent="0.2">
      <c r="A278" s="637"/>
      <c r="B278" s="546" t="s">
        <v>40</v>
      </c>
      <c r="C278" s="546" t="s">
        <v>1187</v>
      </c>
      <c r="D278" s="633"/>
      <c r="E278" s="540" t="s">
        <v>1254</v>
      </c>
      <c r="F278" s="540" t="s">
        <v>191</v>
      </c>
      <c r="G278" s="559" t="s">
        <v>77</v>
      </c>
      <c r="H278" s="247" t="s">
        <v>1255</v>
      </c>
      <c r="I278" s="559" t="s">
        <v>194</v>
      </c>
      <c r="J278" s="251" t="s">
        <v>1256</v>
      </c>
      <c r="K278" s="251" t="s">
        <v>128</v>
      </c>
      <c r="L278" s="316">
        <v>0</v>
      </c>
      <c r="M278" s="272">
        <v>44593</v>
      </c>
      <c r="N278" s="272">
        <v>44925</v>
      </c>
      <c r="O278" s="272">
        <v>44652</v>
      </c>
      <c r="P278" s="273">
        <f>+(+_xlfn.DAYS(M278,O278))/(+_xlfn.DAYS(M278,N278))</f>
        <v>0.17771084337349397</v>
      </c>
      <c r="Q278" s="273">
        <f>+IF(P278&gt;=100,100,IF(P278&lt;=0,0,P278))</f>
        <v>0.17771084337349397</v>
      </c>
      <c r="R278" s="274">
        <v>1</v>
      </c>
      <c r="S278" s="275">
        <v>0.25</v>
      </c>
      <c r="T278" s="275">
        <v>0.5</v>
      </c>
      <c r="U278" s="275">
        <v>0.75</v>
      </c>
      <c r="V278" s="275">
        <v>1</v>
      </c>
      <c r="W278" s="275">
        <v>0.05</v>
      </c>
      <c r="X278" s="275" t="s">
        <v>1257</v>
      </c>
      <c r="Y278" s="341" t="s">
        <v>53</v>
      </c>
      <c r="Z278" s="316">
        <v>0</v>
      </c>
      <c r="AA278" s="275">
        <v>0.5</v>
      </c>
      <c r="AB278" s="277" t="s">
        <v>1258</v>
      </c>
      <c r="AC278" s="277" t="s">
        <v>1259</v>
      </c>
      <c r="AD278" s="276"/>
      <c r="AE278" s="277"/>
      <c r="AF278" s="277"/>
      <c r="AG278" s="276"/>
      <c r="AH278" s="277"/>
      <c r="AI278" s="277"/>
      <c r="AJ278" s="278"/>
    </row>
    <row r="279" spans="1:36" ht="99" hidden="1" customHeight="1" outlineLevel="1" x14ac:dyDescent="0.2">
      <c r="A279" s="637"/>
      <c r="B279" s="581"/>
      <c r="C279" s="581"/>
      <c r="D279" s="633"/>
      <c r="E279" s="542"/>
      <c r="F279" s="542"/>
      <c r="G279" s="805"/>
      <c r="H279" s="247" t="s">
        <v>1260</v>
      </c>
      <c r="I279" s="805"/>
      <c r="J279" s="251" t="s">
        <v>1261</v>
      </c>
      <c r="K279" s="251" t="s">
        <v>128</v>
      </c>
      <c r="L279" s="316">
        <v>0</v>
      </c>
      <c r="M279" s="272">
        <v>44593</v>
      </c>
      <c r="N279" s="272">
        <v>44925</v>
      </c>
      <c r="O279" s="272">
        <v>44652</v>
      </c>
      <c r="P279" s="273">
        <f>+(+_xlfn.DAYS(M279,O279))/(+_xlfn.DAYS(M279,N279))</f>
        <v>0.17771084337349397</v>
      </c>
      <c r="Q279" s="273">
        <f>+IF(P279&gt;=100,100,IF(P279&lt;=0,0,P279))</f>
        <v>0.17771084337349397</v>
      </c>
      <c r="R279" s="274">
        <v>1</v>
      </c>
      <c r="S279" s="275">
        <v>0.25</v>
      </c>
      <c r="T279" s="275">
        <v>0.5</v>
      </c>
      <c r="U279" s="275">
        <v>0.75</v>
      </c>
      <c r="V279" s="275">
        <v>1</v>
      </c>
      <c r="W279" s="275">
        <v>0.25</v>
      </c>
      <c r="X279" s="345" t="s">
        <v>1262</v>
      </c>
      <c r="Y279" s="341" t="s">
        <v>1263</v>
      </c>
      <c r="Z279" s="316"/>
      <c r="AA279" s="275">
        <v>0.5</v>
      </c>
      <c r="AB279" s="277" t="s">
        <v>1264</v>
      </c>
      <c r="AC279" s="277" t="s">
        <v>1265</v>
      </c>
      <c r="AD279" s="276"/>
      <c r="AE279" s="277"/>
      <c r="AF279" s="277"/>
      <c r="AG279" s="276"/>
      <c r="AH279" s="277"/>
      <c r="AI279" s="277"/>
      <c r="AJ279" s="278"/>
    </row>
    <row r="280" spans="1:36" ht="112.5" hidden="1" customHeight="1" outlineLevel="1" x14ac:dyDescent="0.2">
      <c r="A280" s="637"/>
      <c r="B280" s="581"/>
      <c r="C280" s="581"/>
      <c r="D280" s="633"/>
      <c r="E280" s="253" t="s">
        <v>1266</v>
      </c>
      <c r="F280" s="253" t="s">
        <v>44</v>
      </c>
      <c r="G280" s="247" t="s">
        <v>77</v>
      </c>
      <c r="H280" s="247" t="s">
        <v>1267</v>
      </c>
      <c r="I280" s="247" t="s">
        <v>1268</v>
      </c>
      <c r="J280" s="251" t="s">
        <v>505</v>
      </c>
      <c r="K280" s="326">
        <v>33960000</v>
      </c>
      <c r="L280" s="326">
        <v>9677000</v>
      </c>
      <c r="M280" s="272">
        <v>44593</v>
      </c>
      <c r="N280" s="272">
        <v>44925</v>
      </c>
      <c r="O280" s="272">
        <v>44652</v>
      </c>
      <c r="P280" s="273">
        <f t="shared" si="25"/>
        <v>0.17771084337349397</v>
      </c>
      <c r="Q280" s="273">
        <f t="shared" ref="Q280:Q281" si="40">+IF(P280&gt;=100,100,IF(P280&lt;=0,0,P280))</f>
        <v>0.17771084337349397</v>
      </c>
      <c r="R280" s="274">
        <v>1</v>
      </c>
      <c r="S280" s="275">
        <v>0.25</v>
      </c>
      <c r="T280" s="275">
        <v>0.5</v>
      </c>
      <c r="U280" s="275">
        <v>0.75</v>
      </c>
      <c r="V280" s="275">
        <v>1</v>
      </c>
      <c r="W280" s="275">
        <v>0.25</v>
      </c>
      <c r="X280" s="275" t="s">
        <v>1269</v>
      </c>
      <c r="Y280" s="341" t="s">
        <v>956</v>
      </c>
      <c r="Z280" s="326">
        <v>9677000</v>
      </c>
      <c r="AA280" s="275">
        <v>0.52</v>
      </c>
      <c r="AB280" s="275" t="s">
        <v>1269</v>
      </c>
      <c r="AC280" s="277" t="s">
        <v>727</v>
      </c>
      <c r="AD280" s="276"/>
      <c r="AE280" s="277"/>
      <c r="AF280" s="277"/>
      <c r="AG280" s="276"/>
      <c r="AH280" s="277"/>
      <c r="AI280" s="277"/>
      <c r="AJ280" s="278"/>
    </row>
    <row r="281" spans="1:36" ht="105" hidden="1" customHeight="1" outlineLevel="1" x14ac:dyDescent="0.2">
      <c r="A281" s="637"/>
      <c r="B281" s="581"/>
      <c r="C281" s="581"/>
      <c r="D281" s="633"/>
      <c r="E281" s="253" t="s">
        <v>1206</v>
      </c>
      <c r="F281" s="253" t="s">
        <v>1207</v>
      </c>
      <c r="G281" s="247" t="s">
        <v>1270</v>
      </c>
      <c r="H281" s="247" t="s">
        <v>1271</v>
      </c>
      <c r="I281" s="247" t="s">
        <v>1272</v>
      </c>
      <c r="J281" s="251" t="s">
        <v>1273</v>
      </c>
      <c r="K281" s="251" t="s">
        <v>128</v>
      </c>
      <c r="L281" s="316">
        <v>0</v>
      </c>
      <c r="M281" s="272">
        <v>44593</v>
      </c>
      <c r="N281" s="272">
        <v>44925</v>
      </c>
      <c r="O281" s="272">
        <v>44652</v>
      </c>
      <c r="P281" s="273">
        <f t="shared" si="25"/>
        <v>0.17771084337349397</v>
      </c>
      <c r="Q281" s="273">
        <f t="shared" si="40"/>
        <v>0.17771084337349397</v>
      </c>
      <c r="R281" s="274">
        <v>1</v>
      </c>
      <c r="S281" s="275">
        <v>0.25</v>
      </c>
      <c r="T281" s="275">
        <v>0.5</v>
      </c>
      <c r="U281" s="275">
        <v>0.75</v>
      </c>
      <c r="V281" s="275">
        <v>1</v>
      </c>
      <c r="W281" s="275">
        <v>0.25</v>
      </c>
      <c r="X281" s="341" t="s">
        <v>1274</v>
      </c>
      <c r="Y281" s="341" t="s">
        <v>1275</v>
      </c>
      <c r="Z281" s="316">
        <v>0</v>
      </c>
      <c r="AA281" s="275">
        <v>0.3</v>
      </c>
      <c r="AB281" s="277" t="s">
        <v>1276</v>
      </c>
      <c r="AC281" s="277" t="s">
        <v>53</v>
      </c>
      <c r="AD281" s="276"/>
      <c r="AE281" s="277"/>
      <c r="AF281" s="277"/>
      <c r="AG281" s="276"/>
      <c r="AH281" s="277"/>
      <c r="AI281" s="277"/>
      <c r="AJ281" s="278"/>
    </row>
    <row r="282" spans="1:36" ht="168.75" hidden="1" customHeight="1" outlineLevel="1" x14ac:dyDescent="0.2">
      <c r="A282" s="637"/>
      <c r="B282" s="581"/>
      <c r="C282" s="547"/>
      <c r="D282" s="633"/>
      <c r="E282" s="253" t="s">
        <v>1277</v>
      </c>
      <c r="F282" s="253" t="s">
        <v>1278</v>
      </c>
      <c r="G282" s="247" t="s">
        <v>1270</v>
      </c>
      <c r="H282" s="247" t="s">
        <v>1279</v>
      </c>
      <c r="I282" s="247" t="s">
        <v>1280</v>
      </c>
      <c r="J282" s="251" t="s">
        <v>1281</v>
      </c>
      <c r="K282" s="251" t="s">
        <v>128</v>
      </c>
      <c r="L282" s="316">
        <v>0</v>
      </c>
      <c r="M282" s="272">
        <v>44593</v>
      </c>
      <c r="N282" s="272">
        <v>44925</v>
      </c>
      <c r="O282" s="272">
        <v>44652</v>
      </c>
      <c r="P282" s="273">
        <f t="shared" si="25"/>
        <v>0.17771084337349397</v>
      </c>
      <c r="Q282" s="273">
        <f t="shared" si="26"/>
        <v>0.17771084337349397</v>
      </c>
      <c r="R282" s="274">
        <v>1</v>
      </c>
      <c r="S282" s="275">
        <v>0.25</v>
      </c>
      <c r="T282" s="275">
        <v>0.5</v>
      </c>
      <c r="U282" s="275">
        <v>0.75</v>
      </c>
      <c r="V282" s="275">
        <v>1</v>
      </c>
      <c r="W282" s="275">
        <v>0.25</v>
      </c>
      <c r="X282" s="275" t="s">
        <v>1282</v>
      </c>
      <c r="Y282" s="341" t="s">
        <v>1283</v>
      </c>
      <c r="Z282" s="316">
        <v>0</v>
      </c>
      <c r="AA282" s="275">
        <v>0.25</v>
      </c>
      <c r="AB282" s="277" t="s">
        <v>1092</v>
      </c>
      <c r="AC282" s="277" t="s">
        <v>53</v>
      </c>
      <c r="AD282" s="276"/>
      <c r="AE282" s="277"/>
      <c r="AF282" s="277"/>
      <c r="AG282" s="276"/>
      <c r="AH282" s="277"/>
      <c r="AI282" s="277"/>
      <c r="AJ282" s="278"/>
    </row>
    <row r="283" spans="1:36" ht="93.75" hidden="1" customHeight="1" outlineLevel="1" x14ac:dyDescent="0.2">
      <c r="A283" s="637"/>
      <c r="B283" s="581"/>
      <c r="C283" s="546" t="s">
        <v>1284</v>
      </c>
      <c r="D283" s="633"/>
      <c r="E283" s="540" t="s">
        <v>1285</v>
      </c>
      <c r="F283" s="540" t="s">
        <v>110</v>
      </c>
      <c r="G283" s="579" t="s">
        <v>1286</v>
      </c>
      <c r="H283" s="247" t="s">
        <v>1287</v>
      </c>
      <c r="I283" s="247" t="s">
        <v>112</v>
      </c>
      <c r="J283" s="251" t="s">
        <v>1288</v>
      </c>
      <c r="K283" s="251" t="s">
        <v>128</v>
      </c>
      <c r="L283" s="316">
        <v>0</v>
      </c>
      <c r="M283" s="272">
        <v>44593</v>
      </c>
      <c r="N283" s="272">
        <v>44925</v>
      </c>
      <c r="O283" s="272">
        <v>44652</v>
      </c>
      <c r="P283" s="273">
        <f t="shared" ref="P283:P340" si="41">+(+_xlfn.DAYS(M283,O283))/(+_xlfn.DAYS(M283,N283))</f>
        <v>0.17771084337349397</v>
      </c>
      <c r="Q283" s="273">
        <f t="shared" ref="Q283:Q289" si="42">+IF(P283&gt;=100,100,IF(P283&lt;=0,0,P283))</f>
        <v>0.17771084337349397</v>
      </c>
      <c r="R283" s="274">
        <v>1</v>
      </c>
      <c r="S283" s="275">
        <v>0.25</v>
      </c>
      <c r="T283" s="275">
        <v>0.5</v>
      </c>
      <c r="U283" s="275">
        <v>0.75</v>
      </c>
      <c r="V283" s="275">
        <v>1</v>
      </c>
      <c r="W283" s="275">
        <v>0</v>
      </c>
      <c r="X283" s="275" t="s">
        <v>1289</v>
      </c>
      <c r="Y283" s="251" t="s">
        <v>53</v>
      </c>
      <c r="Z283" s="316">
        <v>0</v>
      </c>
      <c r="AA283" s="275">
        <v>0</v>
      </c>
      <c r="AB283" s="275" t="s">
        <v>1289</v>
      </c>
      <c r="AC283" s="277" t="s">
        <v>53</v>
      </c>
      <c r="AD283" s="276"/>
      <c r="AE283" s="277"/>
      <c r="AF283" s="277"/>
      <c r="AG283" s="276"/>
      <c r="AH283" s="277"/>
      <c r="AI283" s="277"/>
      <c r="AJ283" s="278"/>
    </row>
    <row r="284" spans="1:36" ht="125.25" hidden="1" customHeight="1" outlineLevel="1" x14ac:dyDescent="0.2">
      <c r="A284" s="637"/>
      <c r="B284" s="547"/>
      <c r="C284" s="547"/>
      <c r="D284" s="633"/>
      <c r="E284" s="542"/>
      <c r="F284" s="542"/>
      <c r="G284" s="593"/>
      <c r="H284" s="247" t="s">
        <v>1290</v>
      </c>
      <c r="I284" s="247" t="s">
        <v>1291</v>
      </c>
      <c r="J284" s="251" t="s">
        <v>1292</v>
      </c>
      <c r="K284" s="251" t="s">
        <v>128</v>
      </c>
      <c r="L284" s="316">
        <v>0</v>
      </c>
      <c r="M284" s="272">
        <v>44593</v>
      </c>
      <c r="N284" s="272">
        <v>44925</v>
      </c>
      <c r="O284" s="272">
        <v>44652</v>
      </c>
      <c r="P284" s="273">
        <f t="shared" si="41"/>
        <v>0.17771084337349397</v>
      </c>
      <c r="Q284" s="273">
        <f t="shared" ref="Q284" si="43">+IF(P284&gt;=100,100,IF(P284&lt;=0,0,P284))</f>
        <v>0.17771084337349397</v>
      </c>
      <c r="R284" s="274">
        <v>1</v>
      </c>
      <c r="S284" s="275">
        <v>0.25</v>
      </c>
      <c r="T284" s="275">
        <v>0.5</v>
      </c>
      <c r="U284" s="275">
        <v>0.75</v>
      </c>
      <c r="V284" s="275">
        <v>1</v>
      </c>
      <c r="W284" s="275">
        <v>0.25</v>
      </c>
      <c r="X284" s="345" t="s">
        <v>1293</v>
      </c>
      <c r="Y284" s="251" t="s">
        <v>53</v>
      </c>
      <c r="Z284" s="316">
        <v>0</v>
      </c>
      <c r="AA284" s="275">
        <v>0.5</v>
      </c>
      <c r="AB284" s="277" t="s">
        <v>1294</v>
      </c>
      <c r="AC284" s="277" t="s">
        <v>53</v>
      </c>
      <c r="AD284" s="276"/>
      <c r="AE284" s="277"/>
      <c r="AF284" s="277"/>
      <c r="AG284" s="276"/>
      <c r="AH284" s="277"/>
      <c r="AI284" s="277"/>
      <c r="AJ284" s="278"/>
    </row>
    <row r="285" spans="1:36" ht="131.25" hidden="1" customHeight="1" outlineLevel="1" x14ac:dyDescent="0.2">
      <c r="A285" s="637"/>
      <c r="B285" s="546" t="s">
        <v>983</v>
      </c>
      <c r="C285" s="416" t="s">
        <v>1295</v>
      </c>
      <c r="D285" s="633"/>
      <c r="E285" s="540" t="s">
        <v>1015</v>
      </c>
      <c r="F285" s="540" t="s">
        <v>1085</v>
      </c>
      <c r="G285" s="579" t="s">
        <v>1270</v>
      </c>
      <c r="H285" s="247" t="s">
        <v>1296</v>
      </c>
      <c r="I285" s="247" t="s">
        <v>1270</v>
      </c>
      <c r="J285" s="251" t="s">
        <v>1297</v>
      </c>
      <c r="K285" s="251" t="s">
        <v>128</v>
      </c>
      <c r="L285" s="316">
        <v>0</v>
      </c>
      <c r="M285" s="272">
        <v>44593</v>
      </c>
      <c r="N285" s="272">
        <v>44925</v>
      </c>
      <c r="O285" s="272">
        <v>44652</v>
      </c>
      <c r="P285" s="273">
        <f t="shared" si="41"/>
        <v>0.17771084337349397</v>
      </c>
      <c r="Q285" s="273">
        <f t="shared" si="42"/>
        <v>0.17771084337349397</v>
      </c>
      <c r="R285" s="274">
        <v>1</v>
      </c>
      <c r="S285" s="275">
        <v>0.25</v>
      </c>
      <c r="T285" s="275">
        <v>0.5</v>
      </c>
      <c r="U285" s="275">
        <v>0.75</v>
      </c>
      <c r="V285" s="275">
        <v>1</v>
      </c>
      <c r="W285" s="275">
        <v>0.25</v>
      </c>
      <c r="X285" s="275" t="s">
        <v>1298</v>
      </c>
      <c r="Y285" s="251" t="s">
        <v>53</v>
      </c>
      <c r="Z285" s="316">
        <v>0</v>
      </c>
      <c r="AA285" s="275">
        <v>0.5</v>
      </c>
      <c r="AB285" s="277" t="s">
        <v>1299</v>
      </c>
      <c r="AC285" s="277" t="s">
        <v>1300</v>
      </c>
      <c r="AD285" s="276"/>
      <c r="AE285" s="277"/>
      <c r="AF285" s="277"/>
      <c r="AG285" s="276"/>
      <c r="AH285" s="277"/>
      <c r="AI285" s="277"/>
      <c r="AJ285" s="278"/>
    </row>
    <row r="286" spans="1:36" ht="131.25" hidden="1" customHeight="1" outlineLevel="1" x14ac:dyDescent="0.2">
      <c r="A286" s="637"/>
      <c r="B286" s="581"/>
      <c r="C286" s="414"/>
      <c r="D286" s="633"/>
      <c r="E286" s="541"/>
      <c r="F286" s="541"/>
      <c r="G286" s="580"/>
      <c r="H286" s="247" t="s">
        <v>1301</v>
      </c>
      <c r="I286" s="247"/>
      <c r="J286" s="251"/>
      <c r="K286" s="251" t="s">
        <v>128</v>
      </c>
      <c r="L286" s="316">
        <v>0</v>
      </c>
      <c r="M286" s="272">
        <v>44593</v>
      </c>
      <c r="N286" s="272">
        <v>44925</v>
      </c>
      <c r="O286" s="272">
        <v>44652</v>
      </c>
      <c r="P286" s="273">
        <f t="shared" si="41"/>
        <v>0.17771084337349397</v>
      </c>
      <c r="Q286" s="273">
        <f t="shared" si="42"/>
        <v>0.17771084337349397</v>
      </c>
      <c r="R286" s="274">
        <v>1</v>
      </c>
      <c r="S286" s="275">
        <v>0.25</v>
      </c>
      <c r="T286" s="275">
        <v>0.5</v>
      </c>
      <c r="U286" s="275">
        <v>0.75</v>
      </c>
      <c r="V286" s="275">
        <v>1</v>
      </c>
      <c r="W286" s="275">
        <v>0.25</v>
      </c>
      <c r="X286" s="275" t="s">
        <v>1302</v>
      </c>
      <c r="Y286" s="251" t="s">
        <v>53</v>
      </c>
      <c r="Z286" s="316">
        <v>0</v>
      </c>
      <c r="AA286" s="275">
        <v>0.5</v>
      </c>
      <c r="AB286" s="275" t="s">
        <v>1303</v>
      </c>
      <c r="AC286" s="277" t="s">
        <v>1304</v>
      </c>
      <c r="AD286" s="276"/>
      <c r="AE286" s="277"/>
      <c r="AF286" s="277"/>
      <c r="AG286" s="276"/>
      <c r="AH286" s="277"/>
      <c r="AI286" s="277"/>
      <c r="AJ286" s="278"/>
    </row>
    <row r="287" spans="1:36" ht="56.25" hidden="1" customHeight="1" outlineLevel="1" x14ac:dyDescent="0.2">
      <c r="A287" s="637"/>
      <c r="B287" s="581"/>
      <c r="C287" s="581"/>
      <c r="D287" s="633"/>
      <c r="E287" s="541"/>
      <c r="F287" s="541"/>
      <c r="G287" s="580"/>
      <c r="H287" s="247" t="s">
        <v>1305</v>
      </c>
      <c r="I287" s="247" t="s">
        <v>1306</v>
      </c>
      <c r="J287" s="251" t="s">
        <v>1307</v>
      </c>
      <c r="K287" s="251"/>
      <c r="L287" s="316">
        <v>0</v>
      </c>
      <c r="M287" s="272">
        <v>44593</v>
      </c>
      <c r="N287" s="272">
        <v>44925</v>
      </c>
      <c r="O287" s="272">
        <v>44652</v>
      </c>
      <c r="P287" s="273">
        <f t="shared" si="41"/>
        <v>0.17771084337349397</v>
      </c>
      <c r="Q287" s="273">
        <f t="shared" si="42"/>
        <v>0.17771084337349397</v>
      </c>
      <c r="R287" s="274">
        <v>1</v>
      </c>
      <c r="S287" s="275">
        <v>0.25</v>
      </c>
      <c r="T287" s="275">
        <v>0.5</v>
      </c>
      <c r="U287" s="275">
        <v>0.75</v>
      </c>
      <c r="V287" s="275">
        <v>1</v>
      </c>
      <c r="W287" s="275">
        <v>0.2</v>
      </c>
      <c r="X287" s="275" t="s">
        <v>1308</v>
      </c>
      <c r="Y287" s="341" t="s">
        <v>53</v>
      </c>
      <c r="Z287" s="316">
        <v>0</v>
      </c>
      <c r="AA287" s="275">
        <v>0.4</v>
      </c>
      <c r="AB287" s="277" t="s">
        <v>1309</v>
      </c>
      <c r="AC287" s="277" t="s">
        <v>417</v>
      </c>
      <c r="AD287" s="276"/>
      <c r="AE287" s="277"/>
      <c r="AF287" s="277"/>
      <c r="AG287" s="276"/>
      <c r="AH287" s="277"/>
      <c r="AI287" s="277"/>
      <c r="AJ287" s="278"/>
    </row>
    <row r="288" spans="1:36" ht="56.25" hidden="1" customHeight="1" outlineLevel="1" x14ac:dyDescent="0.2">
      <c r="A288" s="637"/>
      <c r="B288" s="581"/>
      <c r="C288" s="547"/>
      <c r="D288" s="633"/>
      <c r="E288" s="542"/>
      <c r="F288" s="542"/>
      <c r="G288" s="593"/>
      <c r="H288" s="247" t="s">
        <v>1310</v>
      </c>
      <c r="I288" s="247" t="s">
        <v>1306</v>
      </c>
      <c r="J288" s="251" t="s">
        <v>1307</v>
      </c>
      <c r="K288" s="251" t="s">
        <v>128</v>
      </c>
      <c r="L288" s="316">
        <v>0</v>
      </c>
      <c r="M288" s="272">
        <v>44593</v>
      </c>
      <c r="N288" s="272">
        <v>44925</v>
      </c>
      <c r="O288" s="272">
        <v>44652</v>
      </c>
      <c r="P288" s="273">
        <f t="shared" si="41"/>
        <v>0.17771084337349397</v>
      </c>
      <c r="Q288" s="273">
        <f t="shared" si="42"/>
        <v>0.17771084337349397</v>
      </c>
      <c r="R288" s="274">
        <v>1</v>
      </c>
      <c r="S288" s="275">
        <v>0.25</v>
      </c>
      <c r="T288" s="275">
        <v>0.5</v>
      </c>
      <c r="U288" s="275">
        <v>0.75</v>
      </c>
      <c r="V288" s="275">
        <v>1</v>
      </c>
      <c r="W288" s="275">
        <v>0.2</v>
      </c>
      <c r="X288" s="275" t="s">
        <v>1311</v>
      </c>
      <c r="Y288" s="341" t="s">
        <v>53</v>
      </c>
      <c r="Z288" s="316">
        <v>0</v>
      </c>
      <c r="AA288" s="275">
        <v>0.2</v>
      </c>
      <c r="AB288" s="277" t="s">
        <v>1092</v>
      </c>
      <c r="AC288" s="277" t="s">
        <v>53</v>
      </c>
      <c r="AD288" s="276"/>
      <c r="AE288" s="277"/>
      <c r="AF288" s="277"/>
      <c r="AG288" s="276"/>
      <c r="AH288" s="277"/>
      <c r="AI288" s="277"/>
      <c r="AJ288" s="278"/>
    </row>
    <row r="289" spans="1:36" ht="97.9" hidden="1" customHeight="1" outlineLevel="1" x14ac:dyDescent="0.2">
      <c r="A289" s="637"/>
      <c r="B289" s="547"/>
      <c r="C289" s="416" t="s">
        <v>1312</v>
      </c>
      <c r="D289" s="634"/>
      <c r="E289" s="253" t="s">
        <v>1313</v>
      </c>
      <c r="F289" s="253" t="s">
        <v>1314</v>
      </c>
      <c r="G289" s="247" t="s">
        <v>1241</v>
      </c>
      <c r="H289" s="247" t="s">
        <v>1315</v>
      </c>
      <c r="I289" s="247" t="s">
        <v>1316</v>
      </c>
      <c r="J289" s="251" t="s">
        <v>1317</v>
      </c>
      <c r="K289" s="251" t="s">
        <v>128</v>
      </c>
      <c r="L289" s="316">
        <v>0</v>
      </c>
      <c r="M289" s="272">
        <v>44593</v>
      </c>
      <c r="N289" s="272">
        <v>44925</v>
      </c>
      <c r="O289" s="272">
        <v>44652</v>
      </c>
      <c r="P289" s="273">
        <f t="shared" si="41"/>
        <v>0.17771084337349397</v>
      </c>
      <c r="Q289" s="273">
        <f t="shared" si="42"/>
        <v>0.17771084337349397</v>
      </c>
      <c r="R289" s="274">
        <v>1</v>
      </c>
      <c r="S289" s="275">
        <v>0.25</v>
      </c>
      <c r="T289" s="275">
        <v>0.5</v>
      </c>
      <c r="U289" s="275">
        <v>0.75</v>
      </c>
      <c r="V289" s="275">
        <v>1</v>
      </c>
      <c r="W289" s="275">
        <v>0.05</v>
      </c>
      <c r="X289" s="275" t="s">
        <v>1318</v>
      </c>
      <c r="Y289" s="251" t="s">
        <v>53</v>
      </c>
      <c r="Z289" s="316">
        <v>0</v>
      </c>
      <c r="AA289" s="275">
        <v>0.45</v>
      </c>
      <c r="AB289" s="277" t="s">
        <v>1319</v>
      </c>
      <c r="AC289" s="277" t="s">
        <v>1320</v>
      </c>
      <c r="AD289" s="276"/>
      <c r="AE289" s="277"/>
      <c r="AF289" s="277"/>
      <c r="AG289" s="276"/>
      <c r="AH289" s="277"/>
      <c r="AI289" s="277"/>
      <c r="AJ289" s="278"/>
    </row>
    <row r="290" spans="1:36" ht="72" hidden="1" customHeight="1" outlineLevel="1" x14ac:dyDescent="0.2">
      <c r="A290" s="637"/>
      <c r="B290" s="582" t="s">
        <v>40</v>
      </c>
      <c r="C290" s="546" t="s">
        <v>1284</v>
      </c>
      <c r="D290" s="535" t="s">
        <v>1321</v>
      </c>
      <c r="E290" s="532" t="s">
        <v>1285</v>
      </c>
      <c r="F290" s="532" t="s">
        <v>110</v>
      </c>
      <c r="G290" s="532" t="s">
        <v>1322</v>
      </c>
      <c r="H290" s="10" t="s">
        <v>1291</v>
      </c>
      <c r="I290" s="553" t="s">
        <v>112</v>
      </c>
      <c r="J290" s="550" t="s">
        <v>1323</v>
      </c>
      <c r="K290" s="251" t="s">
        <v>128</v>
      </c>
      <c r="L290" s="316">
        <v>0</v>
      </c>
      <c r="M290" s="272">
        <v>44593</v>
      </c>
      <c r="N290" s="272">
        <v>44925</v>
      </c>
      <c r="O290" s="272">
        <v>44652</v>
      </c>
      <c r="P290" s="273">
        <f t="shared" si="41"/>
        <v>0.17771084337349397</v>
      </c>
      <c r="Q290" s="273">
        <f t="shared" si="26"/>
        <v>0.17771084337349397</v>
      </c>
      <c r="R290" s="274">
        <v>1</v>
      </c>
      <c r="S290" s="275">
        <v>0.25</v>
      </c>
      <c r="T290" s="275">
        <v>0.5</v>
      </c>
      <c r="U290" s="275">
        <v>0.75</v>
      </c>
      <c r="V290" s="275">
        <v>1</v>
      </c>
      <c r="W290" s="275">
        <v>0.25</v>
      </c>
      <c r="X290" s="275" t="s">
        <v>1324</v>
      </c>
      <c r="Y290" s="341" t="s">
        <v>1325</v>
      </c>
      <c r="Z290" s="316">
        <v>0</v>
      </c>
      <c r="AA290" s="275">
        <v>0.4</v>
      </c>
      <c r="AB290" s="277" t="s">
        <v>2221</v>
      </c>
      <c r="AC290" s="277" t="s">
        <v>53</v>
      </c>
      <c r="AD290" s="276"/>
      <c r="AE290" s="277"/>
      <c r="AF290" s="277"/>
      <c r="AG290" s="276"/>
      <c r="AH290" s="277"/>
      <c r="AI290" s="277"/>
      <c r="AJ290" s="278"/>
    </row>
    <row r="291" spans="1:36" ht="54" hidden="1" customHeight="1" outlineLevel="1" x14ac:dyDescent="0.2">
      <c r="A291" s="637"/>
      <c r="B291" s="582"/>
      <c r="C291" s="581"/>
      <c r="D291" s="535"/>
      <c r="E291" s="534"/>
      <c r="F291" s="534"/>
      <c r="G291" s="534"/>
      <c r="H291" s="10" t="s">
        <v>1326</v>
      </c>
      <c r="I291" s="554"/>
      <c r="J291" s="551"/>
      <c r="K291" s="251" t="s">
        <v>128</v>
      </c>
      <c r="L291" s="316">
        <v>0</v>
      </c>
      <c r="M291" s="272">
        <v>44593</v>
      </c>
      <c r="N291" s="272">
        <v>44925</v>
      </c>
      <c r="O291" s="272">
        <v>44652</v>
      </c>
      <c r="P291" s="273">
        <f t="shared" si="41"/>
        <v>0.17771084337349397</v>
      </c>
      <c r="Q291" s="273">
        <f t="shared" si="26"/>
        <v>0.17771084337349397</v>
      </c>
      <c r="R291" s="274">
        <v>1</v>
      </c>
      <c r="S291" s="275">
        <v>0.25</v>
      </c>
      <c r="T291" s="275">
        <v>0.5</v>
      </c>
      <c r="U291" s="275">
        <v>0.75</v>
      </c>
      <c r="V291" s="275">
        <v>1</v>
      </c>
      <c r="W291" s="275">
        <v>0</v>
      </c>
      <c r="X291" s="275" t="s">
        <v>1327</v>
      </c>
      <c r="Y291" s="251" t="s">
        <v>53</v>
      </c>
      <c r="Z291" s="316">
        <v>0</v>
      </c>
      <c r="AA291" s="275">
        <v>0.5</v>
      </c>
      <c r="AB291" s="277" t="s">
        <v>2222</v>
      </c>
      <c r="AC291" s="277" t="s">
        <v>2233</v>
      </c>
      <c r="AD291" s="276"/>
      <c r="AE291" s="277"/>
      <c r="AF291" s="277"/>
      <c r="AG291" s="276"/>
      <c r="AH291" s="277"/>
      <c r="AI291" s="277"/>
      <c r="AJ291" s="278"/>
    </row>
    <row r="292" spans="1:36" ht="57.6" hidden="1" customHeight="1" outlineLevel="1" x14ac:dyDescent="0.2">
      <c r="A292" s="637"/>
      <c r="B292" s="582"/>
      <c r="C292" s="581"/>
      <c r="D292" s="535"/>
      <c r="E292" s="534"/>
      <c r="F292" s="534"/>
      <c r="G292" s="534"/>
      <c r="H292" s="10" t="s">
        <v>1328</v>
      </c>
      <c r="I292" s="554"/>
      <c r="J292" s="551"/>
      <c r="K292" s="251" t="s">
        <v>128</v>
      </c>
      <c r="L292" s="316">
        <v>0</v>
      </c>
      <c r="M292" s="272">
        <v>44593</v>
      </c>
      <c r="N292" s="272">
        <v>44925</v>
      </c>
      <c r="O292" s="272">
        <v>44652</v>
      </c>
      <c r="P292" s="273">
        <f t="shared" si="41"/>
        <v>0.17771084337349397</v>
      </c>
      <c r="Q292" s="273">
        <f t="shared" si="26"/>
        <v>0.17771084337349397</v>
      </c>
      <c r="R292" s="274">
        <v>1</v>
      </c>
      <c r="S292" s="275">
        <v>0.25</v>
      </c>
      <c r="T292" s="275">
        <v>0.5</v>
      </c>
      <c r="U292" s="275">
        <v>0.75</v>
      </c>
      <c r="V292" s="275">
        <v>1</v>
      </c>
      <c r="W292" s="275">
        <v>0</v>
      </c>
      <c r="X292" s="275" t="s">
        <v>1327</v>
      </c>
      <c r="Y292" s="251" t="s">
        <v>53</v>
      </c>
      <c r="Z292" s="316">
        <v>0</v>
      </c>
      <c r="AA292" s="275">
        <v>0</v>
      </c>
      <c r="AB292" s="277" t="s">
        <v>2223</v>
      </c>
      <c r="AC292" s="277" t="s">
        <v>53</v>
      </c>
      <c r="AD292" s="276"/>
      <c r="AE292" s="277"/>
      <c r="AF292" s="277"/>
      <c r="AG292" s="276"/>
      <c r="AH292" s="277"/>
      <c r="AI292" s="277"/>
      <c r="AJ292" s="278"/>
    </row>
    <row r="293" spans="1:36" ht="46.5" hidden="1" customHeight="1" outlineLevel="1" x14ac:dyDescent="0.2">
      <c r="A293" s="637"/>
      <c r="B293" s="582"/>
      <c r="C293" s="581"/>
      <c r="D293" s="535"/>
      <c r="E293" s="534"/>
      <c r="F293" s="534"/>
      <c r="G293" s="534"/>
      <c r="H293" s="10" t="s">
        <v>1329</v>
      </c>
      <c r="I293" s="554"/>
      <c r="J293" s="551"/>
      <c r="K293" s="251" t="s">
        <v>128</v>
      </c>
      <c r="L293" s="316">
        <v>0</v>
      </c>
      <c r="M293" s="272">
        <v>44593</v>
      </c>
      <c r="N293" s="272">
        <v>44925</v>
      </c>
      <c r="O293" s="272">
        <v>44652</v>
      </c>
      <c r="P293" s="273">
        <f t="shared" si="41"/>
        <v>0.17771084337349397</v>
      </c>
      <c r="Q293" s="273">
        <f t="shared" si="26"/>
        <v>0.17771084337349397</v>
      </c>
      <c r="R293" s="274">
        <v>1</v>
      </c>
      <c r="S293" s="275">
        <v>0.25</v>
      </c>
      <c r="T293" s="275">
        <v>0.5</v>
      </c>
      <c r="U293" s="275">
        <v>0.75</v>
      </c>
      <c r="V293" s="275">
        <v>1</v>
      </c>
      <c r="W293" s="275">
        <v>0.25</v>
      </c>
      <c r="X293" s="275" t="s">
        <v>1330</v>
      </c>
      <c r="Y293" s="341" t="s">
        <v>108</v>
      </c>
      <c r="Z293" s="316">
        <v>0</v>
      </c>
      <c r="AA293" s="275">
        <v>0.3</v>
      </c>
      <c r="AB293" s="277" t="s">
        <v>2224</v>
      </c>
      <c r="AC293" s="277" t="s">
        <v>53</v>
      </c>
      <c r="AD293" s="276"/>
      <c r="AE293" s="277"/>
      <c r="AF293" s="277"/>
      <c r="AG293" s="276"/>
      <c r="AH293" s="277"/>
      <c r="AI293" s="277"/>
      <c r="AJ293" s="278"/>
    </row>
    <row r="294" spans="1:36" ht="112.5" hidden="1" customHeight="1" outlineLevel="1" x14ac:dyDescent="0.2">
      <c r="A294" s="637"/>
      <c r="B294" s="582"/>
      <c r="C294" s="581"/>
      <c r="D294" s="535"/>
      <c r="E294" s="534"/>
      <c r="F294" s="534"/>
      <c r="G294" s="534"/>
      <c r="H294" s="10" t="s">
        <v>1331</v>
      </c>
      <c r="I294" s="554"/>
      <c r="J294" s="551"/>
      <c r="K294" s="251" t="s">
        <v>128</v>
      </c>
      <c r="L294" s="316">
        <v>0</v>
      </c>
      <c r="M294" s="272">
        <v>44593</v>
      </c>
      <c r="N294" s="272">
        <v>44925</v>
      </c>
      <c r="O294" s="272">
        <v>44652</v>
      </c>
      <c r="P294" s="273">
        <f t="shared" si="41"/>
        <v>0.17771084337349397</v>
      </c>
      <c r="Q294" s="273">
        <f t="shared" si="26"/>
        <v>0.17771084337349397</v>
      </c>
      <c r="R294" s="274">
        <v>1</v>
      </c>
      <c r="S294" s="275">
        <v>0.25</v>
      </c>
      <c r="T294" s="275">
        <v>0.5</v>
      </c>
      <c r="U294" s="275">
        <v>0.75</v>
      </c>
      <c r="V294" s="275">
        <v>1</v>
      </c>
      <c r="W294" s="275">
        <v>0</v>
      </c>
      <c r="X294" s="275" t="s">
        <v>1332</v>
      </c>
      <c r="Y294" s="251" t="s">
        <v>53</v>
      </c>
      <c r="Z294" s="316">
        <v>0</v>
      </c>
      <c r="AA294" s="275">
        <v>0.2</v>
      </c>
      <c r="AB294" s="277" t="s">
        <v>2225</v>
      </c>
      <c r="AC294" s="277" t="s">
        <v>53</v>
      </c>
      <c r="AD294" s="276"/>
      <c r="AE294" s="277"/>
      <c r="AF294" s="277"/>
      <c r="AG294" s="276"/>
      <c r="AH294" s="277"/>
      <c r="AI294" s="277"/>
      <c r="AJ294" s="278"/>
    </row>
    <row r="295" spans="1:36" ht="57.6" hidden="1" customHeight="1" outlineLevel="1" x14ac:dyDescent="0.2">
      <c r="A295" s="637"/>
      <c r="B295" s="582"/>
      <c r="C295" s="581"/>
      <c r="D295" s="535"/>
      <c r="E295" s="534"/>
      <c r="F295" s="534"/>
      <c r="G295" s="534"/>
      <c r="H295" s="10" t="s">
        <v>1333</v>
      </c>
      <c r="I295" s="554"/>
      <c r="J295" s="551"/>
      <c r="K295" s="251" t="s">
        <v>128</v>
      </c>
      <c r="L295" s="316">
        <v>0</v>
      </c>
      <c r="M295" s="272">
        <v>44593</v>
      </c>
      <c r="N295" s="272">
        <v>44925</v>
      </c>
      <c r="O295" s="272">
        <v>44652</v>
      </c>
      <c r="P295" s="273">
        <f t="shared" si="41"/>
        <v>0.17771084337349397</v>
      </c>
      <c r="Q295" s="273">
        <f t="shared" ref="Q295:Q297" si="44">+IF(P295&gt;=100,100,IF(P295&lt;=0,0,P295))</f>
        <v>0.17771084337349397</v>
      </c>
      <c r="R295" s="274">
        <v>1</v>
      </c>
      <c r="S295" s="275">
        <v>0.25</v>
      </c>
      <c r="T295" s="275">
        <v>0.5</v>
      </c>
      <c r="U295" s="275">
        <v>0.75</v>
      </c>
      <c r="V295" s="275">
        <v>1</v>
      </c>
      <c r="W295" s="275">
        <v>0</v>
      </c>
      <c r="X295" s="275" t="s">
        <v>1334</v>
      </c>
      <c r="Y295" s="251" t="s">
        <v>53</v>
      </c>
      <c r="Z295" s="316">
        <v>0</v>
      </c>
      <c r="AA295" s="275">
        <v>0.5</v>
      </c>
      <c r="AB295" s="277" t="s">
        <v>2226</v>
      </c>
      <c r="AC295" s="277" t="s">
        <v>53</v>
      </c>
      <c r="AD295" s="276"/>
      <c r="AE295" s="277"/>
      <c r="AF295" s="277"/>
      <c r="AG295" s="276"/>
      <c r="AH295" s="277"/>
      <c r="AI295" s="277"/>
      <c r="AJ295" s="278"/>
    </row>
    <row r="296" spans="1:36" ht="57.6" hidden="1" customHeight="1" outlineLevel="1" x14ac:dyDescent="0.2">
      <c r="A296" s="637"/>
      <c r="B296" s="582"/>
      <c r="C296" s="581"/>
      <c r="D296" s="535"/>
      <c r="E296" s="534"/>
      <c r="F296" s="534"/>
      <c r="G296" s="534"/>
      <c r="H296" s="10" t="s">
        <v>2232</v>
      </c>
      <c r="I296" s="554"/>
      <c r="J296" s="551"/>
      <c r="K296" s="251" t="s">
        <v>128</v>
      </c>
      <c r="L296" s="316">
        <v>0</v>
      </c>
      <c r="M296" s="272"/>
      <c r="N296" s="272"/>
      <c r="O296" s="272"/>
      <c r="P296" s="273"/>
      <c r="Q296" s="273"/>
      <c r="R296" s="274"/>
      <c r="S296" s="275"/>
      <c r="T296" s="275"/>
      <c r="U296" s="275"/>
      <c r="V296" s="275"/>
      <c r="W296" s="275">
        <v>0</v>
      </c>
      <c r="X296" s="275" t="s">
        <v>53</v>
      </c>
      <c r="Y296" s="251"/>
      <c r="Z296" s="316">
        <v>0</v>
      </c>
      <c r="AA296" s="275">
        <v>0.1</v>
      </c>
      <c r="AB296" s="277" t="s">
        <v>2227</v>
      </c>
      <c r="AC296" s="277" t="s">
        <v>53</v>
      </c>
      <c r="AD296" s="276"/>
      <c r="AE296" s="277"/>
      <c r="AF296" s="277"/>
      <c r="AG296" s="276"/>
      <c r="AH296" s="277"/>
      <c r="AI296" s="277"/>
      <c r="AJ296" s="278"/>
    </row>
    <row r="297" spans="1:36" ht="92.25" hidden="1" customHeight="1" outlineLevel="1" x14ac:dyDescent="0.2">
      <c r="A297" s="637"/>
      <c r="B297" s="416" t="s">
        <v>983</v>
      </c>
      <c r="C297" s="416" t="s">
        <v>1336</v>
      </c>
      <c r="D297" s="535"/>
      <c r="E297" s="246" t="s">
        <v>1337</v>
      </c>
      <c r="F297" s="246" t="s">
        <v>1338</v>
      </c>
      <c r="G297" s="246" t="s">
        <v>45</v>
      </c>
      <c r="H297" s="10" t="s">
        <v>1339</v>
      </c>
      <c r="I297" s="10" t="s">
        <v>1340</v>
      </c>
      <c r="J297" s="251" t="s">
        <v>1341</v>
      </c>
      <c r="K297" s="251" t="s">
        <v>128</v>
      </c>
      <c r="L297" s="351">
        <v>10000000</v>
      </c>
      <c r="M297" s="272">
        <v>44593</v>
      </c>
      <c r="N297" s="272">
        <v>44925</v>
      </c>
      <c r="O297" s="272">
        <v>44652</v>
      </c>
      <c r="P297" s="273">
        <f t="shared" si="41"/>
        <v>0.17771084337349397</v>
      </c>
      <c r="Q297" s="273">
        <f t="shared" si="44"/>
        <v>0.17771084337349397</v>
      </c>
      <c r="R297" s="274">
        <v>1</v>
      </c>
      <c r="S297" s="275">
        <v>0.25</v>
      </c>
      <c r="T297" s="275">
        <v>0.5</v>
      </c>
      <c r="U297" s="275">
        <v>0.75</v>
      </c>
      <c r="V297" s="275">
        <v>1</v>
      </c>
      <c r="W297" s="275">
        <v>0.2</v>
      </c>
      <c r="X297" s="275" t="s">
        <v>1342</v>
      </c>
      <c r="Y297" s="251" t="s">
        <v>53</v>
      </c>
      <c r="Z297" s="316">
        <v>0</v>
      </c>
      <c r="AA297" s="275">
        <v>0.25</v>
      </c>
      <c r="AB297" s="277" t="s">
        <v>2228</v>
      </c>
      <c r="AC297" s="277" t="s">
        <v>53</v>
      </c>
      <c r="AD297" s="276"/>
      <c r="AE297" s="277"/>
      <c r="AF297" s="277"/>
      <c r="AG297" s="276"/>
      <c r="AH297" s="277"/>
      <c r="AI297" s="277"/>
      <c r="AJ297" s="278"/>
    </row>
    <row r="298" spans="1:36" ht="105" hidden="1" customHeight="1" outlineLevel="1" x14ac:dyDescent="0.2">
      <c r="A298" s="637"/>
      <c r="B298" s="546" t="s">
        <v>40</v>
      </c>
      <c r="C298" s="546" t="s">
        <v>1187</v>
      </c>
      <c r="D298" s="535"/>
      <c r="E298" s="532" t="s">
        <v>1277</v>
      </c>
      <c r="F298" s="532" t="s">
        <v>1343</v>
      </c>
      <c r="G298" s="532" t="s">
        <v>1344</v>
      </c>
      <c r="H298" s="10" t="s">
        <v>1345</v>
      </c>
      <c r="I298" s="553" t="s">
        <v>1280</v>
      </c>
      <c r="J298" s="550" t="s">
        <v>1346</v>
      </c>
      <c r="K298" s="251" t="s">
        <v>128</v>
      </c>
      <c r="L298" s="316">
        <v>0</v>
      </c>
      <c r="M298" s="272">
        <v>44593</v>
      </c>
      <c r="N298" s="272">
        <v>44925</v>
      </c>
      <c r="O298" s="272">
        <v>44652</v>
      </c>
      <c r="P298" s="273">
        <f t="shared" si="41"/>
        <v>0.17771084337349397</v>
      </c>
      <c r="Q298" s="273">
        <f t="shared" si="26"/>
        <v>0.17771084337349397</v>
      </c>
      <c r="R298" s="274">
        <v>1</v>
      </c>
      <c r="S298" s="275">
        <v>0.25</v>
      </c>
      <c r="T298" s="275">
        <v>0.5</v>
      </c>
      <c r="U298" s="275">
        <v>0.75</v>
      </c>
      <c r="V298" s="275">
        <v>1</v>
      </c>
      <c r="W298" s="275">
        <v>0.25</v>
      </c>
      <c r="X298" s="275" t="s">
        <v>1347</v>
      </c>
      <c r="Y298" s="251" t="s">
        <v>53</v>
      </c>
      <c r="Z298" s="316">
        <v>0</v>
      </c>
      <c r="AA298" s="275">
        <v>0.3</v>
      </c>
      <c r="AB298" s="488" t="s">
        <v>2229</v>
      </c>
      <c r="AC298" s="277" t="s">
        <v>53</v>
      </c>
      <c r="AD298" s="276"/>
      <c r="AE298" s="277"/>
      <c r="AF298" s="277"/>
      <c r="AG298" s="276"/>
      <c r="AH298" s="277"/>
      <c r="AI298" s="277"/>
      <c r="AJ298" s="278"/>
    </row>
    <row r="299" spans="1:36" ht="56.25" hidden="1" customHeight="1" outlineLevel="1" x14ac:dyDescent="0.2">
      <c r="A299" s="637"/>
      <c r="B299" s="581"/>
      <c r="C299" s="581"/>
      <c r="D299" s="535"/>
      <c r="E299" s="533"/>
      <c r="F299" s="533"/>
      <c r="G299" s="533"/>
      <c r="H299" s="10" t="s">
        <v>1346</v>
      </c>
      <c r="I299" s="555"/>
      <c r="J299" s="552"/>
      <c r="K299" s="251" t="s">
        <v>128</v>
      </c>
      <c r="L299" s="316">
        <v>0</v>
      </c>
      <c r="M299" s="272">
        <v>44593</v>
      </c>
      <c r="N299" s="272">
        <v>44925</v>
      </c>
      <c r="O299" s="272">
        <v>44652</v>
      </c>
      <c r="P299" s="273">
        <f t="shared" si="41"/>
        <v>0.17771084337349397</v>
      </c>
      <c r="Q299" s="273">
        <f t="shared" ref="Q299:Q301" si="45">+IF(P299&gt;=100,100,IF(P299&lt;=0,0,P299))</f>
        <v>0.17771084337349397</v>
      </c>
      <c r="R299" s="274">
        <v>1</v>
      </c>
      <c r="S299" s="275">
        <v>0.25</v>
      </c>
      <c r="T299" s="275">
        <v>0.5</v>
      </c>
      <c r="U299" s="275">
        <v>0.75</v>
      </c>
      <c r="V299" s="275">
        <v>1</v>
      </c>
      <c r="W299" s="275">
        <v>0.1</v>
      </c>
      <c r="X299" s="275" t="s">
        <v>1348</v>
      </c>
      <c r="Y299" s="353" t="s">
        <v>53</v>
      </c>
      <c r="Z299" s="316">
        <v>0</v>
      </c>
      <c r="AA299" s="275">
        <v>0.5</v>
      </c>
      <c r="AB299" s="277" t="s">
        <v>2230</v>
      </c>
      <c r="AC299" s="277" t="s">
        <v>53</v>
      </c>
      <c r="AD299" s="276"/>
      <c r="AE299" s="277"/>
      <c r="AF299" s="277"/>
      <c r="AG299" s="276"/>
      <c r="AH299" s="277"/>
      <c r="AI299" s="277"/>
      <c r="AJ299" s="278"/>
    </row>
    <row r="300" spans="1:36" ht="46.9" hidden="1" customHeight="1" outlineLevel="1" x14ac:dyDescent="0.2">
      <c r="A300" s="637"/>
      <c r="B300" s="581"/>
      <c r="C300" s="581"/>
      <c r="D300" s="535"/>
      <c r="E300" s="532" t="s">
        <v>1349</v>
      </c>
      <c r="F300" s="246" t="s">
        <v>44</v>
      </c>
      <c r="G300" s="246" t="s">
        <v>1350</v>
      </c>
      <c r="H300" s="10" t="s">
        <v>1267</v>
      </c>
      <c r="I300" s="10" t="s">
        <v>47</v>
      </c>
      <c r="J300" s="251" t="s">
        <v>205</v>
      </c>
      <c r="K300" s="251" t="s">
        <v>128</v>
      </c>
      <c r="L300" s="346">
        <v>33960500</v>
      </c>
      <c r="M300" s="272">
        <v>44593</v>
      </c>
      <c r="N300" s="272">
        <v>44925</v>
      </c>
      <c r="O300" s="272">
        <v>44652</v>
      </c>
      <c r="P300" s="273">
        <f t="shared" si="41"/>
        <v>0.17771084337349397</v>
      </c>
      <c r="Q300" s="273">
        <f t="shared" si="45"/>
        <v>0.17771084337349397</v>
      </c>
      <c r="R300" s="274">
        <v>1</v>
      </c>
      <c r="S300" s="275">
        <v>0.25</v>
      </c>
      <c r="T300" s="275">
        <v>0.5</v>
      </c>
      <c r="U300" s="275">
        <v>0.75</v>
      </c>
      <c r="V300" s="275">
        <v>1</v>
      </c>
      <c r="W300" s="275">
        <v>0.25</v>
      </c>
      <c r="X300" s="275" t="s">
        <v>1351</v>
      </c>
      <c r="Y300" s="341" t="s">
        <v>727</v>
      </c>
      <c r="Z300" s="351">
        <v>17693420</v>
      </c>
      <c r="AA300" s="275">
        <v>0.52</v>
      </c>
      <c r="AB300" s="275" t="s">
        <v>1351</v>
      </c>
      <c r="AC300" s="277" t="s">
        <v>340</v>
      </c>
      <c r="AD300" s="276"/>
      <c r="AE300" s="277"/>
      <c r="AF300" s="277"/>
      <c r="AG300" s="276"/>
      <c r="AH300" s="277"/>
      <c r="AI300" s="277"/>
      <c r="AJ300" s="278"/>
    </row>
    <row r="301" spans="1:36" ht="62.45" hidden="1" customHeight="1" outlineLevel="1" x14ac:dyDescent="0.2">
      <c r="A301" s="637"/>
      <c r="B301" s="581"/>
      <c r="C301" s="581"/>
      <c r="D301" s="535"/>
      <c r="E301" s="533"/>
      <c r="F301" s="246" t="s">
        <v>464</v>
      </c>
      <c r="G301" s="246" t="s">
        <v>1350</v>
      </c>
      <c r="H301" s="10" t="s">
        <v>1352</v>
      </c>
      <c r="I301" s="10" t="s">
        <v>467</v>
      </c>
      <c r="J301" s="251" t="s">
        <v>205</v>
      </c>
      <c r="K301" s="251" t="s">
        <v>128</v>
      </c>
      <c r="L301" s="346">
        <v>17325000</v>
      </c>
      <c r="M301" s="272">
        <v>44593</v>
      </c>
      <c r="N301" s="272">
        <v>44925</v>
      </c>
      <c r="O301" s="272">
        <v>44652</v>
      </c>
      <c r="P301" s="273">
        <f t="shared" si="41"/>
        <v>0.17771084337349397</v>
      </c>
      <c r="Q301" s="273">
        <f t="shared" si="45"/>
        <v>0.17771084337349397</v>
      </c>
      <c r="R301" s="274">
        <v>1</v>
      </c>
      <c r="S301" s="275">
        <v>0.25</v>
      </c>
      <c r="T301" s="275">
        <v>0.5</v>
      </c>
      <c r="U301" s="275">
        <v>0.75</v>
      </c>
      <c r="V301" s="275">
        <v>1</v>
      </c>
      <c r="W301" s="275">
        <v>0.25</v>
      </c>
      <c r="X301" s="275" t="s">
        <v>1353</v>
      </c>
      <c r="Y301" s="341" t="s">
        <v>727</v>
      </c>
      <c r="Z301" s="351">
        <v>6930000</v>
      </c>
      <c r="AA301" s="275">
        <v>0.4</v>
      </c>
      <c r="AB301" s="275" t="s">
        <v>1353</v>
      </c>
      <c r="AC301" s="277" t="s">
        <v>340</v>
      </c>
      <c r="AD301" s="276"/>
      <c r="AE301" s="277"/>
      <c r="AF301" s="277"/>
      <c r="AG301" s="276"/>
      <c r="AH301" s="277"/>
      <c r="AI301" s="277"/>
      <c r="AJ301" s="278"/>
    </row>
    <row r="302" spans="1:36" ht="93.75" hidden="1" customHeight="1" outlineLevel="1" x14ac:dyDescent="0.2">
      <c r="A302" s="637"/>
      <c r="B302" s="547"/>
      <c r="C302" s="547"/>
      <c r="D302" s="535"/>
      <c r="E302" s="246" t="s">
        <v>1254</v>
      </c>
      <c r="F302" s="246" t="s">
        <v>191</v>
      </c>
      <c r="G302" s="246" t="s">
        <v>251</v>
      </c>
      <c r="H302" s="10" t="s">
        <v>1354</v>
      </c>
      <c r="I302" s="10" t="s">
        <v>194</v>
      </c>
      <c r="J302" s="251" t="s">
        <v>1355</v>
      </c>
      <c r="K302" s="251" t="s">
        <v>128</v>
      </c>
      <c r="L302" s="316">
        <v>0</v>
      </c>
      <c r="M302" s="272">
        <v>44593</v>
      </c>
      <c r="N302" s="272">
        <v>44925</v>
      </c>
      <c r="O302" s="272">
        <v>44652</v>
      </c>
      <c r="P302" s="273">
        <f t="shared" si="41"/>
        <v>0.17771084337349397</v>
      </c>
      <c r="Q302" s="273">
        <f t="shared" ref="Q302" si="46">+IF(P302&gt;=100,100,IF(P302&lt;=0,0,P302))</f>
        <v>0.17771084337349397</v>
      </c>
      <c r="R302" s="274">
        <v>1</v>
      </c>
      <c r="S302" s="275">
        <v>0.25</v>
      </c>
      <c r="T302" s="275">
        <v>0.5</v>
      </c>
      <c r="U302" s="275">
        <v>0.75</v>
      </c>
      <c r="V302" s="275">
        <v>1</v>
      </c>
      <c r="W302" s="275">
        <v>0.25</v>
      </c>
      <c r="X302" s="363" t="s">
        <v>1356</v>
      </c>
      <c r="Y302" s="341" t="s">
        <v>1357</v>
      </c>
      <c r="Z302" s="316">
        <v>0</v>
      </c>
      <c r="AA302" s="275">
        <v>0.5</v>
      </c>
      <c r="AB302" s="277" t="s">
        <v>2231</v>
      </c>
      <c r="AC302" s="277" t="s">
        <v>2234</v>
      </c>
      <c r="AD302" s="276"/>
      <c r="AE302" s="277"/>
      <c r="AF302" s="277"/>
      <c r="AG302" s="276"/>
      <c r="AH302" s="277"/>
      <c r="AI302" s="277"/>
      <c r="AJ302" s="278"/>
    </row>
    <row r="303" spans="1:36" ht="192.75" hidden="1" customHeight="1" outlineLevel="1" x14ac:dyDescent="0.2">
      <c r="A303" s="637"/>
      <c r="B303" s="546" t="s">
        <v>40</v>
      </c>
      <c r="C303" s="546" t="s">
        <v>1284</v>
      </c>
      <c r="D303" s="530" t="s">
        <v>1358</v>
      </c>
      <c r="E303" s="577" t="s">
        <v>1285</v>
      </c>
      <c r="F303" s="577" t="s">
        <v>110</v>
      </c>
      <c r="G303" s="598" t="s">
        <v>1322</v>
      </c>
      <c r="H303" s="450" t="s">
        <v>1291</v>
      </c>
      <c r="I303" s="597" t="s">
        <v>112</v>
      </c>
      <c r="J303" s="12" t="s">
        <v>1291</v>
      </c>
      <c r="K303" s="320">
        <v>40000000</v>
      </c>
      <c r="L303" s="320">
        <v>2000000</v>
      </c>
      <c r="M303" s="272">
        <v>44593</v>
      </c>
      <c r="N303" s="272">
        <v>44925</v>
      </c>
      <c r="O303" s="272">
        <v>44652</v>
      </c>
      <c r="P303" s="273">
        <f t="shared" si="41"/>
        <v>0.17771084337349397</v>
      </c>
      <c r="Q303" s="273">
        <f t="shared" si="26"/>
        <v>0.17771084337349397</v>
      </c>
      <c r="R303" s="274">
        <v>1</v>
      </c>
      <c r="S303" s="275">
        <v>0.25</v>
      </c>
      <c r="T303" s="275">
        <v>0.5</v>
      </c>
      <c r="U303" s="275">
        <v>0.75</v>
      </c>
      <c r="V303" s="275">
        <v>1</v>
      </c>
      <c r="W303" s="275">
        <v>0.25</v>
      </c>
      <c r="X303" s="275" t="s">
        <v>1359</v>
      </c>
      <c r="Y303" s="343" t="s">
        <v>1360</v>
      </c>
      <c r="Z303" s="316">
        <v>0</v>
      </c>
      <c r="AA303" s="275">
        <v>0.5</v>
      </c>
      <c r="AB303" s="277" t="s">
        <v>1361</v>
      </c>
      <c r="AC303" s="277" t="s">
        <v>1362</v>
      </c>
      <c r="AD303" s="276"/>
      <c r="AE303" s="277"/>
      <c r="AF303" s="277"/>
      <c r="AG303" s="276"/>
      <c r="AH303" s="277"/>
      <c r="AI303" s="277"/>
      <c r="AJ303" s="278"/>
    </row>
    <row r="304" spans="1:36" ht="57.75" hidden="1" customHeight="1" outlineLevel="1" x14ac:dyDescent="0.2">
      <c r="A304" s="637"/>
      <c r="B304" s="581"/>
      <c r="C304" s="581"/>
      <c r="D304" s="531"/>
      <c r="E304" s="604"/>
      <c r="F304" s="604"/>
      <c r="G304" s="598"/>
      <c r="H304" s="450" t="s">
        <v>1326</v>
      </c>
      <c r="I304" s="598"/>
      <c r="J304" s="12" t="s">
        <v>1326</v>
      </c>
      <c r="K304" s="320">
        <v>20000000</v>
      </c>
      <c r="L304" s="316">
        <v>0</v>
      </c>
      <c r="M304" s="272">
        <v>44593</v>
      </c>
      <c r="N304" s="272">
        <v>44925</v>
      </c>
      <c r="O304" s="272">
        <v>44652</v>
      </c>
      <c r="P304" s="273">
        <f t="shared" si="41"/>
        <v>0.17771084337349397</v>
      </c>
      <c r="Q304" s="273">
        <f t="shared" si="26"/>
        <v>0.17771084337349397</v>
      </c>
      <c r="R304" s="274">
        <v>1</v>
      </c>
      <c r="S304" s="275">
        <v>0.25</v>
      </c>
      <c r="T304" s="275">
        <v>0.5</v>
      </c>
      <c r="U304" s="275">
        <v>0.75</v>
      </c>
      <c r="V304" s="275">
        <v>1</v>
      </c>
      <c r="W304" s="275">
        <v>0.25</v>
      </c>
      <c r="X304" s="275" t="s">
        <v>1363</v>
      </c>
      <c r="Y304" s="343" t="s">
        <v>1360</v>
      </c>
      <c r="Z304" s="316">
        <v>0</v>
      </c>
      <c r="AA304" s="275">
        <v>0.5</v>
      </c>
      <c r="AB304" s="277" t="s">
        <v>1364</v>
      </c>
      <c r="AC304" s="277" t="s">
        <v>1362</v>
      </c>
      <c r="AD304" s="276"/>
      <c r="AE304" s="277"/>
      <c r="AF304" s="277"/>
      <c r="AG304" s="276"/>
      <c r="AH304" s="277"/>
      <c r="AI304" s="277"/>
      <c r="AJ304" s="278"/>
    </row>
    <row r="305" spans="1:36" ht="43.15" hidden="1" customHeight="1" outlineLevel="1" x14ac:dyDescent="0.2">
      <c r="A305" s="637"/>
      <c r="B305" s="581"/>
      <c r="C305" s="581"/>
      <c r="D305" s="531"/>
      <c r="E305" s="604"/>
      <c r="F305" s="604"/>
      <c r="G305" s="598"/>
      <c r="H305" s="450" t="s">
        <v>1328</v>
      </c>
      <c r="I305" s="598"/>
      <c r="J305" s="12" t="s">
        <v>1328</v>
      </c>
      <c r="K305" s="320">
        <v>80000000</v>
      </c>
      <c r="L305" s="316">
        <v>0</v>
      </c>
      <c r="M305" s="272">
        <v>44593</v>
      </c>
      <c r="N305" s="272">
        <v>44925</v>
      </c>
      <c r="O305" s="272">
        <v>44652</v>
      </c>
      <c r="P305" s="273">
        <f t="shared" si="41"/>
        <v>0.17771084337349397</v>
      </c>
      <c r="Q305" s="273">
        <f t="shared" si="26"/>
        <v>0.17771084337349397</v>
      </c>
      <c r="R305" s="274">
        <v>1</v>
      </c>
      <c r="S305" s="275">
        <v>0.25</v>
      </c>
      <c r="T305" s="275">
        <v>0.5</v>
      </c>
      <c r="U305" s="275">
        <v>0.75</v>
      </c>
      <c r="V305" s="275">
        <v>1</v>
      </c>
      <c r="W305" s="275">
        <v>0.4</v>
      </c>
      <c r="X305" s="275" t="s">
        <v>1365</v>
      </c>
      <c r="Y305" s="343" t="s">
        <v>1360</v>
      </c>
      <c r="Z305" s="316">
        <v>0</v>
      </c>
      <c r="AA305" s="275">
        <v>0</v>
      </c>
      <c r="AB305" s="275" t="s">
        <v>1366</v>
      </c>
      <c r="AC305" s="277" t="s">
        <v>53</v>
      </c>
      <c r="AD305" s="276"/>
      <c r="AE305" s="277"/>
      <c r="AF305" s="277"/>
      <c r="AG305" s="276"/>
      <c r="AH305" s="277"/>
      <c r="AI305" s="277"/>
      <c r="AJ305" s="278"/>
    </row>
    <row r="306" spans="1:36" ht="120" hidden="1" customHeight="1" outlineLevel="1" x14ac:dyDescent="0.2">
      <c r="A306" s="637"/>
      <c r="B306" s="581"/>
      <c r="C306" s="581"/>
      <c r="D306" s="531"/>
      <c r="E306" s="604"/>
      <c r="F306" s="604"/>
      <c r="G306" s="598"/>
      <c r="H306" s="450" t="s">
        <v>1329</v>
      </c>
      <c r="I306" s="598"/>
      <c r="J306" s="12" t="s">
        <v>1329</v>
      </c>
      <c r="K306" s="320">
        <v>40000000</v>
      </c>
      <c r="L306" s="316">
        <v>0</v>
      </c>
      <c r="M306" s="272">
        <v>44593</v>
      </c>
      <c r="N306" s="272">
        <v>44925</v>
      </c>
      <c r="O306" s="272">
        <v>44652</v>
      </c>
      <c r="P306" s="273">
        <f t="shared" si="41"/>
        <v>0.17771084337349397</v>
      </c>
      <c r="Q306" s="273">
        <f t="shared" ref="Q306:Q358" si="47">+IF(P306&gt;=100,100,IF(P306&lt;=0,0,P306))</f>
        <v>0.17771084337349397</v>
      </c>
      <c r="R306" s="274">
        <v>1</v>
      </c>
      <c r="S306" s="275">
        <v>0.25</v>
      </c>
      <c r="T306" s="275">
        <v>0.5</v>
      </c>
      <c r="U306" s="275">
        <v>0.75</v>
      </c>
      <c r="V306" s="275">
        <v>1</v>
      </c>
      <c r="W306" s="275">
        <v>0</v>
      </c>
      <c r="X306" s="275" t="s">
        <v>1366</v>
      </c>
      <c r="Y306" s="343" t="s">
        <v>1360</v>
      </c>
      <c r="Z306" s="316">
        <v>0</v>
      </c>
      <c r="AA306" s="275">
        <v>0</v>
      </c>
      <c r="AB306" s="275" t="s">
        <v>1366</v>
      </c>
      <c r="AC306" s="277" t="s">
        <v>53</v>
      </c>
      <c r="AD306" s="276"/>
      <c r="AE306" s="277"/>
      <c r="AF306" s="277"/>
      <c r="AG306" s="276"/>
      <c r="AH306" s="277"/>
      <c r="AI306" s="277"/>
      <c r="AJ306" s="278"/>
    </row>
    <row r="307" spans="1:36" ht="135" hidden="1" customHeight="1" outlineLevel="1" x14ac:dyDescent="0.2">
      <c r="A307" s="637"/>
      <c r="B307" s="581"/>
      <c r="C307" s="581"/>
      <c r="D307" s="531"/>
      <c r="E307" s="604"/>
      <c r="F307" s="604"/>
      <c r="G307" s="598"/>
      <c r="H307" s="450" t="s">
        <v>1331</v>
      </c>
      <c r="I307" s="598"/>
      <c r="J307" s="12" t="s">
        <v>1331</v>
      </c>
      <c r="K307" s="320">
        <v>50000000</v>
      </c>
      <c r="L307" s="316">
        <v>0</v>
      </c>
      <c r="M307" s="272">
        <v>44593</v>
      </c>
      <c r="N307" s="272">
        <v>44925</v>
      </c>
      <c r="O307" s="272">
        <v>44652</v>
      </c>
      <c r="P307" s="273">
        <f t="shared" si="41"/>
        <v>0.17771084337349397</v>
      </c>
      <c r="Q307" s="273">
        <f t="shared" si="47"/>
        <v>0.17771084337349397</v>
      </c>
      <c r="R307" s="274">
        <v>1</v>
      </c>
      <c r="S307" s="275">
        <v>0.25</v>
      </c>
      <c r="T307" s="275">
        <v>0.5</v>
      </c>
      <c r="U307" s="275">
        <v>0.75</v>
      </c>
      <c r="V307" s="275">
        <v>1</v>
      </c>
      <c r="W307" s="275">
        <v>0.25</v>
      </c>
      <c r="X307" s="275" t="s">
        <v>1367</v>
      </c>
      <c r="Y307" s="343" t="s">
        <v>1360</v>
      </c>
      <c r="Z307" s="316">
        <v>0</v>
      </c>
      <c r="AA307" s="275">
        <v>0.5</v>
      </c>
      <c r="AB307" s="277" t="s">
        <v>1368</v>
      </c>
      <c r="AC307" s="277" t="s">
        <v>53</v>
      </c>
      <c r="AD307" s="276"/>
      <c r="AE307" s="277"/>
      <c r="AF307" s="277"/>
      <c r="AG307" s="276"/>
      <c r="AH307" s="277"/>
      <c r="AI307" s="277"/>
      <c r="AJ307" s="278"/>
    </row>
    <row r="308" spans="1:36" ht="60.75" hidden="1" customHeight="1" outlineLevel="1" x14ac:dyDescent="0.2">
      <c r="A308" s="637"/>
      <c r="B308" s="581"/>
      <c r="C308" s="581"/>
      <c r="D308" s="531"/>
      <c r="E308" s="604"/>
      <c r="F308" s="604"/>
      <c r="G308" s="598"/>
      <c r="H308" s="450" t="s">
        <v>1369</v>
      </c>
      <c r="I308" s="598"/>
      <c r="J308" s="12" t="s">
        <v>1369</v>
      </c>
      <c r="K308" s="320">
        <v>15000000</v>
      </c>
      <c r="L308" s="316">
        <v>0</v>
      </c>
      <c r="M308" s="272">
        <v>44593</v>
      </c>
      <c r="N308" s="272">
        <v>44925</v>
      </c>
      <c r="O308" s="272">
        <v>44652</v>
      </c>
      <c r="P308" s="273">
        <f t="shared" si="41"/>
        <v>0.17771084337349397</v>
      </c>
      <c r="Q308" s="273">
        <f t="shared" si="47"/>
        <v>0.17771084337349397</v>
      </c>
      <c r="R308" s="274">
        <v>1</v>
      </c>
      <c r="S308" s="275">
        <v>0.25</v>
      </c>
      <c r="T308" s="275">
        <v>0.5</v>
      </c>
      <c r="U308" s="275">
        <v>0.75</v>
      </c>
      <c r="V308" s="275">
        <v>1</v>
      </c>
      <c r="W308" s="275">
        <v>0.2</v>
      </c>
      <c r="X308" s="275" t="s">
        <v>1370</v>
      </c>
      <c r="Y308" s="343" t="s">
        <v>1360</v>
      </c>
      <c r="Z308" s="316">
        <v>0</v>
      </c>
      <c r="AA308" s="275">
        <v>1</v>
      </c>
      <c r="AB308" s="277" t="s">
        <v>1371</v>
      </c>
      <c r="AC308" s="277" t="s">
        <v>53</v>
      </c>
      <c r="AD308" s="276"/>
      <c r="AE308" s="277"/>
      <c r="AF308" s="277"/>
      <c r="AG308" s="276"/>
      <c r="AH308" s="277"/>
      <c r="AI308" s="277"/>
      <c r="AJ308" s="278"/>
    </row>
    <row r="309" spans="1:36" ht="150" hidden="1" customHeight="1" outlineLevel="1" x14ac:dyDescent="0.2">
      <c r="A309" s="637"/>
      <c r="B309" s="581"/>
      <c r="C309" s="581"/>
      <c r="D309" s="531"/>
      <c r="E309" s="604"/>
      <c r="F309" s="604"/>
      <c r="G309" s="598"/>
      <c r="H309" s="450" t="s">
        <v>1372</v>
      </c>
      <c r="I309" s="598"/>
      <c r="J309" s="12" t="s">
        <v>1372</v>
      </c>
      <c r="K309" s="321">
        <v>1000000</v>
      </c>
      <c r="L309" s="316">
        <v>0</v>
      </c>
      <c r="M309" s="272">
        <v>44593</v>
      </c>
      <c r="N309" s="272">
        <v>44925</v>
      </c>
      <c r="O309" s="272">
        <v>44652</v>
      </c>
      <c r="P309" s="273">
        <f t="shared" si="41"/>
        <v>0.17771084337349397</v>
      </c>
      <c r="Q309" s="273">
        <f t="shared" ref="Q309:Q311" si="48">+IF(P309&gt;=100,100,IF(P309&lt;=0,0,P309))</f>
        <v>0.17771084337349397</v>
      </c>
      <c r="R309" s="274">
        <v>1</v>
      </c>
      <c r="S309" s="275">
        <v>0.25</v>
      </c>
      <c r="T309" s="275">
        <v>0.5</v>
      </c>
      <c r="U309" s="275">
        <v>0.75</v>
      </c>
      <c r="V309" s="275">
        <v>1</v>
      </c>
      <c r="W309" s="275">
        <v>0.25</v>
      </c>
      <c r="X309" s="275" t="s">
        <v>1373</v>
      </c>
      <c r="Y309" s="343" t="s">
        <v>1360</v>
      </c>
      <c r="Z309" s="316">
        <v>1452000</v>
      </c>
      <c r="AA309" s="275">
        <v>1</v>
      </c>
      <c r="AB309" s="277" t="s">
        <v>1374</v>
      </c>
      <c r="AC309" s="277" t="s">
        <v>53</v>
      </c>
      <c r="AD309" s="276"/>
      <c r="AE309" s="277"/>
      <c r="AF309" s="277"/>
      <c r="AG309" s="276"/>
      <c r="AH309" s="277"/>
      <c r="AI309" s="277"/>
      <c r="AJ309" s="278"/>
    </row>
    <row r="310" spans="1:36" ht="56.25" hidden="1" customHeight="1" outlineLevel="1" x14ac:dyDescent="0.2">
      <c r="A310" s="637"/>
      <c r="B310" s="547"/>
      <c r="C310" s="547"/>
      <c r="D310" s="531"/>
      <c r="E310" s="578"/>
      <c r="F310" s="578"/>
      <c r="G310" s="598"/>
      <c r="H310" s="450" t="s">
        <v>1375</v>
      </c>
      <c r="I310" s="599"/>
      <c r="J310" s="12" t="s">
        <v>1375</v>
      </c>
      <c r="K310" s="320">
        <v>2000000</v>
      </c>
      <c r="L310" s="320">
        <v>2000000</v>
      </c>
      <c r="M310" s="272">
        <v>44593</v>
      </c>
      <c r="N310" s="272">
        <v>44925</v>
      </c>
      <c r="O310" s="272">
        <v>44652</v>
      </c>
      <c r="P310" s="273">
        <f t="shared" si="41"/>
        <v>0.17771084337349397</v>
      </c>
      <c r="Q310" s="273">
        <f t="shared" si="48"/>
        <v>0.17771084337349397</v>
      </c>
      <c r="R310" s="274">
        <v>1</v>
      </c>
      <c r="S310" s="275">
        <v>0.25</v>
      </c>
      <c r="T310" s="275">
        <v>0.5</v>
      </c>
      <c r="U310" s="275">
        <v>0.75</v>
      </c>
      <c r="V310" s="275">
        <v>1</v>
      </c>
      <c r="W310" s="275">
        <v>0.5</v>
      </c>
      <c r="X310" s="275" t="s">
        <v>1376</v>
      </c>
      <c r="Y310" s="343" t="s">
        <v>1360</v>
      </c>
      <c r="Z310" s="316">
        <v>0</v>
      </c>
      <c r="AA310" s="275">
        <v>1</v>
      </c>
      <c r="AB310" s="277" t="s">
        <v>1377</v>
      </c>
      <c r="AC310" s="277" t="s">
        <v>53</v>
      </c>
      <c r="AD310" s="276"/>
      <c r="AE310" s="277"/>
      <c r="AF310" s="277"/>
      <c r="AG310" s="276"/>
      <c r="AH310" s="277"/>
      <c r="AI310" s="277"/>
      <c r="AJ310" s="278"/>
    </row>
    <row r="311" spans="1:36" ht="135" hidden="1" customHeight="1" outlineLevel="1" x14ac:dyDescent="0.2">
      <c r="A311" s="637"/>
      <c r="B311" s="546" t="s">
        <v>40</v>
      </c>
      <c r="C311" s="546" t="s">
        <v>1187</v>
      </c>
      <c r="D311" s="531"/>
      <c r="E311" s="238" t="s">
        <v>1277</v>
      </c>
      <c r="F311" s="238" t="s">
        <v>1343</v>
      </c>
      <c r="G311" s="450" t="s">
        <v>45</v>
      </c>
      <c r="H311" s="450" t="s">
        <v>1378</v>
      </c>
      <c r="I311" s="450" t="s">
        <v>1280</v>
      </c>
      <c r="J311" s="12" t="s">
        <v>1379</v>
      </c>
      <c r="K311" s="320">
        <v>60000000</v>
      </c>
      <c r="L311" s="316">
        <v>0</v>
      </c>
      <c r="M311" s="272">
        <v>44593</v>
      </c>
      <c r="N311" s="272">
        <v>44925</v>
      </c>
      <c r="O311" s="272">
        <v>44652</v>
      </c>
      <c r="P311" s="273">
        <f t="shared" si="41"/>
        <v>0.17771084337349397</v>
      </c>
      <c r="Q311" s="273">
        <f t="shared" si="48"/>
        <v>0.17771084337349397</v>
      </c>
      <c r="R311" s="274">
        <v>1</v>
      </c>
      <c r="S311" s="275">
        <v>0.25</v>
      </c>
      <c r="T311" s="275">
        <v>0.5</v>
      </c>
      <c r="U311" s="275">
        <v>0.75</v>
      </c>
      <c r="V311" s="275">
        <v>1</v>
      </c>
      <c r="W311" s="275">
        <v>0.25</v>
      </c>
      <c r="X311" s="275" t="s">
        <v>1380</v>
      </c>
      <c r="Y311" s="343" t="s">
        <v>1360</v>
      </c>
      <c r="Z311" s="316">
        <v>0</v>
      </c>
      <c r="AA311" s="275">
        <v>0.5</v>
      </c>
      <c r="AB311" s="277" t="s">
        <v>1381</v>
      </c>
      <c r="AC311" s="277" t="s">
        <v>53</v>
      </c>
      <c r="AD311" s="276"/>
      <c r="AE311" s="277"/>
      <c r="AF311" s="277"/>
      <c r="AG311" s="276"/>
      <c r="AH311" s="277"/>
      <c r="AI311" s="277"/>
      <c r="AJ311" s="278"/>
    </row>
    <row r="312" spans="1:36" ht="161.25" hidden="1" customHeight="1" outlineLevel="1" x14ac:dyDescent="0.2">
      <c r="A312" s="637"/>
      <c r="B312" s="581"/>
      <c r="C312" s="581"/>
      <c r="D312" s="531"/>
      <c r="E312" s="238" t="s">
        <v>1382</v>
      </c>
      <c r="F312" s="238" t="s">
        <v>1207</v>
      </c>
      <c r="G312" s="450" t="s">
        <v>1383</v>
      </c>
      <c r="H312" s="450" t="s">
        <v>1384</v>
      </c>
      <c r="I312" s="450" t="s">
        <v>1272</v>
      </c>
      <c r="J312" s="12" t="s">
        <v>1384</v>
      </c>
      <c r="K312" s="322" t="s">
        <v>53</v>
      </c>
      <c r="L312" s="316">
        <v>0</v>
      </c>
      <c r="M312" s="272">
        <v>44593</v>
      </c>
      <c r="N312" s="272">
        <v>44925</v>
      </c>
      <c r="O312" s="272">
        <v>44652</v>
      </c>
      <c r="P312" s="273">
        <f t="shared" si="41"/>
        <v>0.17771084337349397</v>
      </c>
      <c r="Q312" s="273">
        <f t="shared" si="47"/>
        <v>0.17771084337349397</v>
      </c>
      <c r="R312" s="274">
        <v>1</v>
      </c>
      <c r="S312" s="275">
        <v>0.25</v>
      </c>
      <c r="T312" s="275">
        <v>0.5</v>
      </c>
      <c r="U312" s="275">
        <v>0.75</v>
      </c>
      <c r="V312" s="275">
        <v>1</v>
      </c>
      <c r="W312" s="275">
        <v>0.25</v>
      </c>
      <c r="X312" s="275" t="s">
        <v>1385</v>
      </c>
      <c r="Y312" s="343" t="s">
        <v>1360</v>
      </c>
      <c r="Z312" s="316">
        <v>0</v>
      </c>
      <c r="AA312" s="275">
        <v>0.3</v>
      </c>
      <c r="AB312" s="277" t="s">
        <v>1386</v>
      </c>
      <c r="AC312" s="277" t="s">
        <v>1387</v>
      </c>
      <c r="AD312" s="276"/>
      <c r="AE312" s="277"/>
      <c r="AF312" s="277"/>
      <c r="AG312" s="276"/>
      <c r="AH312" s="277"/>
      <c r="AI312" s="277"/>
      <c r="AJ312" s="278"/>
    </row>
    <row r="313" spans="1:36" ht="94.5" hidden="1" customHeight="1" outlineLevel="1" x14ac:dyDescent="0.2">
      <c r="A313" s="637"/>
      <c r="B313" s="581"/>
      <c r="C313" s="581"/>
      <c r="D313" s="531"/>
      <c r="E313" s="577" t="s">
        <v>1254</v>
      </c>
      <c r="F313" s="577" t="s">
        <v>191</v>
      </c>
      <c r="G313" s="450" t="s">
        <v>1388</v>
      </c>
      <c r="H313" s="450" t="s">
        <v>1389</v>
      </c>
      <c r="I313" s="450" t="s">
        <v>194</v>
      </c>
      <c r="J313" s="12" t="s">
        <v>1390</v>
      </c>
      <c r="K313" s="322" t="s">
        <v>53</v>
      </c>
      <c r="L313" s="316">
        <v>0</v>
      </c>
      <c r="M313" s="272">
        <v>44593</v>
      </c>
      <c r="N313" s="272">
        <v>44925</v>
      </c>
      <c r="O313" s="272">
        <v>44652</v>
      </c>
      <c r="P313" s="273">
        <f t="shared" si="41"/>
        <v>0.17771084337349397</v>
      </c>
      <c r="Q313" s="273">
        <f t="shared" si="47"/>
        <v>0.17771084337349397</v>
      </c>
      <c r="R313" s="274">
        <v>1</v>
      </c>
      <c r="S313" s="275">
        <v>0.25</v>
      </c>
      <c r="T313" s="275">
        <v>0.5</v>
      </c>
      <c r="U313" s="275">
        <v>0.75</v>
      </c>
      <c r="V313" s="275">
        <v>1</v>
      </c>
      <c r="W313" s="275">
        <v>0</v>
      </c>
      <c r="X313" s="275" t="s">
        <v>1391</v>
      </c>
      <c r="Y313" s="343" t="s">
        <v>1360</v>
      </c>
      <c r="Z313" s="316">
        <v>0</v>
      </c>
      <c r="AA313" s="275">
        <v>0</v>
      </c>
      <c r="AB313" s="275" t="s">
        <v>1391</v>
      </c>
      <c r="AC313" s="277" t="s">
        <v>53</v>
      </c>
      <c r="AD313" s="276"/>
      <c r="AE313" s="277"/>
      <c r="AF313" s="277"/>
      <c r="AG313" s="276"/>
      <c r="AH313" s="277"/>
      <c r="AI313" s="277"/>
      <c r="AJ313" s="278"/>
    </row>
    <row r="314" spans="1:36" ht="62.45" hidden="1" customHeight="1" outlineLevel="1" x14ac:dyDescent="0.2">
      <c r="A314" s="637"/>
      <c r="B314" s="581"/>
      <c r="C314" s="547"/>
      <c r="D314" s="531"/>
      <c r="E314" s="578"/>
      <c r="F314" s="578"/>
      <c r="G314" s="450" t="s">
        <v>1392</v>
      </c>
      <c r="H314" s="450" t="s">
        <v>1393</v>
      </c>
      <c r="I314" s="450" t="s">
        <v>194</v>
      </c>
      <c r="J314" s="12" t="s">
        <v>1394</v>
      </c>
      <c r="K314" s="320">
        <v>33960500</v>
      </c>
      <c r="L314" s="316">
        <v>0</v>
      </c>
      <c r="M314" s="272">
        <v>44593</v>
      </c>
      <c r="N314" s="272">
        <v>44925</v>
      </c>
      <c r="O314" s="272">
        <v>44652</v>
      </c>
      <c r="P314" s="273">
        <f t="shared" si="41"/>
        <v>0.17771084337349397</v>
      </c>
      <c r="Q314" s="273">
        <f t="shared" si="47"/>
        <v>0.17771084337349397</v>
      </c>
      <c r="R314" s="274">
        <v>1</v>
      </c>
      <c r="S314" s="275">
        <v>0.25</v>
      </c>
      <c r="T314" s="275">
        <v>0.5</v>
      </c>
      <c r="U314" s="275">
        <v>0.75</v>
      </c>
      <c r="V314" s="275">
        <v>1</v>
      </c>
      <c r="W314" s="275">
        <v>0.25</v>
      </c>
      <c r="X314" s="275" t="s">
        <v>1395</v>
      </c>
      <c r="Y314" s="343" t="s">
        <v>1360</v>
      </c>
      <c r="Z314" s="316">
        <v>0</v>
      </c>
      <c r="AA314" s="275">
        <v>0.52</v>
      </c>
      <c r="AB314" s="275" t="s">
        <v>1395</v>
      </c>
      <c r="AC314" s="277" t="s">
        <v>956</v>
      </c>
      <c r="AD314" s="276"/>
      <c r="AE314" s="277"/>
      <c r="AF314" s="277"/>
      <c r="AG314" s="276"/>
      <c r="AH314" s="277"/>
      <c r="AI314" s="277"/>
      <c r="AJ314" s="278"/>
    </row>
    <row r="315" spans="1:36" ht="62.45" hidden="1" customHeight="1" outlineLevel="1" x14ac:dyDescent="0.2">
      <c r="A315" s="637"/>
      <c r="B315" s="581"/>
      <c r="C315" s="546" t="s">
        <v>1228</v>
      </c>
      <c r="D315" s="531"/>
      <c r="E315" s="577" t="s">
        <v>1396</v>
      </c>
      <c r="F315" s="577" t="s">
        <v>887</v>
      </c>
      <c r="G315" s="598" t="s">
        <v>1397</v>
      </c>
      <c r="H315" s="427" t="s">
        <v>1398</v>
      </c>
      <c r="I315" s="599" t="s">
        <v>889</v>
      </c>
      <c r="J315" s="12" t="s">
        <v>1398</v>
      </c>
      <c r="K315" s="322">
        <v>6000000</v>
      </c>
      <c r="L315" s="316">
        <v>0</v>
      </c>
      <c r="M315" s="272">
        <v>44593</v>
      </c>
      <c r="N315" s="272">
        <v>44925</v>
      </c>
      <c r="O315" s="272">
        <v>44652</v>
      </c>
      <c r="P315" s="273">
        <f t="shared" si="41"/>
        <v>0.17771084337349397</v>
      </c>
      <c r="Q315" s="273">
        <f t="shared" ref="Q315:Q316" si="49">+IF(P315&gt;=100,100,IF(P315&lt;=0,0,P315))</f>
        <v>0.17771084337349397</v>
      </c>
      <c r="R315" s="274">
        <v>1</v>
      </c>
      <c r="S315" s="275">
        <v>0.25</v>
      </c>
      <c r="T315" s="275">
        <v>0.5</v>
      </c>
      <c r="U315" s="275">
        <v>0.75</v>
      </c>
      <c r="V315" s="275">
        <v>1</v>
      </c>
      <c r="W315" s="275">
        <v>0</v>
      </c>
      <c r="X315" s="275" t="s">
        <v>1366</v>
      </c>
      <c r="Y315" s="341" t="s">
        <v>53</v>
      </c>
      <c r="Z315" s="316">
        <v>0</v>
      </c>
      <c r="AA315" s="275">
        <v>0.4</v>
      </c>
      <c r="AB315" s="277" t="s">
        <v>1399</v>
      </c>
      <c r="AC315" s="277" t="s">
        <v>1400</v>
      </c>
      <c r="AD315" s="276"/>
      <c r="AE315" s="277"/>
      <c r="AF315" s="277"/>
      <c r="AG315" s="276"/>
      <c r="AH315" s="277"/>
      <c r="AI315" s="277"/>
      <c r="AJ315" s="278"/>
    </row>
    <row r="316" spans="1:36" ht="112.5" hidden="1" customHeight="1" outlineLevel="1" x14ac:dyDescent="0.2">
      <c r="A316" s="637"/>
      <c r="B316" s="547"/>
      <c r="C316" s="547"/>
      <c r="D316" s="531"/>
      <c r="E316" s="578"/>
      <c r="F316" s="578"/>
      <c r="G316" s="599"/>
      <c r="H316" s="450" t="s">
        <v>1401</v>
      </c>
      <c r="I316" s="600"/>
      <c r="J316" s="12" t="s">
        <v>1402</v>
      </c>
      <c r="K316" s="322" t="s">
        <v>53</v>
      </c>
      <c r="L316" s="316">
        <v>0</v>
      </c>
      <c r="M316" s="272">
        <v>44593</v>
      </c>
      <c r="N316" s="272">
        <v>44925</v>
      </c>
      <c r="O316" s="272">
        <v>44652</v>
      </c>
      <c r="P316" s="273">
        <f t="shared" si="41"/>
        <v>0.17771084337349397</v>
      </c>
      <c r="Q316" s="273">
        <f t="shared" si="49"/>
        <v>0.17771084337349397</v>
      </c>
      <c r="R316" s="274">
        <v>1</v>
      </c>
      <c r="S316" s="275">
        <v>0.25</v>
      </c>
      <c r="T316" s="275">
        <v>0.5</v>
      </c>
      <c r="U316" s="275">
        <v>0.75</v>
      </c>
      <c r="V316" s="275">
        <v>1</v>
      </c>
      <c r="W316" s="275">
        <v>0</v>
      </c>
      <c r="X316" s="275" t="s">
        <v>1366</v>
      </c>
      <c r="Y316" s="341" t="s">
        <v>53</v>
      </c>
      <c r="Z316" s="316">
        <v>0</v>
      </c>
      <c r="AA316" s="275">
        <v>0</v>
      </c>
      <c r="AB316" s="277" t="s">
        <v>1403</v>
      </c>
      <c r="AC316" s="277" t="s">
        <v>53</v>
      </c>
      <c r="AD316" s="276"/>
      <c r="AE316" s="277"/>
      <c r="AF316" s="277"/>
      <c r="AG316" s="276"/>
      <c r="AH316" s="277"/>
      <c r="AI316" s="277"/>
      <c r="AJ316" s="278"/>
    </row>
    <row r="317" spans="1:36" ht="91.5" hidden="1" customHeight="1" outlineLevel="1" x14ac:dyDescent="0.2">
      <c r="A317" s="637"/>
      <c r="B317" s="546" t="s">
        <v>983</v>
      </c>
      <c r="C317" s="416" t="s">
        <v>1336</v>
      </c>
      <c r="D317" s="531"/>
      <c r="E317" s="238" t="s">
        <v>1404</v>
      </c>
      <c r="F317" s="238" t="s">
        <v>1405</v>
      </c>
      <c r="G317" s="450" t="s">
        <v>1383</v>
      </c>
      <c r="H317" s="450" t="s">
        <v>1306</v>
      </c>
      <c r="I317" s="450" t="s">
        <v>1406</v>
      </c>
      <c r="J317" s="12" t="s">
        <v>1407</v>
      </c>
      <c r="K317" s="322">
        <v>42000000</v>
      </c>
      <c r="L317" s="316">
        <v>0</v>
      </c>
      <c r="M317" s="272">
        <v>44593</v>
      </c>
      <c r="N317" s="272">
        <v>44925</v>
      </c>
      <c r="O317" s="272">
        <v>44652</v>
      </c>
      <c r="P317" s="273">
        <f t="shared" si="41"/>
        <v>0.17771084337349397</v>
      </c>
      <c r="Q317" s="273">
        <f t="shared" si="47"/>
        <v>0.17771084337349397</v>
      </c>
      <c r="R317" s="274">
        <v>1</v>
      </c>
      <c r="S317" s="275">
        <v>0.25</v>
      </c>
      <c r="T317" s="275">
        <v>0.5</v>
      </c>
      <c r="U317" s="275">
        <v>0.75</v>
      </c>
      <c r="V317" s="275">
        <v>1</v>
      </c>
      <c r="W317" s="275">
        <v>0</v>
      </c>
      <c r="X317" s="275" t="s">
        <v>1408</v>
      </c>
      <c r="Y317" s="343" t="s">
        <v>1360</v>
      </c>
      <c r="Z317" s="316">
        <v>0</v>
      </c>
      <c r="AA317" s="275">
        <v>0.4</v>
      </c>
      <c r="AB317" s="277" t="s">
        <v>1409</v>
      </c>
      <c r="AC317" s="277" t="s">
        <v>1410</v>
      </c>
      <c r="AD317" s="276"/>
      <c r="AE317" s="277"/>
      <c r="AF317" s="277"/>
      <c r="AG317" s="276"/>
      <c r="AH317" s="277"/>
      <c r="AI317" s="277"/>
      <c r="AJ317" s="278"/>
    </row>
    <row r="318" spans="1:36" ht="75.75" hidden="1" customHeight="1" outlineLevel="1" x14ac:dyDescent="0.2">
      <c r="A318" s="637"/>
      <c r="B318" s="547"/>
      <c r="C318" s="416" t="s">
        <v>1312</v>
      </c>
      <c r="D318" s="531"/>
      <c r="E318" s="238" t="s">
        <v>1411</v>
      </c>
      <c r="F318" s="238" t="s">
        <v>1412</v>
      </c>
      <c r="G318" s="450" t="s">
        <v>1413</v>
      </c>
      <c r="H318" s="450" t="s">
        <v>1414</v>
      </c>
      <c r="I318" s="450" t="s">
        <v>1415</v>
      </c>
      <c r="J318" s="12" t="s">
        <v>1414</v>
      </c>
      <c r="K318" s="322" t="s">
        <v>53</v>
      </c>
      <c r="L318" s="316">
        <v>0</v>
      </c>
      <c r="M318" s="272">
        <v>44593</v>
      </c>
      <c r="N318" s="272">
        <v>44925</v>
      </c>
      <c r="O318" s="272">
        <v>44652</v>
      </c>
      <c r="P318" s="273">
        <f t="shared" si="41"/>
        <v>0.17771084337349397</v>
      </c>
      <c r="Q318" s="273">
        <f t="shared" ref="Q318" si="50">+IF(P318&gt;=100,100,IF(P318&lt;=0,0,P318))</f>
        <v>0.17771084337349397</v>
      </c>
      <c r="R318" s="274">
        <v>1</v>
      </c>
      <c r="S318" s="275">
        <v>0.25</v>
      </c>
      <c r="T318" s="275">
        <v>0.5</v>
      </c>
      <c r="U318" s="275">
        <v>0.75</v>
      </c>
      <c r="V318" s="275">
        <v>1</v>
      </c>
      <c r="W318" s="275">
        <v>0</v>
      </c>
      <c r="X318" s="275" t="s">
        <v>1416</v>
      </c>
      <c r="Y318" s="343" t="s">
        <v>1360</v>
      </c>
      <c r="Z318" s="316">
        <v>0</v>
      </c>
      <c r="AA318" s="275">
        <v>0.4</v>
      </c>
      <c r="AB318" s="277" t="s">
        <v>1399</v>
      </c>
      <c r="AC318" s="277" t="s">
        <v>1400</v>
      </c>
      <c r="AD318" s="276"/>
      <c r="AE318" s="277"/>
      <c r="AF318" s="277"/>
      <c r="AG318" s="276"/>
      <c r="AH318" s="277"/>
      <c r="AI318" s="277"/>
      <c r="AJ318" s="278"/>
    </row>
    <row r="319" spans="1:36" ht="90" hidden="1" customHeight="1" outlineLevel="1" x14ac:dyDescent="0.2">
      <c r="A319" s="637"/>
      <c r="B319" s="414" t="s">
        <v>293</v>
      </c>
      <c r="C319" s="414" t="s">
        <v>1246</v>
      </c>
      <c r="D319" s="531"/>
      <c r="E319" s="420" t="s">
        <v>1247</v>
      </c>
      <c r="F319" s="238" t="s">
        <v>1417</v>
      </c>
      <c r="G319" s="426" t="s">
        <v>1418</v>
      </c>
      <c r="H319" s="450" t="s">
        <v>1419</v>
      </c>
      <c r="I319" s="450" t="s">
        <v>1420</v>
      </c>
      <c r="J319" s="12" t="s">
        <v>1421</v>
      </c>
      <c r="K319" s="322">
        <v>50000000</v>
      </c>
      <c r="L319" s="316">
        <v>0</v>
      </c>
      <c r="M319" s="272">
        <v>44593</v>
      </c>
      <c r="N319" s="272">
        <v>44925</v>
      </c>
      <c r="O319" s="272">
        <v>44652</v>
      </c>
      <c r="P319" s="273">
        <f t="shared" si="41"/>
        <v>0.17771084337349397</v>
      </c>
      <c r="Q319" s="273">
        <f t="shared" si="47"/>
        <v>0.17771084337349397</v>
      </c>
      <c r="R319" s="274">
        <v>0.5</v>
      </c>
      <c r="S319" s="275">
        <v>0.3</v>
      </c>
      <c r="T319" s="275">
        <v>0.4</v>
      </c>
      <c r="U319" s="275">
        <v>0.45</v>
      </c>
      <c r="V319" s="275">
        <v>0.5</v>
      </c>
      <c r="W319" s="275">
        <v>0</v>
      </c>
      <c r="X319" s="275" t="s">
        <v>1422</v>
      </c>
      <c r="Y319" s="343" t="s">
        <v>1360</v>
      </c>
      <c r="Z319" s="316">
        <v>0</v>
      </c>
      <c r="AA319" s="275">
        <v>0.3</v>
      </c>
      <c r="AB319" s="277" t="s">
        <v>1423</v>
      </c>
      <c r="AC319" s="277" t="s">
        <v>1424</v>
      </c>
      <c r="AD319" s="276"/>
      <c r="AE319" s="277"/>
      <c r="AF319" s="277"/>
      <c r="AG319" s="276"/>
      <c r="AH319" s="277"/>
      <c r="AI319" s="277"/>
      <c r="AJ319" s="278"/>
    </row>
    <row r="320" spans="1:36" ht="75.75" hidden="1" customHeight="1" outlineLevel="1" x14ac:dyDescent="0.2">
      <c r="A320" s="637"/>
      <c r="B320" s="546" t="s">
        <v>40</v>
      </c>
      <c r="C320" s="546" t="s">
        <v>1284</v>
      </c>
      <c r="D320" s="628" t="s">
        <v>1425</v>
      </c>
      <c r="E320" s="588" t="s">
        <v>1426</v>
      </c>
      <c r="F320" s="588" t="s">
        <v>110</v>
      </c>
      <c r="G320" s="594" t="s">
        <v>1427</v>
      </c>
      <c r="H320" s="296" t="s">
        <v>1428</v>
      </c>
      <c r="I320" s="594" t="s">
        <v>1429</v>
      </c>
      <c r="J320" s="550" t="s">
        <v>1430</v>
      </c>
      <c r="K320" s="322">
        <v>50000000</v>
      </c>
      <c r="L320" s="316">
        <v>0</v>
      </c>
      <c r="M320" s="272">
        <v>44593</v>
      </c>
      <c r="N320" s="272">
        <v>44925</v>
      </c>
      <c r="O320" s="272">
        <v>44652</v>
      </c>
      <c r="P320" s="273">
        <f t="shared" si="41"/>
        <v>0.17771084337349397</v>
      </c>
      <c r="Q320" s="273">
        <f t="shared" si="47"/>
        <v>0.17771084337349397</v>
      </c>
      <c r="R320" s="274">
        <v>1</v>
      </c>
      <c r="S320" s="275">
        <v>0.25</v>
      </c>
      <c r="T320" s="275">
        <v>0.5</v>
      </c>
      <c r="U320" s="275">
        <v>0.75</v>
      </c>
      <c r="V320" s="275">
        <v>1</v>
      </c>
      <c r="W320" s="275">
        <v>0.15</v>
      </c>
      <c r="X320" s="275" t="s">
        <v>1431</v>
      </c>
      <c r="Y320" s="341" t="s">
        <v>53</v>
      </c>
      <c r="Z320" s="316">
        <v>0</v>
      </c>
      <c r="AA320" s="275">
        <v>0.3</v>
      </c>
      <c r="AB320" s="488" t="s">
        <v>2235</v>
      </c>
      <c r="AC320" s="277" t="s">
        <v>417</v>
      </c>
      <c r="AD320" s="276"/>
      <c r="AE320" s="277"/>
      <c r="AF320" s="277"/>
      <c r="AG320" s="276"/>
      <c r="AH320" s="277"/>
      <c r="AI320" s="277"/>
      <c r="AJ320" s="278"/>
    </row>
    <row r="321" spans="1:36" ht="112.5" hidden="1" customHeight="1" outlineLevel="1" x14ac:dyDescent="0.2">
      <c r="A321" s="637"/>
      <c r="B321" s="581"/>
      <c r="C321" s="581"/>
      <c r="D321" s="629"/>
      <c r="E321" s="589"/>
      <c r="F321" s="589"/>
      <c r="G321" s="595"/>
      <c r="H321" s="296" t="s">
        <v>1432</v>
      </c>
      <c r="I321" s="595"/>
      <c r="J321" s="551"/>
      <c r="K321" s="251" t="s">
        <v>555</v>
      </c>
      <c r="L321" s="316">
        <v>0</v>
      </c>
      <c r="M321" s="272">
        <v>44593</v>
      </c>
      <c r="N321" s="272">
        <v>44925</v>
      </c>
      <c r="O321" s="272">
        <v>44652</v>
      </c>
      <c r="P321" s="273">
        <f t="shared" si="41"/>
        <v>0.17771084337349397</v>
      </c>
      <c r="Q321" s="273">
        <f t="shared" si="47"/>
        <v>0.17771084337349397</v>
      </c>
      <c r="R321" s="274">
        <v>1</v>
      </c>
      <c r="S321" s="275">
        <v>0.25</v>
      </c>
      <c r="T321" s="275">
        <v>0.5</v>
      </c>
      <c r="U321" s="275">
        <v>0.75</v>
      </c>
      <c r="V321" s="275">
        <v>1</v>
      </c>
      <c r="W321" s="275">
        <v>0.15</v>
      </c>
      <c r="X321" s="275" t="s">
        <v>1433</v>
      </c>
      <c r="Y321" s="341" t="s">
        <v>53</v>
      </c>
      <c r="Z321" s="316">
        <v>0</v>
      </c>
      <c r="AA321" s="275">
        <v>0.3</v>
      </c>
      <c r="AB321" s="488" t="s">
        <v>2235</v>
      </c>
      <c r="AC321" s="277" t="s">
        <v>417</v>
      </c>
      <c r="AD321" s="276"/>
      <c r="AE321" s="277"/>
      <c r="AF321" s="277"/>
      <c r="AG321" s="276"/>
      <c r="AH321" s="277"/>
      <c r="AI321" s="277"/>
      <c r="AJ321" s="278"/>
    </row>
    <row r="322" spans="1:36" ht="116.45" hidden="1" customHeight="1" outlineLevel="1" x14ac:dyDescent="0.2">
      <c r="A322" s="637"/>
      <c r="B322" s="581"/>
      <c r="C322" s="581"/>
      <c r="D322" s="629"/>
      <c r="E322" s="589"/>
      <c r="F322" s="589"/>
      <c r="G322" s="595"/>
      <c r="H322" s="296" t="s">
        <v>1434</v>
      </c>
      <c r="I322" s="595"/>
      <c r="J322" s="551"/>
      <c r="K322" s="251" t="s">
        <v>555</v>
      </c>
      <c r="L322" s="316">
        <v>0</v>
      </c>
      <c r="M322" s="272">
        <v>44593</v>
      </c>
      <c r="N322" s="272">
        <v>44925</v>
      </c>
      <c r="O322" s="272">
        <v>44652</v>
      </c>
      <c r="P322" s="273">
        <f t="shared" si="41"/>
        <v>0.17771084337349397</v>
      </c>
      <c r="Q322" s="273">
        <f t="shared" si="47"/>
        <v>0.17771084337349397</v>
      </c>
      <c r="R322" s="274">
        <v>1</v>
      </c>
      <c r="S322" s="275">
        <v>0.25</v>
      </c>
      <c r="T322" s="275">
        <v>0.5</v>
      </c>
      <c r="U322" s="275">
        <v>0.75</v>
      </c>
      <c r="V322" s="275">
        <v>1</v>
      </c>
      <c r="W322" s="275">
        <v>0</v>
      </c>
      <c r="X322" s="275" t="s">
        <v>1435</v>
      </c>
      <c r="Y322" s="341" t="s">
        <v>53</v>
      </c>
      <c r="Z322" s="316">
        <v>0</v>
      </c>
      <c r="AA322" s="275">
        <v>0</v>
      </c>
      <c r="AB322" s="488" t="s">
        <v>2236</v>
      </c>
      <c r="AC322" s="277" t="s">
        <v>53</v>
      </c>
      <c r="AD322" s="276"/>
      <c r="AE322" s="277"/>
      <c r="AF322" s="277"/>
      <c r="AG322" s="276"/>
      <c r="AH322" s="277"/>
      <c r="AI322" s="277"/>
      <c r="AJ322" s="278"/>
    </row>
    <row r="323" spans="1:36" ht="116.45" hidden="1" customHeight="1" outlineLevel="1" x14ac:dyDescent="0.2">
      <c r="A323" s="637"/>
      <c r="B323" s="581"/>
      <c r="C323" s="581"/>
      <c r="D323" s="629"/>
      <c r="E323" s="589"/>
      <c r="F323" s="589"/>
      <c r="G323" s="595"/>
      <c r="H323" s="296" t="s">
        <v>1436</v>
      </c>
      <c r="I323" s="595"/>
      <c r="J323" s="551"/>
      <c r="K323" s="251" t="s">
        <v>555</v>
      </c>
      <c r="L323" s="316">
        <v>0</v>
      </c>
      <c r="M323" s="272">
        <v>44593</v>
      </c>
      <c r="N323" s="272">
        <v>44925</v>
      </c>
      <c r="O323" s="272">
        <v>44652</v>
      </c>
      <c r="P323" s="273">
        <f t="shared" si="41"/>
        <v>0.17771084337349397</v>
      </c>
      <c r="Q323" s="273">
        <f t="shared" ref="Q323:Q325" si="51">+IF(P323&gt;=100,100,IF(P323&lt;=0,0,P323))</f>
        <v>0.17771084337349397</v>
      </c>
      <c r="R323" s="274">
        <v>1</v>
      </c>
      <c r="S323" s="275">
        <v>0.25</v>
      </c>
      <c r="T323" s="275">
        <v>0.5</v>
      </c>
      <c r="U323" s="275">
        <v>0.75</v>
      </c>
      <c r="V323" s="275">
        <v>1</v>
      </c>
      <c r="W323" s="275">
        <v>0</v>
      </c>
      <c r="X323" s="275" t="s">
        <v>1437</v>
      </c>
      <c r="Y323" s="341" t="s">
        <v>53</v>
      </c>
      <c r="Z323" s="316">
        <v>0</v>
      </c>
      <c r="AA323" s="275">
        <v>0</v>
      </c>
      <c r="AB323" s="277" t="s">
        <v>2237</v>
      </c>
      <c r="AC323" s="277" t="s">
        <v>53</v>
      </c>
      <c r="AD323" s="276"/>
      <c r="AE323" s="277"/>
      <c r="AF323" s="277"/>
      <c r="AG323" s="276"/>
      <c r="AH323" s="277"/>
      <c r="AI323" s="277"/>
      <c r="AJ323" s="278"/>
    </row>
    <row r="324" spans="1:36" ht="116.45" hidden="1" customHeight="1" outlineLevel="1" x14ac:dyDescent="0.2">
      <c r="A324" s="637"/>
      <c r="B324" s="547"/>
      <c r="C324" s="547"/>
      <c r="D324" s="629"/>
      <c r="E324" s="590"/>
      <c r="F324" s="590"/>
      <c r="G324" s="596"/>
      <c r="H324" s="296" t="s">
        <v>1438</v>
      </c>
      <c r="I324" s="596"/>
      <c r="J324" s="552"/>
      <c r="K324" s="251" t="s">
        <v>555</v>
      </c>
      <c r="L324" s="316">
        <v>0</v>
      </c>
      <c r="M324" s="272">
        <v>44593</v>
      </c>
      <c r="N324" s="272">
        <v>44925</v>
      </c>
      <c r="O324" s="272">
        <v>44652</v>
      </c>
      <c r="P324" s="273">
        <f t="shared" si="41"/>
        <v>0.17771084337349397</v>
      </c>
      <c r="Q324" s="273">
        <f t="shared" si="51"/>
        <v>0.17771084337349397</v>
      </c>
      <c r="R324" s="274">
        <v>1</v>
      </c>
      <c r="S324" s="275">
        <v>0.25</v>
      </c>
      <c r="T324" s="275">
        <v>0.5</v>
      </c>
      <c r="U324" s="275">
        <v>0.75</v>
      </c>
      <c r="V324" s="275">
        <v>1</v>
      </c>
      <c r="W324" s="275">
        <v>0</v>
      </c>
      <c r="X324" s="275" t="s">
        <v>1422</v>
      </c>
      <c r="Y324" s="341" t="s">
        <v>53</v>
      </c>
      <c r="Z324" s="316">
        <v>0</v>
      </c>
      <c r="AA324" s="275">
        <v>0.1</v>
      </c>
      <c r="AB324" s="488" t="s">
        <v>2238</v>
      </c>
      <c r="AC324" s="277" t="s">
        <v>2239</v>
      </c>
      <c r="AD324" s="276"/>
      <c r="AE324" s="277"/>
      <c r="AF324" s="277"/>
      <c r="AG324" s="276"/>
      <c r="AH324" s="277"/>
      <c r="AI324" s="277"/>
      <c r="AJ324" s="278"/>
    </row>
    <row r="325" spans="1:36" ht="116.45" hidden="1" customHeight="1" outlineLevel="1" x14ac:dyDescent="0.2">
      <c r="A325" s="637"/>
      <c r="B325" s="416" t="s">
        <v>293</v>
      </c>
      <c r="C325" s="416" t="s">
        <v>1246</v>
      </c>
      <c r="D325" s="629"/>
      <c r="E325" s="432" t="s">
        <v>1247</v>
      </c>
      <c r="F325" s="432" t="s">
        <v>1439</v>
      </c>
      <c r="G325" s="412" t="s">
        <v>1440</v>
      </c>
      <c r="H325" s="412" t="s">
        <v>1441</v>
      </c>
      <c r="I325" s="412" t="s">
        <v>1442</v>
      </c>
      <c r="J325" s="251" t="s">
        <v>1443</v>
      </c>
      <c r="K325" s="251" t="s">
        <v>555</v>
      </c>
      <c r="L325" s="316">
        <v>0</v>
      </c>
      <c r="M325" s="272">
        <v>44593</v>
      </c>
      <c r="N325" s="272">
        <v>44925</v>
      </c>
      <c r="O325" s="272">
        <v>44652</v>
      </c>
      <c r="P325" s="273">
        <f t="shared" si="41"/>
        <v>0.17771084337349397</v>
      </c>
      <c r="Q325" s="273">
        <f t="shared" si="51"/>
        <v>0.17771084337349397</v>
      </c>
      <c r="R325" s="274">
        <v>0.5</v>
      </c>
      <c r="S325" s="275">
        <v>0.35</v>
      </c>
      <c r="T325" s="275">
        <v>0.4</v>
      </c>
      <c r="U325" s="275">
        <v>0.45</v>
      </c>
      <c r="V325" s="275">
        <v>0.5</v>
      </c>
      <c r="W325" s="275">
        <v>0.15</v>
      </c>
      <c r="X325" s="275" t="s">
        <v>1444</v>
      </c>
      <c r="Y325" s="341" t="s">
        <v>1445</v>
      </c>
      <c r="Z325" s="316">
        <v>0</v>
      </c>
      <c r="AA325" s="275">
        <v>0.2</v>
      </c>
      <c r="AB325" s="277" t="s">
        <v>2240</v>
      </c>
      <c r="AC325" s="277" t="s">
        <v>53</v>
      </c>
      <c r="AD325" s="276"/>
      <c r="AE325" s="277"/>
      <c r="AF325" s="277"/>
      <c r="AG325" s="276"/>
      <c r="AH325" s="277"/>
      <c r="AI325" s="277"/>
      <c r="AJ325" s="278"/>
    </row>
    <row r="326" spans="1:36" ht="64.5" hidden="1" customHeight="1" outlineLevel="1" x14ac:dyDescent="0.2">
      <c r="A326" s="637"/>
      <c r="B326" s="546" t="s">
        <v>40</v>
      </c>
      <c r="C326" s="546" t="s">
        <v>1187</v>
      </c>
      <c r="D326" s="689" t="s">
        <v>1446</v>
      </c>
      <c r="E326" s="246" t="s">
        <v>1266</v>
      </c>
      <c r="F326" s="246" t="s">
        <v>44</v>
      </c>
      <c r="G326" s="10" t="s">
        <v>1447</v>
      </c>
      <c r="H326" s="10" t="s">
        <v>1267</v>
      </c>
      <c r="I326" s="10" t="s">
        <v>47</v>
      </c>
      <c r="J326" s="251" t="s">
        <v>505</v>
      </c>
      <c r="K326" s="352">
        <v>33960500</v>
      </c>
      <c r="L326" s="316">
        <v>12000000</v>
      </c>
      <c r="M326" s="272">
        <v>44593</v>
      </c>
      <c r="N326" s="272">
        <v>44925</v>
      </c>
      <c r="O326" s="272">
        <v>44652</v>
      </c>
      <c r="P326" s="273">
        <f t="shared" si="41"/>
        <v>0.17771084337349397</v>
      </c>
      <c r="Q326" s="273">
        <f t="shared" si="47"/>
        <v>0.17771084337349397</v>
      </c>
      <c r="R326" s="274">
        <v>1</v>
      </c>
      <c r="S326" s="275">
        <v>0.25</v>
      </c>
      <c r="T326" s="275">
        <v>0.5</v>
      </c>
      <c r="U326" s="275">
        <v>0.75</v>
      </c>
      <c r="V326" s="275">
        <v>1</v>
      </c>
      <c r="W326" s="275">
        <v>0.25</v>
      </c>
      <c r="X326" s="275" t="s">
        <v>1448</v>
      </c>
      <c r="Y326" s="341" t="s">
        <v>340</v>
      </c>
      <c r="Z326" s="316">
        <v>16000000</v>
      </c>
      <c r="AA326" s="275">
        <v>0.52</v>
      </c>
      <c r="AB326" s="277" t="s">
        <v>1449</v>
      </c>
      <c r="AC326" s="277" t="s">
        <v>727</v>
      </c>
      <c r="AD326" s="276"/>
      <c r="AE326" s="277"/>
      <c r="AF326" s="277"/>
      <c r="AG326" s="276"/>
      <c r="AH326" s="277"/>
      <c r="AI326" s="277"/>
      <c r="AJ326" s="278"/>
    </row>
    <row r="327" spans="1:36" ht="75" hidden="1" customHeight="1" outlineLevel="1" x14ac:dyDescent="0.2">
      <c r="A327" s="637"/>
      <c r="B327" s="581"/>
      <c r="C327" s="581"/>
      <c r="D327" s="630"/>
      <c r="E327" s="532" t="s">
        <v>1206</v>
      </c>
      <c r="F327" s="532" t="s">
        <v>1207</v>
      </c>
      <c r="G327" s="10" t="s">
        <v>1450</v>
      </c>
      <c r="H327" s="10" t="s">
        <v>1451</v>
      </c>
      <c r="I327" s="10" t="s">
        <v>1272</v>
      </c>
      <c r="J327" s="280" t="s">
        <v>1452</v>
      </c>
      <c r="K327" s="251" t="s">
        <v>555</v>
      </c>
      <c r="L327" s="316">
        <v>0</v>
      </c>
      <c r="M327" s="272">
        <v>44593</v>
      </c>
      <c r="N327" s="272">
        <v>44925</v>
      </c>
      <c r="O327" s="272">
        <v>44652</v>
      </c>
      <c r="P327" s="273">
        <f t="shared" si="41"/>
        <v>0.17771084337349397</v>
      </c>
      <c r="Q327" s="273">
        <f t="shared" ref="Q327:Q333" si="52">+IF(P327&gt;=100,100,IF(P327&lt;=0,0,P327))</f>
        <v>0.17771084337349397</v>
      </c>
      <c r="R327" s="274">
        <v>1</v>
      </c>
      <c r="S327" s="275">
        <v>0.25</v>
      </c>
      <c r="T327" s="275">
        <v>0.5</v>
      </c>
      <c r="U327" s="275">
        <v>0.75</v>
      </c>
      <c r="V327" s="275">
        <v>1</v>
      </c>
      <c r="W327" s="275">
        <v>0.25</v>
      </c>
      <c r="X327" s="275" t="s">
        <v>1453</v>
      </c>
      <c r="Y327" s="341" t="s">
        <v>1454</v>
      </c>
      <c r="Z327" s="316">
        <v>0</v>
      </c>
      <c r="AA327" s="275">
        <v>0.3</v>
      </c>
      <c r="AB327" s="277" t="s">
        <v>1455</v>
      </c>
      <c r="AC327" s="277" t="s">
        <v>1456</v>
      </c>
      <c r="AD327" s="276"/>
      <c r="AE327" s="277"/>
      <c r="AF327" s="277"/>
      <c r="AG327" s="276"/>
      <c r="AH327" s="277"/>
      <c r="AI327" s="277"/>
      <c r="AJ327" s="278"/>
    </row>
    <row r="328" spans="1:36" ht="75" hidden="1" customHeight="1" outlineLevel="1" x14ac:dyDescent="0.2">
      <c r="A328" s="637"/>
      <c r="B328" s="581"/>
      <c r="C328" s="581"/>
      <c r="D328" s="630"/>
      <c r="E328" s="533"/>
      <c r="F328" s="533"/>
      <c r="G328" s="246" t="s">
        <v>1388</v>
      </c>
      <c r="H328" s="10" t="s">
        <v>1457</v>
      </c>
      <c r="I328" s="10" t="s">
        <v>1272</v>
      </c>
      <c r="J328" s="251" t="s">
        <v>1458</v>
      </c>
      <c r="K328" s="251" t="s">
        <v>555</v>
      </c>
      <c r="L328" s="316">
        <v>0</v>
      </c>
      <c r="M328" s="272">
        <v>44593</v>
      </c>
      <c r="N328" s="272">
        <v>44925</v>
      </c>
      <c r="O328" s="272">
        <v>44652</v>
      </c>
      <c r="P328" s="273">
        <f t="shared" si="41"/>
        <v>0.17771084337349397</v>
      </c>
      <c r="Q328" s="273">
        <f t="shared" si="52"/>
        <v>0.17771084337349397</v>
      </c>
      <c r="R328" s="274">
        <v>1</v>
      </c>
      <c r="S328" s="275">
        <v>0.25</v>
      </c>
      <c r="T328" s="275">
        <v>0.5</v>
      </c>
      <c r="U328" s="275">
        <v>0.75</v>
      </c>
      <c r="V328" s="275">
        <v>1</v>
      </c>
      <c r="W328" s="275">
        <v>0.4</v>
      </c>
      <c r="X328" s="275" t="s">
        <v>1459</v>
      </c>
      <c r="Y328" s="341" t="s">
        <v>1460</v>
      </c>
      <c r="Z328" s="316">
        <v>0</v>
      </c>
      <c r="AA328" s="275">
        <v>0.3</v>
      </c>
      <c r="AB328" s="277" t="s">
        <v>1461</v>
      </c>
      <c r="AC328" s="277" t="s">
        <v>1462</v>
      </c>
      <c r="AD328" s="276"/>
      <c r="AE328" s="277"/>
      <c r="AF328" s="277"/>
      <c r="AG328" s="276"/>
      <c r="AH328" s="277"/>
      <c r="AI328" s="277"/>
      <c r="AJ328" s="278"/>
    </row>
    <row r="329" spans="1:36" ht="148.5" hidden="1" customHeight="1" outlineLevel="1" x14ac:dyDescent="0.2">
      <c r="A329" s="637"/>
      <c r="B329" s="581"/>
      <c r="C329" s="581"/>
      <c r="D329" s="630"/>
      <c r="E329" s="532" t="s">
        <v>1254</v>
      </c>
      <c r="F329" s="532" t="s">
        <v>191</v>
      </c>
      <c r="G329" s="553" t="s">
        <v>1463</v>
      </c>
      <c r="H329" s="10" t="s">
        <v>1354</v>
      </c>
      <c r="I329" s="553" t="s">
        <v>194</v>
      </c>
      <c r="J329" s="251" t="s">
        <v>1464</v>
      </c>
      <c r="K329" s="251" t="s">
        <v>555</v>
      </c>
      <c r="L329" s="316">
        <v>0</v>
      </c>
      <c r="M329" s="272">
        <v>44593</v>
      </c>
      <c r="N329" s="272">
        <v>44925</v>
      </c>
      <c r="O329" s="272">
        <v>44652</v>
      </c>
      <c r="P329" s="273">
        <f t="shared" si="41"/>
        <v>0.17771084337349397</v>
      </c>
      <c r="Q329" s="273">
        <f t="shared" si="52"/>
        <v>0.17771084337349397</v>
      </c>
      <c r="R329" s="274">
        <v>1</v>
      </c>
      <c r="S329" s="275">
        <v>0.25</v>
      </c>
      <c r="T329" s="275">
        <v>0.5</v>
      </c>
      <c r="U329" s="275">
        <v>0.75</v>
      </c>
      <c r="V329" s="275">
        <v>1</v>
      </c>
      <c r="W329" s="275">
        <v>0.5</v>
      </c>
      <c r="X329" s="275" t="s">
        <v>1465</v>
      </c>
      <c r="Y329" s="341" t="s">
        <v>1466</v>
      </c>
      <c r="Z329" s="316">
        <v>0</v>
      </c>
      <c r="AA329" s="275">
        <v>0.5</v>
      </c>
      <c r="AB329" s="277" t="s">
        <v>1467</v>
      </c>
      <c r="AC329" s="277" t="s">
        <v>1468</v>
      </c>
      <c r="AD329" s="276"/>
      <c r="AE329" s="277"/>
      <c r="AF329" s="277"/>
      <c r="AG329" s="276"/>
      <c r="AH329" s="277"/>
      <c r="AI329" s="277"/>
      <c r="AJ329" s="278"/>
    </row>
    <row r="330" spans="1:36" ht="63" hidden="1" customHeight="1" outlineLevel="1" x14ac:dyDescent="0.2">
      <c r="A330" s="637"/>
      <c r="B330" s="581"/>
      <c r="C330" s="581"/>
      <c r="D330" s="630"/>
      <c r="E330" s="534"/>
      <c r="F330" s="534"/>
      <c r="G330" s="554"/>
      <c r="H330" s="10" t="s">
        <v>1469</v>
      </c>
      <c r="I330" s="554"/>
      <c r="J330" s="251" t="s">
        <v>1470</v>
      </c>
      <c r="K330" s="251" t="s">
        <v>555</v>
      </c>
      <c r="L330" s="316">
        <v>0</v>
      </c>
      <c r="M330" s="272">
        <v>44593</v>
      </c>
      <c r="N330" s="272">
        <v>44925</v>
      </c>
      <c r="O330" s="272">
        <v>44652</v>
      </c>
      <c r="P330" s="273">
        <f t="shared" si="41"/>
        <v>0.17771084337349397</v>
      </c>
      <c r="Q330" s="273">
        <f t="shared" si="52"/>
        <v>0.17771084337349397</v>
      </c>
      <c r="R330" s="274">
        <v>1</v>
      </c>
      <c r="S330" s="275">
        <v>0.25</v>
      </c>
      <c r="T330" s="275">
        <v>0.5</v>
      </c>
      <c r="U330" s="275">
        <v>0.75</v>
      </c>
      <c r="V330" s="275">
        <v>1</v>
      </c>
      <c r="W330" s="275">
        <v>0</v>
      </c>
      <c r="X330" s="275" t="s">
        <v>1422</v>
      </c>
      <c r="Y330" s="341" t="s">
        <v>53</v>
      </c>
      <c r="Z330" s="316">
        <v>0</v>
      </c>
      <c r="AA330" s="275">
        <v>0.5</v>
      </c>
      <c r="AB330" s="277" t="s">
        <v>1472</v>
      </c>
      <c r="AC330" s="277" t="s">
        <v>1473</v>
      </c>
      <c r="AD330" s="276"/>
      <c r="AE330" s="277"/>
      <c r="AF330" s="277"/>
      <c r="AG330" s="276"/>
      <c r="AH330" s="277"/>
      <c r="AI330" s="277"/>
      <c r="AJ330" s="278"/>
    </row>
    <row r="331" spans="1:36" ht="87.75" hidden="1" customHeight="1" outlineLevel="1" x14ac:dyDescent="0.2">
      <c r="A331" s="637"/>
      <c r="B331" s="581"/>
      <c r="C331" s="581"/>
      <c r="D331" s="630"/>
      <c r="E331" s="534"/>
      <c r="F331" s="534"/>
      <c r="G331" s="554"/>
      <c r="H331" s="10" t="s">
        <v>1474</v>
      </c>
      <c r="I331" s="554"/>
      <c r="J331" s="251" t="s">
        <v>1475</v>
      </c>
      <c r="K331" s="251" t="s">
        <v>555</v>
      </c>
      <c r="L331" s="316">
        <v>0</v>
      </c>
      <c r="M331" s="272">
        <v>44593</v>
      </c>
      <c r="N331" s="272">
        <v>44925</v>
      </c>
      <c r="O331" s="272">
        <v>44652</v>
      </c>
      <c r="P331" s="273">
        <f t="shared" si="41"/>
        <v>0.17771084337349397</v>
      </c>
      <c r="Q331" s="273">
        <f t="shared" si="52"/>
        <v>0.17771084337349397</v>
      </c>
      <c r="R331" s="274">
        <v>1</v>
      </c>
      <c r="S331" s="275">
        <v>0.25</v>
      </c>
      <c r="T331" s="275">
        <v>0.5</v>
      </c>
      <c r="U331" s="275">
        <v>0.75</v>
      </c>
      <c r="V331" s="275">
        <v>1</v>
      </c>
      <c r="W331" s="275">
        <v>0.33</v>
      </c>
      <c r="X331" s="275" t="s">
        <v>1476</v>
      </c>
      <c r="Y331" s="341" t="s">
        <v>201</v>
      </c>
      <c r="Z331" s="316">
        <v>0</v>
      </c>
      <c r="AA331" s="275">
        <v>0.5</v>
      </c>
      <c r="AB331" s="277" t="s">
        <v>1477</v>
      </c>
      <c r="AC331" s="277" t="s">
        <v>1478</v>
      </c>
      <c r="AD331" s="276"/>
      <c r="AE331" s="277"/>
      <c r="AF331" s="277"/>
      <c r="AG331" s="276"/>
      <c r="AH331" s="277"/>
      <c r="AI331" s="277"/>
      <c r="AJ331" s="278"/>
    </row>
    <row r="332" spans="1:36" ht="36.6" hidden="1" customHeight="1" outlineLevel="1" x14ac:dyDescent="0.2">
      <c r="A332" s="637"/>
      <c r="B332" s="581"/>
      <c r="C332" s="581"/>
      <c r="D332" s="630"/>
      <c r="E332" s="533"/>
      <c r="F332" s="533"/>
      <c r="G332" s="555"/>
      <c r="H332" s="10" t="s">
        <v>1479</v>
      </c>
      <c r="I332" s="555"/>
      <c r="J332" s="12" t="s">
        <v>1480</v>
      </c>
      <c r="K332" s="251" t="s">
        <v>555</v>
      </c>
      <c r="L332" s="316">
        <v>0</v>
      </c>
      <c r="M332" s="272">
        <v>44593</v>
      </c>
      <c r="N332" s="272">
        <v>44925</v>
      </c>
      <c r="O332" s="272">
        <v>44652</v>
      </c>
      <c r="P332" s="273">
        <f t="shared" si="41"/>
        <v>0.17771084337349397</v>
      </c>
      <c r="Q332" s="273">
        <f t="shared" si="52"/>
        <v>0.17771084337349397</v>
      </c>
      <c r="R332" s="274">
        <v>1</v>
      </c>
      <c r="S332" s="275">
        <v>0.25</v>
      </c>
      <c r="T332" s="275">
        <v>0.5</v>
      </c>
      <c r="U332" s="275">
        <v>0.75</v>
      </c>
      <c r="V332" s="275">
        <v>1</v>
      </c>
      <c r="W332" s="275">
        <v>0</v>
      </c>
      <c r="X332" s="275" t="s">
        <v>1481</v>
      </c>
      <c r="Y332" s="341" t="s">
        <v>53</v>
      </c>
      <c r="Z332" s="316">
        <v>0</v>
      </c>
      <c r="AA332" s="275">
        <v>0.5</v>
      </c>
      <c r="AB332" s="277" t="s">
        <v>1482</v>
      </c>
      <c r="AC332" s="277" t="s">
        <v>1478</v>
      </c>
      <c r="AD332" s="276"/>
      <c r="AE332" s="277"/>
      <c r="AF332" s="277"/>
      <c r="AG332" s="276"/>
      <c r="AH332" s="277"/>
      <c r="AI332" s="277"/>
      <c r="AJ332" s="278"/>
    </row>
    <row r="333" spans="1:36" ht="135.6" hidden="1" customHeight="1" outlineLevel="1" x14ac:dyDescent="0.2">
      <c r="A333" s="637"/>
      <c r="B333" s="581"/>
      <c r="C333" s="547"/>
      <c r="D333" s="630"/>
      <c r="E333" s="246" t="s">
        <v>1277</v>
      </c>
      <c r="F333" s="246" t="s">
        <v>1343</v>
      </c>
      <c r="G333" s="10" t="s">
        <v>1378</v>
      </c>
      <c r="H333" s="10" t="s">
        <v>1483</v>
      </c>
      <c r="I333" s="10" t="s">
        <v>1280</v>
      </c>
      <c r="J333" s="12" t="s">
        <v>1484</v>
      </c>
      <c r="K333" s="251" t="s">
        <v>555</v>
      </c>
      <c r="L333" s="316">
        <v>0</v>
      </c>
      <c r="M333" s="272">
        <v>44593</v>
      </c>
      <c r="N333" s="272">
        <v>44925</v>
      </c>
      <c r="O333" s="272">
        <v>44652</v>
      </c>
      <c r="P333" s="273">
        <f t="shared" si="41"/>
        <v>0.17771084337349397</v>
      </c>
      <c r="Q333" s="273">
        <f t="shared" si="52"/>
        <v>0.17771084337349397</v>
      </c>
      <c r="R333" s="274">
        <v>1</v>
      </c>
      <c r="S333" s="275">
        <v>0.25</v>
      </c>
      <c r="T333" s="275">
        <v>0.5</v>
      </c>
      <c r="U333" s="275">
        <v>0.75</v>
      </c>
      <c r="V333" s="275">
        <v>1</v>
      </c>
      <c r="W333" s="275">
        <v>0.5</v>
      </c>
      <c r="X333" s="275" t="s">
        <v>1485</v>
      </c>
      <c r="Y333" s="341" t="s">
        <v>1486</v>
      </c>
      <c r="Z333" s="316">
        <v>0</v>
      </c>
      <c r="AA333" s="275">
        <v>0.5</v>
      </c>
      <c r="AB333" s="277" t="s">
        <v>1487</v>
      </c>
      <c r="AC333" s="277" t="s">
        <v>1488</v>
      </c>
      <c r="AD333" s="276"/>
      <c r="AE333" s="277"/>
      <c r="AF333" s="277"/>
      <c r="AG333" s="276"/>
      <c r="AH333" s="277"/>
      <c r="AI333" s="277"/>
      <c r="AJ333" s="278"/>
    </row>
    <row r="334" spans="1:36" ht="75" hidden="1" customHeight="1" outlineLevel="1" x14ac:dyDescent="0.2">
      <c r="A334" s="637"/>
      <c r="B334" s="581"/>
      <c r="C334" s="546" t="s">
        <v>1284</v>
      </c>
      <c r="D334" s="630"/>
      <c r="E334" s="532" t="s">
        <v>1489</v>
      </c>
      <c r="F334" s="532" t="s">
        <v>110</v>
      </c>
      <c r="G334" s="553" t="s">
        <v>1490</v>
      </c>
      <c r="H334" s="10" t="s">
        <v>1491</v>
      </c>
      <c r="I334" s="10" t="s">
        <v>112</v>
      </c>
      <c r="J334" s="550" t="s">
        <v>1492</v>
      </c>
      <c r="K334" s="251" t="s">
        <v>555</v>
      </c>
      <c r="L334" s="316">
        <v>0</v>
      </c>
      <c r="M334" s="272">
        <v>44593</v>
      </c>
      <c r="N334" s="272">
        <v>44925</v>
      </c>
      <c r="O334" s="272">
        <v>44652</v>
      </c>
      <c r="P334" s="273">
        <f t="shared" si="41"/>
        <v>0.17771084337349397</v>
      </c>
      <c r="Q334" s="273">
        <f t="shared" si="47"/>
        <v>0.17771084337349397</v>
      </c>
      <c r="R334" s="274">
        <v>1</v>
      </c>
      <c r="S334" s="275">
        <v>0.25</v>
      </c>
      <c r="T334" s="275">
        <v>0.5</v>
      </c>
      <c r="U334" s="275">
        <v>0.75</v>
      </c>
      <c r="V334" s="275">
        <v>1</v>
      </c>
      <c r="W334" s="275">
        <v>0</v>
      </c>
      <c r="X334" s="275" t="s">
        <v>1422</v>
      </c>
      <c r="Y334" s="341" t="s">
        <v>53</v>
      </c>
      <c r="Z334" s="316">
        <v>0</v>
      </c>
      <c r="AA334" s="275">
        <v>0.5</v>
      </c>
      <c r="AB334" s="277" t="s">
        <v>1493</v>
      </c>
      <c r="AC334" s="277" t="s">
        <v>117</v>
      </c>
      <c r="AD334" s="276"/>
      <c r="AE334" s="277"/>
      <c r="AF334" s="277"/>
      <c r="AG334" s="276"/>
      <c r="AH334" s="277"/>
      <c r="AI334" s="277"/>
      <c r="AJ334" s="278"/>
    </row>
    <row r="335" spans="1:36" ht="73.5" hidden="1" customHeight="1" outlineLevel="1" x14ac:dyDescent="0.2">
      <c r="A335" s="637"/>
      <c r="B335" s="581"/>
      <c r="C335" s="581"/>
      <c r="D335" s="630"/>
      <c r="E335" s="534"/>
      <c r="F335" s="534"/>
      <c r="G335" s="554"/>
      <c r="H335" s="10" t="s">
        <v>1335</v>
      </c>
      <c r="I335" s="10" t="s">
        <v>112</v>
      </c>
      <c r="J335" s="551"/>
      <c r="K335" s="251" t="s">
        <v>555</v>
      </c>
      <c r="L335" s="316">
        <v>0</v>
      </c>
      <c r="M335" s="272">
        <v>44593</v>
      </c>
      <c r="N335" s="272">
        <v>44925</v>
      </c>
      <c r="O335" s="272">
        <v>44652</v>
      </c>
      <c r="P335" s="273">
        <f t="shared" si="41"/>
        <v>0.17771084337349397</v>
      </c>
      <c r="Q335" s="273">
        <f t="shared" ref="Q335:Q343" si="53">+IF(P335&gt;=100,100,IF(P335&lt;=0,0,P335))</f>
        <v>0.17771084337349397</v>
      </c>
      <c r="R335" s="274">
        <v>1</v>
      </c>
      <c r="S335" s="275">
        <v>0.25</v>
      </c>
      <c r="T335" s="275">
        <v>0.5</v>
      </c>
      <c r="U335" s="275">
        <v>0.75</v>
      </c>
      <c r="V335" s="275">
        <v>1</v>
      </c>
      <c r="W335" s="275">
        <v>0.5</v>
      </c>
      <c r="X335" s="275" t="s">
        <v>1494</v>
      </c>
      <c r="Y335" s="341" t="s">
        <v>1495</v>
      </c>
      <c r="Z335" s="316">
        <v>0</v>
      </c>
      <c r="AA335" s="275">
        <v>0.5</v>
      </c>
      <c r="AB335" s="277" t="s">
        <v>1496</v>
      </c>
      <c r="AC335" s="277" t="s">
        <v>117</v>
      </c>
      <c r="AD335" s="276"/>
      <c r="AE335" s="277"/>
      <c r="AF335" s="277"/>
      <c r="AG335" s="276"/>
      <c r="AH335" s="277"/>
      <c r="AI335" s="277"/>
      <c r="AJ335" s="278"/>
    </row>
    <row r="336" spans="1:36" ht="36.6" hidden="1" customHeight="1" outlineLevel="1" x14ac:dyDescent="0.2">
      <c r="A336" s="637"/>
      <c r="B336" s="581"/>
      <c r="C336" s="581"/>
      <c r="D336" s="630"/>
      <c r="E336" s="534"/>
      <c r="F336" s="534"/>
      <c r="G336" s="554"/>
      <c r="H336" s="10" t="s">
        <v>1497</v>
      </c>
      <c r="I336" s="10" t="s">
        <v>112</v>
      </c>
      <c r="J336" s="551"/>
      <c r="K336" s="251" t="s">
        <v>555</v>
      </c>
      <c r="L336" s="316">
        <v>0</v>
      </c>
      <c r="M336" s="272">
        <v>44593</v>
      </c>
      <c r="N336" s="272">
        <v>44925</v>
      </c>
      <c r="O336" s="272">
        <v>44652</v>
      </c>
      <c r="P336" s="273">
        <f t="shared" si="41"/>
        <v>0.17771084337349397</v>
      </c>
      <c r="Q336" s="273">
        <f t="shared" si="53"/>
        <v>0.17771084337349397</v>
      </c>
      <c r="R336" s="274">
        <v>1</v>
      </c>
      <c r="S336" s="275">
        <v>0.25</v>
      </c>
      <c r="T336" s="275">
        <v>0.5</v>
      </c>
      <c r="U336" s="275">
        <v>0.75</v>
      </c>
      <c r="V336" s="275">
        <v>1</v>
      </c>
      <c r="W336" s="275">
        <v>0</v>
      </c>
      <c r="X336" s="275" t="s">
        <v>1422</v>
      </c>
      <c r="Y336" s="341" t="s">
        <v>53</v>
      </c>
      <c r="Z336" s="316">
        <v>0</v>
      </c>
      <c r="AA336" s="275">
        <v>0</v>
      </c>
      <c r="AB336" s="275" t="s">
        <v>1422</v>
      </c>
      <c r="AC336" s="277" t="s">
        <v>53</v>
      </c>
      <c r="AD336" s="276"/>
      <c r="AE336" s="277"/>
      <c r="AF336" s="277"/>
      <c r="AG336" s="276"/>
      <c r="AH336" s="277"/>
      <c r="AI336" s="277"/>
      <c r="AJ336" s="278"/>
    </row>
    <row r="337" spans="1:36" ht="75" hidden="1" customHeight="1" outlineLevel="1" x14ac:dyDescent="0.2">
      <c r="A337" s="637"/>
      <c r="B337" s="581"/>
      <c r="C337" s="581"/>
      <c r="D337" s="630"/>
      <c r="E337" s="534"/>
      <c r="F337" s="534"/>
      <c r="G337" s="554"/>
      <c r="H337" s="10" t="s">
        <v>1498</v>
      </c>
      <c r="I337" s="10" t="s">
        <v>112</v>
      </c>
      <c r="J337" s="551"/>
      <c r="K337" s="251" t="s">
        <v>555</v>
      </c>
      <c r="L337" s="316">
        <v>0</v>
      </c>
      <c r="M337" s="272">
        <v>44593</v>
      </c>
      <c r="N337" s="272">
        <v>44925</v>
      </c>
      <c r="O337" s="272">
        <v>44652</v>
      </c>
      <c r="P337" s="273">
        <f t="shared" si="41"/>
        <v>0.17771084337349397</v>
      </c>
      <c r="Q337" s="273">
        <f t="shared" si="53"/>
        <v>0.17771084337349397</v>
      </c>
      <c r="R337" s="274">
        <v>1</v>
      </c>
      <c r="S337" s="275">
        <v>0.25</v>
      </c>
      <c r="T337" s="275">
        <v>0.5</v>
      </c>
      <c r="U337" s="275">
        <v>0.75</v>
      </c>
      <c r="V337" s="275">
        <v>1</v>
      </c>
      <c r="W337" s="275">
        <v>0</v>
      </c>
      <c r="X337" s="275" t="s">
        <v>1422</v>
      </c>
      <c r="Y337" s="341" t="s">
        <v>53</v>
      </c>
      <c r="Z337" s="316">
        <v>0</v>
      </c>
      <c r="AA337" s="275">
        <v>0</v>
      </c>
      <c r="AB337" s="275" t="s">
        <v>1422</v>
      </c>
      <c r="AC337" s="277" t="s">
        <v>53</v>
      </c>
      <c r="AD337" s="276"/>
      <c r="AE337" s="277"/>
      <c r="AF337" s="277"/>
      <c r="AG337" s="276"/>
      <c r="AH337" s="277"/>
      <c r="AI337" s="277"/>
      <c r="AJ337" s="278"/>
    </row>
    <row r="338" spans="1:36" ht="63.75" hidden="1" customHeight="1" outlineLevel="1" x14ac:dyDescent="0.2">
      <c r="A338" s="637"/>
      <c r="B338" s="581"/>
      <c r="C338" s="581"/>
      <c r="D338" s="630"/>
      <c r="E338" s="534"/>
      <c r="F338" s="534"/>
      <c r="G338" s="554"/>
      <c r="H338" s="10" t="s">
        <v>1499</v>
      </c>
      <c r="I338" s="10" t="s">
        <v>112</v>
      </c>
      <c r="J338" s="551"/>
      <c r="K338" s="251" t="s">
        <v>555</v>
      </c>
      <c r="L338" s="316">
        <v>0</v>
      </c>
      <c r="M338" s="272">
        <v>44593</v>
      </c>
      <c r="N338" s="272">
        <v>44925</v>
      </c>
      <c r="O338" s="272">
        <v>44652</v>
      </c>
      <c r="P338" s="273">
        <f t="shared" si="41"/>
        <v>0.17771084337349397</v>
      </c>
      <c r="Q338" s="273">
        <f t="shared" si="53"/>
        <v>0.17771084337349397</v>
      </c>
      <c r="R338" s="274">
        <v>1</v>
      </c>
      <c r="S338" s="275">
        <v>0.25</v>
      </c>
      <c r="T338" s="275">
        <v>0.5</v>
      </c>
      <c r="U338" s="275">
        <v>0.75</v>
      </c>
      <c r="V338" s="275">
        <v>1</v>
      </c>
      <c r="W338" s="275">
        <v>0</v>
      </c>
      <c r="X338" s="275" t="s">
        <v>1422</v>
      </c>
      <c r="Y338" s="341" t="s">
        <v>53</v>
      </c>
      <c r="Z338" s="316">
        <v>0</v>
      </c>
      <c r="AA338" s="275">
        <v>0</v>
      </c>
      <c r="AB338" s="277" t="s">
        <v>1500</v>
      </c>
      <c r="AC338" s="277" t="s">
        <v>53</v>
      </c>
      <c r="AD338" s="276"/>
      <c r="AE338" s="277"/>
      <c r="AF338" s="277"/>
      <c r="AG338" s="276"/>
      <c r="AH338" s="277"/>
      <c r="AI338" s="277"/>
      <c r="AJ338" s="278"/>
    </row>
    <row r="339" spans="1:36" ht="117.75" hidden="1" customHeight="1" outlineLevel="1" x14ac:dyDescent="0.2">
      <c r="A339" s="637"/>
      <c r="B339" s="581"/>
      <c r="C339" s="581"/>
      <c r="D339" s="630"/>
      <c r="E339" s="534"/>
      <c r="F339" s="534"/>
      <c r="G339" s="554"/>
      <c r="H339" s="10" t="s">
        <v>1291</v>
      </c>
      <c r="I339" s="10" t="s">
        <v>112</v>
      </c>
      <c r="J339" s="551"/>
      <c r="K339" s="251" t="s">
        <v>555</v>
      </c>
      <c r="L339" s="316">
        <v>0</v>
      </c>
      <c r="M339" s="272">
        <v>44593</v>
      </c>
      <c r="N339" s="272">
        <v>44925</v>
      </c>
      <c r="O339" s="272">
        <v>44652</v>
      </c>
      <c r="P339" s="273">
        <f t="shared" si="41"/>
        <v>0.17771084337349397</v>
      </c>
      <c r="Q339" s="273">
        <f t="shared" si="53"/>
        <v>0.17771084337349397</v>
      </c>
      <c r="R339" s="274">
        <v>1</v>
      </c>
      <c r="S339" s="275">
        <v>0.25</v>
      </c>
      <c r="T339" s="275">
        <v>0.5</v>
      </c>
      <c r="U339" s="275">
        <v>0.75</v>
      </c>
      <c r="V339" s="275">
        <v>1</v>
      </c>
      <c r="W339" s="275">
        <v>0</v>
      </c>
      <c r="X339" s="275" t="s">
        <v>1422</v>
      </c>
      <c r="Y339" s="341" t="s">
        <v>53</v>
      </c>
      <c r="Z339" s="316">
        <v>0</v>
      </c>
      <c r="AA339" s="275">
        <v>0</v>
      </c>
      <c r="AB339" s="275" t="s">
        <v>1422</v>
      </c>
      <c r="AC339" s="277" t="s">
        <v>53</v>
      </c>
      <c r="AD339" s="276"/>
      <c r="AE339" s="277"/>
      <c r="AF339" s="277"/>
      <c r="AG339" s="276"/>
      <c r="AH339" s="277"/>
      <c r="AI339" s="277"/>
      <c r="AJ339" s="278"/>
    </row>
    <row r="340" spans="1:36" ht="77.25" hidden="1" customHeight="1" outlineLevel="1" x14ac:dyDescent="0.2">
      <c r="A340" s="637"/>
      <c r="B340" s="581"/>
      <c r="C340" s="581"/>
      <c r="D340" s="630"/>
      <c r="E340" s="534"/>
      <c r="F340" s="534"/>
      <c r="G340" s="554"/>
      <c r="H340" s="10" t="s">
        <v>1326</v>
      </c>
      <c r="I340" s="10" t="s">
        <v>112</v>
      </c>
      <c r="J340" s="551"/>
      <c r="K340" s="251" t="s">
        <v>555</v>
      </c>
      <c r="L340" s="316">
        <v>0</v>
      </c>
      <c r="M340" s="272">
        <v>44593</v>
      </c>
      <c r="N340" s="272">
        <v>44925</v>
      </c>
      <c r="O340" s="272">
        <v>44652</v>
      </c>
      <c r="P340" s="273">
        <f t="shared" si="41"/>
        <v>0.17771084337349397</v>
      </c>
      <c r="Q340" s="273">
        <f t="shared" si="53"/>
        <v>0.17771084337349397</v>
      </c>
      <c r="R340" s="274">
        <v>1</v>
      </c>
      <c r="S340" s="275">
        <v>0.25</v>
      </c>
      <c r="T340" s="275">
        <v>0.5</v>
      </c>
      <c r="U340" s="275">
        <v>0.75</v>
      </c>
      <c r="V340" s="275">
        <v>1</v>
      </c>
      <c r="W340" s="275">
        <v>0</v>
      </c>
      <c r="X340" s="275" t="s">
        <v>1422</v>
      </c>
      <c r="Y340" s="341" t="s">
        <v>53</v>
      </c>
      <c r="Z340" s="316">
        <v>0</v>
      </c>
      <c r="AA340" s="275">
        <v>0</v>
      </c>
      <c r="AB340" s="275" t="s">
        <v>1422</v>
      </c>
      <c r="AC340" s="277" t="s">
        <v>53</v>
      </c>
      <c r="AD340" s="276"/>
      <c r="AE340" s="277"/>
      <c r="AF340" s="277"/>
      <c r="AG340" s="276"/>
      <c r="AH340" s="277"/>
      <c r="AI340" s="277"/>
      <c r="AJ340" s="278"/>
    </row>
    <row r="341" spans="1:36" ht="75" hidden="1" customHeight="1" outlineLevel="1" x14ac:dyDescent="0.2">
      <c r="A341" s="637"/>
      <c r="B341" s="581"/>
      <c r="C341" s="581"/>
      <c r="D341" s="630"/>
      <c r="E341" s="534"/>
      <c r="F341" s="534"/>
      <c r="G341" s="554"/>
      <c r="H341" s="10" t="s">
        <v>1328</v>
      </c>
      <c r="I341" s="10" t="s">
        <v>112</v>
      </c>
      <c r="J341" s="551"/>
      <c r="K341" s="251" t="s">
        <v>555</v>
      </c>
      <c r="L341" s="316">
        <v>0</v>
      </c>
      <c r="M341" s="272">
        <v>44593</v>
      </c>
      <c r="N341" s="272">
        <v>44925</v>
      </c>
      <c r="O341" s="272">
        <v>44652</v>
      </c>
      <c r="P341" s="273">
        <f t="shared" ref="P341:P398" si="54">+(+_xlfn.DAYS(M341,O341))/(+_xlfn.DAYS(M341,N341))</f>
        <v>0.17771084337349397</v>
      </c>
      <c r="Q341" s="273">
        <f t="shared" si="53"/>
        <v>0.17771084337349397</v>
      </c>
      <c r="R341" s="274">
        <v>1</v>
      </c>
      <c r="S341" s="275">
        <v>0.25</v>
      </c>
      <c r="T341" s="275">
        <v>0.5</v>
      </c>
      <c r="U341" s="275">
        <v>0.75</v>
      </c>
      <c r="V341" s="275">
        <v>1</v>
      </c>
      <c r="W341" s="275">
        <v>0.5</v>
      </c>
      <c r="X341" s="275" t="s">
        <v>1501</v>
      </c>
      <c r="Y341" s="341" t="s">
        <v>1502</v>
      </c>
      <c r="Z341" s="316">
        <v>0</v>
      </c>
      <c r="AA341" s="275">
        <v>0</v>
      </c>
      <c r="AB341" s="275" t="s">
        <v>1422</v>
      </c>
      <c r="AC341" s="277" t="s">
        <v>53</v>
      </c>
      <c r="AD341" s="276"/>
      <c r="AE341" s="277"/>
      <c r="AF341" s="277"/>
      <c r="AG341" s="276"/>
      <c r="AH341" s="277"/>
      <c r="AI341" s="277"/>
      <c r="AJ341" s="278"/>
    </row>
    <row r="342" spans="1:36" ht="108" hidden="1" customHeight="1" outlineLevel="1" x14ac:dyDescent="0.2">
      <c r="A342" s="637"/>
      <c r="B342" s="581"/>
      <c r="C342" s="581"/>
      <c r="D342" s="630"/>
      <c r="E342" s="534"/>
      <c r="F342" s="534"/>
      <c r="G342" s="554"/>
      <c r="H342" s="10" t="s">
        <v>1329</v>
      </c>
      <c r="I342" s="10" t="s">
        <v>112</v>
      </c>
      <c r="J342" s="551"/>
      <c r="K342" s="251" t="s">
        <v>555</v>
      </c>
      <c r="L342" s="316">
        <v>0</v>
      </c>
      <c r="M342" s="272">
        <v>44593</v>
      </c>
      <c r="N342" s="272">
        <v>44925</v>
      </c>
      <c r="O342" s="272">
        <v>44652</v>
      </c>
      <c r="P342" s="273">
        <f t="shared" si="54"/>
        <v>0.17771084337349397</v>
      </c>
      <c r="Q342" s="273">
        <f t="shared" si="53"/>
        <v>0.17771084337349397</v>
      </c>
      <c r="R342" s="274">
        <v>1</v>
      </c>
      <c r="S342" s="275">
        <v>0.25</v>
      </c>
      <c r="T342" s="275">
        <v>0.5</v>
      </c>
      <c r="U342" s="275">
        <v>0.75</v>
      </c>
      <c r="V342" s="275">
        <v>1</v>
      </c>
      <c r="W342" s="275">
        <v>0.5</v>
      </c>
      <c r="X342" s="275" t="s">
        <v>1503</v>
      </c>
      <c r="Y342" s="341" t="s">
        <v>1502</v>
      </c>
      <c r="Z342" s="316">
        <v>0</v>
      </c>
      <c r="AA342" s="275">
        <v>0.65</v>
      </c>
      <c r="AB342" s="277" t="s">
        <v>1504</v>
      </c>
      <c r="AC342" s="277" t="s">
        <v>53</v>
      </c>
      <c r="AD342" s="276"/>
      <c r="AE342" s="277"/>
      <c r="AF342" s="277"/>
      <c r="AG342" s="276"/>
      <c r="AH342" s="277"/>
      <c r="AI342" s="277"/>
      <c r="AJ342" s="278"/>
    </row>
    <row r="343" spans="1:36" ht="135.6" hidden="1" customHeight="1" outlineLevel="1" x14ac:dyDescent="0.2">
      <c r="A343" s="637"/>
      <c r="B343" s="581"/>
      <c r="C343" s="547"/>
      <c r="D343" s="630"/>
      <c r="E343" s="533"/>
      <c r="F343" s="533"/>
      <c r="G343" s="555"/>
      <c r="H343" s="10" t="s">
        <v>1331</v>
      </c>
      <c r="I343" s="10" t="s">
        <v>112</v>
      </c>
      <c r="J343" s="552"/>
      <c r="K343" s="251" t="s">
        <v>555</v>
      </c>
      <c r="L343" s="316">
        <v>0</v>
      </c>
      <c r="M343" s="272">
        <v>44593</v>
      </c>
      <c r="N343" s="272">
        <v>44925</v>
      </c>
      <c r="O343" s="272">
        <v>44652</v>
      </c>
      <c r="P343" s="273">
        <f t="shared" si="54"/>
        <v>0.17771084337349397</v>
      </c>
      <c r="Q343" s="273">
        <f t="shared" si="53"/>
        <v>0.17771084337349397</v>
      </c>
      <c r="R343" s="274">
        <v>1</v>
      </c>
      <c r="S343" s="275">
        <v>0.25</v>
      </c>
      <c r="T343" s="275">
        <v>0.5</v>
      </c>
      <c r="U343" s="275">
        <v>0.75</v>
      </c>
      <c r="V343" s="275">
        <v>1</v>
      </c>
      <c r="W343" s="275">
        <v>0.5</v>
      </c>
      <c r="X343" s="275" t="s">
        <v>1505</v>
      </c>
      <c r="Y343" s="341" t="s">
        <v>1506</v>
      </c>
      <c r="Z343" s="316">
        <v>0</v>
      </c>
      <c r="AA343" s="275">
        <v>0.7</v>
      </c>
      <c r="AB343" s="277" t="s">
        <v>1507</v>
      </c>
      <c r="AC343" s="277" t="s">
        <v>117</v>
      </c>
      <c r="AD343" s="276"/>
      <c r="AE343" s="277"/>
      <c r="AF343" s="277"/>
      <c r="AG343" s="276"/>
      <c r="AH343" s="277"/>
      <c r="AI343" s="277"/>
      <c r="AJ343" s="278"/>
    </row>
    <row r="344" spans="1:36" ht="46.15" hidden="1" customHeight="1" outlineLevel="1" x14ac:dyDescent="0.2">
      <c r="A344" s="637"/>
      <c r="B344" s="581"/>
      <c r="C344" s="546" t="s">
        <v>1228</v>
      </c>
      <c r="D344" s="630"/>
      <c r="E344" s="532" t="s">
        <v>886</v>
      </c>
      <c r="F344" s="532" t="s">
        <v>501</v>
      </c>
      <c r="G344" s="10" t="s">
        <v>1508</v>
      </c>
      <c r="H344" s="10" t="s">
        <v>1509</v>
      </c>
      <c r="I344" s="553" t="s">
        <v>504</v>
      </c>
      <c r="J344" s="12" t="s">
        <v>1510</v>
      </c>
      <c r="K344" s="251" t="s">
        <v>555</v>
      </c>
      <c r="L344" s="316">
        <v>0</v>
      </c>
      <c r="M344" s="272">
        <v>44593</v>
      </c>
      <c r="N344" s="272">
        <v>44925</v>
      </c>
      <c r="O344" s="272">
        <v>44652</v>
      </c>
      <c r="P344" s="273">
        <f t="shared" si="54"/>
        <v>0.17771084337349397</v>
      </c>
      <c r="Q344" s="273">
        <f t="shared" si="47"/>
        <v>0.17771084337349397</v>
      </c>
      <c r="R344" s="274">
        <v>1</v>
      </c>
      <c r="S344" s="275">
        <v>0.25</v>
      </c>
      <c r="T344" s="275">
        <v>0.5</v>
      </c>
      <c r="U344" s="275">
        <v>0.75</v>
      </c>
      <c r="V344" s="275">
        <v>1</v>
      </c>
      <c r="W344" s="275">
        <v>0</v>
      </c>
      <c r="X344" s="275" t="s">
        <v>1481</v>
      </c>
      <c r="Y344" s="341" t="s">
        <v>53</v>
      </c>
      <c r="Z344" s="316">
        <v>0</v>
      </c>
      <c r="AA344" s="275">
        <v>0.2</v>
      </c>
      <c r="AB344" s="277" t="s">
        <v>1511</v>
      </c>
      <c r="AC344" s="277" t="s">
        <v>1512</v>
      </c>
      <c r="AD344" s="276"/>
      <c r="AE344" s="277"/>
      <c r="AF344" s="277"/>
      <c r="AG344" s="276"/>
      <c r="AH344" s="277"/>
      <c r="AI344" s="277"/>
      <c r="AJ344" s="278"/>
    </row>
    <row r="345" spans="1:36" ht="46.5" hidden="1" customHeight="1" outlineLevel="1" x14ac:dyDescent="0.2">
      <c r="A345" s="637"/>
      <c r="B345" s="581"/>
      <c r="C345" s="581"/>
      <c r="D345" s="630"/>
      <c r="E345" s="534"/>
      <c r="F345" s="534"/>
      <c r="G345" s="553" t="s">
        <v>77</v>
      </c>
      <c r="H345" s="10" t="s">
        <v>1513</v>
      </c>
      <c r="I345" s="554"/>
      <c r="J345" s="251" t="s">
        <v>1514</v>
      </c>
      <c r="K345" s="251" t="s">
        <v>555</v>
      </c>
      <c r="L345" s="316">
        <v>0</v>
      </c>
      <c r="M345" s="272">
        <v>44593</v>
      </c>
      <c r="N345" s="272">
        <v>44925</v>
      </c>
      <c r="O345" s="272">
        <v>44652</v>
      </c>
      <c r="P345" s="273">
        <f t="shared" si="54"/>
        <v>0.17771084337349397</v>
      </c>
      <c r="Q345" s="273">
        <f t="shared" si="47"/>
        <v>0.17771084337349397</v>
      </c>
      <c r="R345" s="274">
        <v>1</v>
      </c>
      <c r="S345" s="275">
        <v>0.25</v>
      </c>
      <c r="T345" s="275">
        <v>0.5</v>
      </c>
      <c r="U345" s="275">
        <v>0.75</v>
      </c>
      <c r="V345" s="275">
        <v>1</v>
      </c>
      <c r="W345" s="275">
        <v>0</v>
      </c>
      <c r="X345" s="275" t="s">
        <v>1422</v>
      </c>
      <c r="Y345" s="341" t="s">
        <v>53</v>
      </c>
      <c r="Z345" s="316">
        <v>0</v>
      </c>
      <c r="AA345" s="275">
        <v>0</v>
      </c>
      <c r="AB345" s="277" t="s">
        <v>1515</v>
      </c>
      <c r="AC345" s="277" t="s">
        <v>53</v>
      </c>
      <c r="AD345" s="276"/>
      <c r="AE345" s="277"/>
      <c r="AF345" s="277"/>
      <c r="AG345" s="276"/>
      <c r="AH345" s="277"/>
      <c r="AI345" s="277"/>
      <c r="AJ345" s="278"/>
    </row>
    <row r="346" spans="1:36" ht="127.5" hidden="1" customHeight="1" outlineLevel="1" x14ac:dyDescent="0.2">
      <c r="A346" s="637"/>
      <c r="B346" s="547"/>
      <c r="C346" s="547"/>
      <c r="D346" s="630"/>
      <c r="E346" s="533"/>
      <c r="F346" s="533"/>
      <c r="G346" s="555"/>
      <c r="H346" s="10" t="s">
        <v>1516</v>
      </c>
      <c r="I346" s="555"/>
      <c r="J346" s="251" t="s">
        <v>1517</v>
      </c>
      <c r="K346" s="251" t="s">
        <v>555</v>
      </c>
      <c r="L346" s="316">
        <v>0</v>
      </c>
      <c r="M346" s="272">
        <v>44593</v>
      </c>
      <c r="N346" s="272">
        <v>44925</v>
      </c>
      <c r="O346" s="272">
        <v>44652</v>
      </c>
      <c r="P346" s="273">
        <f t="shared" si="54"/>
        <v>0.17771084337349397</v>
      </c>
      <c r="Q346" s="273">
        <f t="shared" si="47"/>
        <v>0.17771084337349397</v>
      </c>
      <c r="R346" s="274">
        <v>1</v>
      </c>
      <c r="S346" s="275">
        <v>0.25</v>
      </c>
      <c r="T346" s="275">
        <v>0.5</v>
      </c>
      <c r="U346" s="275">
        <v>0.75</v>
      </c>
      <c r="V346" s="275">
        <v>1</v>
      </c>
      <c r="W346" s="275">
        <v>0</v>
      </c>
      <c r="X346" s="275" t="s">
        <v>1422</v>
      </c>
      <c r="Y346" s="341" t="s">
        <v>53</v>
      </c>
      <c r="Z346" s="316">
        <v>0</v>
      </c>
      <c r="AA346" s="275">
        <v>0.7</v>
      </c>
      <c r="AB346" s="277" t="s">
        <v>2300</v>
      </c>
      <c r="AC346" s="277"/>
      <c r="AD346" s="276"/>
      <c r="AE346" s="277"/>
      <c r="AF346" s="277"/>
      <c r="AG346" s="276"/>
      <c r="AH346" s="277"/>
      <c r="AI346" s="277"/>
      <c r="AJ346" s="278"/>
    </row>
    <row r="347" spans="1:36" ht="90.75" hidden="1" customHeight="1" outlineLevel="1" x14ac:dyDescent="0.2">
      <c r="A347" s="637"/>
      <c r="B347" s="546" t="s">
        <v>983</v>
      </c>
      <c r="C347" s="546" t="s">
        <v>984</v>
      </c>
      <c r="D347" s="630"/>
      <c r="E347" s="532" t="s">
        <v>1518</v>
      </c>
      <c r="F347" s="532" t="s">
        <v>1519</v>
      </c>
      <c r="G347" s="10" t="s">
        <v>1520</v>
      </c>
      <c r="H347" s="10" t="s">
        <v>1521</v>
      </c>
      <c r="I347" s="10" t="s">
        <v>282</v>
      </c>
      <c r="J347" s="251" t="s">
        <v>1522</v>
      </c>
      <c r="K347" s="251" t="s">
        <v>555</v>
      </c>
      <c r="L347" s="316">
        <v>0</v>
      </c>
      <c r="M347" s="272">
        <v>44593</v>
      </c>
      <c r="N347" s="272">
        <v>44925</v>
      </c>
      <c r="O347" s="272">
        <v>44652</v>
      </c>
      <c r="P347" s="273">
        <f t="shared" si="54"/>
        <v>0.17771084337349397</v>
      </c>
      <c r="Q347" s="273">
        <f t="shared" si="47"/>
        <v>0.17771084337349397</v>
      </c>
      <c r="R347" s="274">
        <v>1</v>
      </c>
      <c r="S347" s="275">
        <v>0.25</v>
      </c>
      <c r="T347" s="275">
        <v>0.5</v>
      </c>
      <c r="U347" s="275">
        <v>0.75</v>
      </c>
      <c r="V347" s="275">
        <v>1</v>
      </c>
      <c r="W347" s="275">
        <v>0.5</v>
      </c>
      <c r="X347" s="275" t="s">
        <v>1523</v>
      </c>
      <c r="Y347" s="341" t="s">
        <v>261</v>
      </c>
      <c r="Z347" s="316">
        <v>0</v>
      </c>
      <c r="AA347" s="275">
        <v>0.6</v>
      </c>
      <c r="AB347" s="277" t="s">
        <v>1524</v>
      </c>
      <c r="AC347" s="277"/>
      <c r="AD347" s="276"/>
      <c r="AE347" s="277"/>
      <c r="AF347" s="277"/>
      <c r="AG347" s="276"/>
      <c r="AH347" s="277"/>
      <c r="AI347" s="277"/>
      <c r="AJ347" s="278"/>
    </row>
    <row r="348" spans="1:36" ht="72.75" hidden="1" customHeight="1" outlineLevel="1" x14ac:dyDescent="0.2">
      <c r="A348" s="637"/>
      <c r="B348" s="547"/>
      <c r="C348" s="547"/>
      <c r="D348" s="630"/>
      <c r="E348" s="533"/>
      <c r="F348" s="533"/>
      <c r="G348" s="10" t="s">
        <v>1525</v>
      </c>
      <c r="H348" s="10" t="s">
        <v>1526</v>
      </c>
      <c r="I348" s="10" t="s">
        <v>282</v>
      </c>
      <c r="J348" s="251" t="s">
        <v>1527</v>
      </c>
      <c r="K348" s="251" t="s">
        <v>555</v>
      </c>
      <c r="L348" s="316">
        <v>0</v>
      </c>
      <c r="M348" s="272">
        <v>44593</v>
      </c>
      <c r="N348" s="272">
        <v>44925</v>
      </c>
      <c r="O348" s="272">
        <v>44652</v>
      </c>
      <c r="P348" s="273">
        <f t="shared" si="54"/>
        <v>0.17771084337349397</v>
      </c>
      <c r="Q348" s="273">
        <f t="shared" si="47"/>
        <v>0.17771084337349397</v>
      </c>
      <c r="R348" s="274">
        <v>1</v>
      </c>
      <c r="S348" s="275">
        <v>0.25</v>
      </c>
      <c r="T348" s="275">
        <v>0.5</v>
      </c>
      <c r="U348" s="275">
        <v>0.75</v>
      </c>
      <c r="V348" s="275">
        <v>1</v>
      </c>
      <c r="W348" s="275">
        <v>0</v>
      </c>
      <c r="X348" s="275" t="s">
        <v>1422</v>
      </c>
      <c r="Y348" s="341" t="s">
        <v>53</v>
      </c>
      <c r="Z348" s="316">
        <v>0</v>
      </c>
      <c r="AA348" s="275">
        <v>0</v>
      </c>
      <c r="AB348" s="275" t="s">
        <v>1422</v>
      </c>
      <c r="AC348" s="277" t="s">
        <v>53</v>
      </c>
      <c r="AD348" s="276"/>
      <c r="AE348" s="277"/>
      <c r="AF348" s="277"/>
      <c r="AG348" s="276"/>
      <c r="AH348" s="277"/>
      <c r="AI348" s="277"/>
      <c r="AJ348" s="278"/>
    </row>
    <row r="349" spans="1:36" ht="109.15" hidden="1" customHeight="1" outlineLevel="1" x14ac:dyDescent="0.2">
      <c r="A349" s="637"/>
      <c r="B349" s="416" t="s">
        <v>983</v>
      </c>
      <c r="C349" s="416" t="s">
        <v>984</v>
      </c>
      <c r="D349" s="632" t="s">
        <v>1528</v>
      </c>
      <c r="E349" s="253" t="s">
        <v>1518</v>
      </c>
      <c r="F349" s="309" t="s">
        <v>1519</v>
      </c>
      <c r="G349" s="254" t="s">
        <v>1525</v>
      </c>
      <c r="H349" s="254" t="s">
        <v>1529</v>
      </c>
      <c r="I349" s="254" t="s">
        <v>282</v>
      </c>
      <c r="J349" s="251" t="s">
        <v>1530</v>
      </c>
      <c r="K349" s="349">
        <v>129000000</v>
      </c>
      <c r="L349" s="316">
        <v>0</v>
      </c>
      <c r="M349" s="272">
        <v>44593</v>
      </c>
      <c r="N349" s="272">
        <v>44925</v>
      </c>
      <c r="O349" s="272">
        <v>44652</v>
      </c>
      <c r="P349" s="273">
        <f t="shared" si="54"/>
        <v>0.17771084337349397</v>
      </c>
      <c r="Q349" s="273">
        <f t="shared" si="47"/>
        <v>0.17771084337349397</v>
      </c>
      <c r="R349" s="274">
        <v>1</v>
      </c>
      <c r="S349" s="275">
        <v>0.25</v>
      </c>
      <c r="T349" s="275">
        <v>0.5</v>
      </c>
      <c r="U349" s="275">
        <v>0.75</v>
      </c>
      <c r="V349" s="275">
        <v>1</v>
      </c>
      <c r="W349" s="275">
        <v>0.25</v>
      </c>
      <c r="X349" s="275" t="s">
        <v>1531</v>
      </c>
      <c r="Y349" s="341" t="s">
        <v>1532</v>
      </c>
      <c r="Z349" s="316">
        <v>0</v>
      </c>
      <c r="AA349" s="275">
        <v>0.45</v>
      </c>
      <c r="AB349" s="277" t="s">
        <v>1533</v>
      </c>
      <c r="AC349" s="277" t="s">
        <v>1534</v>
      </c>
      <c r="AD349" s="276"/>
      <c r="AE349" s="277"/>
      <c r="AF349" s="277"/>
      <c r="AG349" s="276"/>
      <c r="AH349" s="277"/>
      <c r="AI349" s="277"/>
      <c r="AJ349" s="278"/>
    </row>
    <row r="350" spans="1:36" ht="109.15" hidden="1" customHeight="1" outlineLevel="1" x14ac:dyDescent="0.2">
      <c r="A350" s="637"/>
      <c r="B350" s="546" t="s">
        <v>293</v>
      </c>
      <c r="C350" s="546" t="s">
        <v>1535</v>
      </c>
      <c r="D350" s="633"/>
      <c r="E350" s="538" t="s">
        <v>1536</v>
      </c>
      <c r="F350" s="607" t="s">
        <v>1537</v>
      </c>
      <c r="G350" s="255" t="s">
        <v>1538</v>
      </c>
      <c r="H350" s="254" t="s">
        <v>1539</v>
      </c>
      <c r="I350" s="605" t="s">
        <v>1540</v>
      </c>
      <c r="J350" s="251" t="s">
        <v>1541</v>
      </c>
      <c r="K350" s="313">
        <v>60000000</v>
      </c>
      <c r="L350" s="316">
        <v>0</v>
      </c>
      <c r="M350" s="272">
        <v>44593</v>
      </c>
      <c r="N350" s="272">
        <v>44925</v>
      </c>
      <c r="O350" s="272">
        <v>44652</v>
      </c>
      <c r="P350" s="273">
        <f t="shared" si="54"/>
        <v>0.17771084337349397</v>
      </c>
      <c r="Q350" s="273">
        <f t="shared" ref="Q350" si="55">+IF(P350&gt;=100,100,IF(P350&lt;=0,0,P350))</f>
        <v>0.17771084337349397</v>
      </c>
      <c r="R350" s="274">
        <v>1</v>
      </c>
      <c r="S350" s="275">
        <v>0.25</v>
      </c>
      <c r="T350" s="275">
        <v>0.5</v>
      </c>
      <c r="U350" s="275">
        <v>0.75</v>
      </c>
      <c r="V350" s="275">
        <v>1</v>
      </c>
      <c r="W350" s="275">
        <v>0.25</v>
      </c>
      <c r="X350" s="275" t="s">
        <v>1542</v>
      </c>
      <c r="Y350" s="341" t="s">
        <v>417</v>
      </c>
      <c r="Z350" s="316">
        <v>0</v>
      </c>
      <c r="AA350" s="275">
        <v>0.8</v>
      </c>
      <c r="AB350" s="277" t="s">
        <v>1543</v>
      </c>
      <c r="AC350" s="277" t="s">
        <v>1534</v>
      </c>
      <c r="AD350" s="276"/>
      <c r="AE350" s="277"/>
      <c r="AF350" s="277"/>
      <c r="AG350" s="276"/>
      <c r="AH350" s="277"/>
      <c r="AI350" s="277"/>
      <c r="AJ350" s="278"/>
    </row>
    <row r="351" spans="1:36" ht="109.15" hidden="1" customHeight="1" outlineLevel="1" x14ac:dyDescent="0.2">
      <c r="A351" s="637"/>
      <c r="B351" s="547"/>
      <c r="C351" s="547"/>
      <c r="D351" s="634"/>
      <c r="E351" s="539"/>
      <c r="F351" s="608"/>
      <c r="G351" s="254" t="s">
        <v>1544</v>
      </c>
      <c r="H351" s="254" t="s">
        <v>1545</v>
      </c>
      <c r="I351" s="606"/>
      <c r="J351" s="251" t="s">
        <v>1546</v>
      </c>
      <c r="K351" s="313">
        <v>850000000</v>
      </c>
      <c r="L351" s="316">
        <v>0</v>
      </c>
      <c r="M351" s="272">
        <v>44593</v>
      </c>
      <c r="N351" s="272">
        <v>44925</v>
      </c>
      <c r="O351" s="272">
        <v>44652</v>
      </c>
      <c r="P351" s="273">
        <f>+(+_xlfn.DAYS(M351,O351))/(+_xlfn.DAYS(M351,N351))</f>
        <v>0.17771084337349397</v>
      </c>
      <c r="Q351" s="273">
        <f>+IF(P351&gt;=100,100,IF(P351&lt;=0,0,P351))</f>
        <v>0.17771084337349397</v>
      </c>
      <c r="R351" s="274">
        <v>1</v>
      </c>
      <c r="S351" s="275">
        <v>0.25</v>
      </c>
      <c r="T351" s="275">
        <v>0.5</v>
      </c>
      <c r="U351" s="275">
        <v>0.75</v>
      </c>
      <c r="V351" s="275">
        <v>1</v>
      </c>
      <c r="W351" s="345">
        <v>0.05</v>
      </c>
      <c r="X351" s="275" t="s">
        <v>1547</v>
      </c>
      <c r="Y351" s="341" t="s">
        <v>1548</v>
      </c>
      <c r="Z351" s="316">
        <v>0</v>
      </c>
      <c r="AA351" s="275">
        <v>0.2</v>
      </c>
      <c r="AB351" s="277" t="s">
        <v>1549</v>
      </c>
      <c r="AC351" s="277" t="s">
        <v>1550</v>
      </c>
      <c r="AD351" s="276"/>
      <c r="AE351" s="277"/>
      <c r="AF351" s="277"/>
      <c r="AG351" s="276"/>
      <c r="AH351" s="277"/>
      <c r="AI351" s="277"/>
      <c r="AJ351" s="278"/>
    </row>
    <row r="352" spans="1:36" ht="52.9" hidden="1" customHeight="1" outlineLevel="1" x14ac:dyDescent="0.2">
      <c r="A352" s="637"/>
      <c r="B352" s="546" t="s">
        <v>40</v>
      </c>
      <c r="C352" s="546" t="s">
        <v>884</v>
      </c>
      <c r="D352" s="628" t="s">
        <v>1551</v>
      </c>
      <c r="E352" s="588" t="s">
        <v>500</v>
      </c>
      <c r="F352" s="717" t="s">
        <v>966</v>
      </c>
      <c r="G352" s="575" t="s">
        <v>1552</v>
      </c>
      <c r="H352" s="240" t="s">
        <v>1553</v>
      </c>
      <c r="I352" s="575" t="s">
        <v>968</v>
      </c>
      <c r="J352" s="251" t="s">
        <v>205</v>
      </c>
      <c r="K352" s="347">
        <v>40162500</v>
      </c>
      <c r="L352" s="347">
        <v>10000000</v>
      </c>
      <c r="M352" s="272">
        <v>44593</v>
      </c>
      <c r="N352" s="272">
        <v>44925</v>
      </c>
      <c r="O352" s="272">
        <v>44652</v>
      </c>
      <c r="P352" s="273">
        <f t="shared" si="54"/>
        <v>0.17771084337349397</v>
      </c>
      <c r="Q352" s="273">
        <f t="shared" si="47"/>
        <v>0.17771084337349397</v>
      </c>
      <c r="R352" s="274">
        <v>1</v>
      </c>
      <c r="S352" s="275">
        <v>0.25</v>
      </c>
      <c r="T352" s="275">
        <v>0.5</v>
      </c>
      <c r="U352" s="275">
        <v>0.75</v>
      </c>
      <c r="V352" s="275">
        <v>1</v>
      </c>
      <c r="W352" s="275">
        <v>0.25</v>
      </c>
      <c r="X352" s="275" t="s">
        <v>1554</v>
      </c>
      <c r="Y352" s="341"/>
      <c r="Z352" s="316">
        <v>20000000</v>
      </c>
      <c r="AA352" s="275">
        <v>0.5</v>
      </c>
      <c r="AB352" s="316" t="s">
        <v>1555</v>
      </c>
      <c r="AC352" s="277" t="s">
        <v>1556</v>
      </c>
      <c r="AD352" s="276"/>
      <c r="AE352" s="277"/>
      <c r="AF352" s="277"/>
      <c r="AG352" s="276"/>
      <c r="AH352" s="277"/>
      <c r="AI352" s="277"/>
      <c r="AJ352" s="278"/>
    </row>
    <row r="353" spans="1:36" ht="112.5" hidden="1" customHeight="1" outlineLevel="1" x14ac:dyDescent="0.2">
      <c r="A353" s="637"/>
      <c r="B353" s="581"/>
      <c r="C353" s="581"/>
      <c r="D353" s="629"/>
      <c r="E353" s="589"/>
      <c r="F353" s="718"/>
      <c r="G353" s="576"/>
      <c r="H353" s="296" t="s">
        <v>1557</v>
      </c>
      <c r="I353" s="576"/>
      <c r="J353" s="251" t="s">
        <v>1558</v>
      </c>
      <c r="K353" s="313">
        <v>60000000</v>
      </c>
      <c r="L353" s="316">
        <v>0</v>
      </c>
      <c r="M353" s="272">
        <v>44593</v>
      </c>
      <c r="N353" s="272">
        <v>44925</v>
      </c>
      <c r="O353" s="272">
        <v>44652</v>
      </c>
      <c r="P353" s="273">
        <f t="shared" si="54"/>
        <v>0.17771084337349397</v>
      </c>
      <c r="Q353" s="273">
        <f t="shared" si="47"/>
        <v>0.17771084337349397</v>
      </c>
      <c r="R353" s="274">
        <v>1</v>
      </c>
      <c r="S353" s="275">
        <v>0.25</v>
      </c>
      <c r="T353" s="275">
        <v>0.5</v>
      </c>
      <c r="U353" s="275">
        <v>0.75</v>
      </c>
      <c r="V353" s="275">
        <v>1</v>
      </c>
      <c r="W353" s="275">
        <v>0</v>
      </c>
      <c r="X353" s="275" t="s">
        <v>1559</v>
      </c>
      <c r="Y353" s="341" t="s">
        <v>727</v>
      </c>
      <c r="Z353" s="316">
        <v>0</v>
      </c>
      <c r="AA353" s="275">
        <v>0.5</v>
      </c>
      <c r="AB353" s="277" t="s">
        <v>1560</v>
      </c>
      <c r="AC353" s="277" t="s">
        <v>340</v>
      </c>
      <c r="AD353" s="276"/>
      <c r="AE353" s="277"/>
      <c r="AF353" s="277"/>
      <c r="AG353" s="276"/>
      <c r="AH353" s="277"/>
      <c r="AI353" s="277"/>
      <c r="AJ353" s="278"/>
    </row>
    <row r="354" spans="1:36" ht="116.25" hidden="1" customHeight="1" outlineLevel="1" x14ac:dyDescent="0.2">
      <c r="A354" s="637"/>
      <c r="B354" s="581"/>
      <c r="C354" s="581"/>
      <c r="D354" s="629"/>
      <c r="E354" s="589"/>
      <c r="F354" s="718"/>
      <c r="G354" s="576"/>
      <c r="H354" s="296" t="s">
        <v>1561</v>
      </c>
      <c r="I354" s="576"/>
      <c r="J354" s="251" t="s">
        <v>1558</v>
      </c>
      <c r="K354" s="313">
        <v>35000000</v>
      </c>
      <c r="L354" s="316">
        <v>0</v>
      </c>
      <c r="M354" s="272">
        <v>44593</v>
      </c>
      <c r="N354" s="272">
        <v>44925</v>
      </c>
      <c r="O354" s="272">
        <v>44652</v>
      </c>
      <c r="P354" s="273">
        <f t="shared" si="54"/>
        <v>0.17771084337349397</v>
      </c>
      <c r="Q354" s="273">
        <f t="shared" si="47"/>
        <v>0.17771084337349397</v>
      </c>
      <c r="R354" s="274">
        <v>1</v>
      </c>
      <c r="S354" s="275">
        <v>0.25</v>
      </c>
      <c r="T354" s="275">
        <v>0.5</v>
      </c>
      <c r="U354" s="275">
        <v>0.75</v>
      </c>
      <c r="V354" s="275">
        <v>1</v>
      </c>
      <c r="W354" s="275">
        <v>0</v>
      </c>
      <c r="X354" s="275" t="s">
        <v>1562</v>
      </c>
      <c r="Y354" s="341" t="s">
        <v>53</v>
      </c>
      <c r="Z354" s="316">
        <v>0</v>
      </c>
      <c r="AA354" s="275">
        <v>0</v>
      </c>
      <c r="AB354" s="277" t="s">
        <v>1563</v>
      </c>
      <c r="AC354" s="277" t="s">
        <v>53</v>
      </c>
      <c r="AD354" s="276"/>
      <c r="AE354" s="277"/>
      <c r="AF354" s="277"/>
      <c r="AG354" s="276"/>
      <c r="AH354" s="277"/>
      <c r="AI354" s="277"/>
      <c r="AJ354" s="278"/>
    </row>
    <row r="355" spans="1:36" ht="71.45" hidden="1" customHeight="1" outlineLevel="1" x14ac:dyDescent="0.2">
      <c r="A355" s="637"/>
      <c r="B355" s="581"/>
      <c r="C355" s="581"/>
      <c r="D355" s="629"/>
      <c r="E355" s="589"/>
      <c r="F355" s="718"/>
      <c r="G355" s="576"/>
      <c r="H355" s="296" t="s">
        <v>1564</v>
      </c>
      <c r="I355" s="576"/>
      <c r="J355" s="251" t="s">
        <v>1558</v>
      </c>
      <c r="K355" s="313">
        <v>15000000</v>
      </c>
      <c r="L355" s="316">
        <v>0</v>
      </c>
      <c r="M355" s="272">
        <v>44593</v>
      </c>
      <c r="N355" s="272">
        <v>44925</v>
      </c>
      <c r="O355" s="272">
        <v>44652</v>
      </c>
      <c r="P355" s="273">
        <f t="shared" si="54"/>
        <v>0.17771084337349397</v>
      </c>
      <c r="Q355" s="273">
        <f t="shared" si="47"/>
        <v>0.17771084337349397</v>
      </c>
      <c r="R355" s="274">
        <v>1</v>
      </c>
      <c r="S355" s="275">
        <v>0.25</v>
      </c>
      <c r="T355" s="275">
        <v>0.5</v>
      </c>
      <c r="U355" s="275">
        <v>0.75</v>
      </c>
      <c r="V355" s="275">
        <v>1</v>
      </c>
      <c r="W355" s="275">
        <v>0</v>
      </c>
      <c r="X355" s="275" t="s">
        <v>1565</v>
      </c>
      <c r="Y355" s="341" t="s">
        <v>53</v>
      </c>
      <c r="Z355" s="316">
        <v>0</v>
      </c>
      <c r="AA355" s="275">
        <v>0.5</v>
      </c>
      <c r="AB355" s="277" t="s">
        <v>1566</v>
      </c>
      <c r="AC355" s="277" t="s">
        <v>340</v>
      </c>
      <c r="AD355" s="276"/>
      <c r="AE355" s="277"/>
      <c r="AF355" s="277"/>
      <c r="AG355" s="276"/>
      <c r="AH355" s="277"/>
      <c r="AI355" s="277"/>
      <c r="AJ355" s="278"/>
    </row>
    <row r="356" spans="1:36" ht="162.6" hidden="1" customHeight="1" outlineLevel="1" x14ac:dyDescent="0.2">
      <c r="A356" s="637"/>
      <c r="B356" s="581"/>
      <c r="C356" s="581"/>
      <c r="D356" s="629"/>
      <c r="E356" s="589"/>
      <c r="F356" s="718"/>
      <c r="G356" s="576"/>
      <c r="H356" s="296" t="s">
        <v>1567</v>
      </c>
      <c r="I356" s="576"/>
      <c r="J356" s="251" t="s">
        <v>1558</v>
      </c>
      <c r="K356" s="313">
        <v>2000000</v>
      </c>
      <c r="L356" s="316">
        <v>0</v>
      </c>
      <c r="M356" s="272">
        <v>44593</v>
      </c>
      <c r="N356" s="272">
        <v>44925</v>
      </c>
      <c r="O356" s="272">
        <v>44652</v>
      </c>
      <c r="P356" s="273">
        <f t="shared" si="54"/>
        <v>0.17771084337349397</v>
      </c>
      <c r="Q356" s="273">
        <f t="shared" si="47"/>
        <v>0.17771084337349397</v>
      </c>
      <c r="R356" s="274">
        <v>1</v>
      </c>
      <c r="S356" s="275">
        <v>0.25</v>
      </c>
      <c r="T356" s="275">
        <v>0.5</v>
      </c>
      <c r="U356" s="275">
        <v>0.75</v>
      </c>
      <c r="V356" s="275">
        <v>1</v>
      </c>
      <c r="W356" s="275">
        <v>0</v>
      </c>
      <c r="X356" s="275" t="s">
        <v>1568</v>
      </c>
      <c r="Y356" s="341" t="s">
        <v>53</v>
      </c>
      <c r="Z356" s="316">
        <v>0</v>
      </c>
      <c r="AA356" s="275">
        <v>0</v>
      </c>
      <c r="AB356" s="277" t="s">
        <v>317</v>
      </c>
      <c r="AC356" s="277" t="s">
        <v>53</v>
      </c>
      <c r="AD356" s="276"/>
      <c r="AE356" s="277"/>
      <c r="AF356" s="277"/>
      <c r="AG356" s="276"/>
      <c r="AH356" s="277"/>
      <c r="AI356" s="277"/>
      <c r="AJ356" s="278"/>
    </row>
    <row r="357" spans="1:36" ht="162.6" hidden="1" customHeight="1" outlineLevel="1" x14ac:dyDescent="0.2">
      <c r="A357" s="637"/>
      <c r="B357" s="581"/>
      <c r="C357" s="581"/>
      <c r="D357" s="629"/>
      <c r="E357" s="589"/>
      <c r="F357" s="718"/>
      <c r="G357" s="576"/>
      <c r="H357" s="296" t="s">
        <v>1569</v>
      </c>
      <c r="I357" s="576"/>
      <c r="J357" s="251" t="s">
        <v>1570</v>
      </c>
      <c r="K357" s="313">
        <v>30000000</v>
      </c>
      <c r="L357" s="316">
        <v>0</v>
      </c>
      <c r="M357" s="272">
        <v>44593</v>
      </c>
      <c r="N357" s="272">
        <v>44925</v>
      </c>
      <c r="O357" s="272">
        <v>44652</v>
      </c>
      <c r="P357" s="273">
        <f t="shared" si="54"/>
        <v>0.17771084337349397</v>
      </c>
      <c r="Q357" s="273">
        <f t="shared" si="47"/>
        <v>0.17771084337349397</v>
      </c>
      <c r="R357" s="274">
        <v>1</v>
      </c>
      <c r="S357" s="275">
        <v>0.25</v>
      </c>
      <c r="T357" s="275">
        <v>0.5</v>
      </c>
      <c r="U357" s="275">
        <v>0.75</v>
      </c>
      <c r="V357" s="275">
        <v>1</v>
      </c>
      <c r="W357" s="275">
        <v>0.1</v>
      </c>
      <c r="X357" s="275" t="s">
        <v>1571</v>
      </c>
      <c r="Y357" s="341" t="s">
        <v>1572</v>
      </c>
      <c r="Z357" s="316">
        <v>0</v>
      </c>
      <c r="AA357" s="275">
        <v>0.1</v>
      </c>
      <c r="AB357" s="277" t="s">
        <v>317</v>
      </c>
      <c r="AC357" s="277" t="s">
        <v>53</v>
      </c>
      <c r="AD357" s="276"/>
      <c r="AE357" s="277"/>
      <c r="AF357" s="277"/>
      <c r="AG357" s="276"/>
      <c r="AH357" s="277"/>
      <c r="AI357" s="277"/>
      <c r="AJ357" s="278"/>
    </row>
    <row r="358" spans="1:36" ht="94.15" hidden="1" customHeight="1" outlineLevel="1" x14ac:dyDescent="0.2">
      <c r="A358" s="637"/>
      <c r="B358" s="581"/>
      <c r="C358" s="581"/>
      <c r="D358" s="629"/>
      <c r="E358" s="589"/>
      <c r="F358" s="718"/>
      <c r="G358" s="576"/>
      <c r="H358" s="296" t="s">
        <v>1573</v>
      </c>
      <c r="I358" s="576"/>
      <c r="J358" s="251" t="s">
        <v>1574</v>
      </c>
      <c r="K358" s="313">
        <v>25000000</v>
      </c>
      <c r="L358" s="316">
        <v>0</v>
      </c>
      <c r="M358" s="272">
        <v>44593</v>
      </c>
      <c r="N358" s="272">
        <v>44925</v>
      </c>
      <c r="O358" s="272">
        <v>44652</v>
      </c>
      <c r="P358" s="273">
        <f t="shared" si="54"/>
        <v>0.17771084337349397</v>
      </c>
      <c r="Q358" s="273">
        <f t="shared" si="47"/>
        <v>0.17771084337349397</v>
      </c>
      <c r="R358" s="274">
        <v>1</v>
      </c>
      <c r="S358" s="275">
        <v>0.25</v>
      </c>
      <c r="T358" s="275">
        <v>0.5</v>
      </c>
      <c r="U358" s="275">
        <v>0.75</v>
      </c>
      <c r="V358" s="275">
        <v>1</v>
      </c>
      <c r="W358" s="275">
        <v>0.1</v>
      </c>
      <c r="X358" s="275" t="s">
        <v>1562</v>
      </c>
      <c r="Y358" s="341" t="s">
        <v>53</v>
      </c>
      <c r="Z358" s="316">
        <v>0</v>
      </c>
      <c r="AA358" s="275">
        <v>0.1</v>
      </c>
      <c r="AB358" s="277" t="s">
        <v>317</v>
      </c>
      <c r="AC358" s="277" t="s">
        <v>53</v>
      </c>
      <c r="AD358" s="276"/>
      <c r="AE358" s="277"/>
      <c r="AF358" s="277"/>
      <c r="AG358" s="276"/>
      <c r="AH358" s="277"/>
      <c r="AI358" s="277"/>
      <c r="AJ358" s="278"/>
    </row>
    <row r="359" spans="1:36" ht="53.45" hidden="1" customHeight="1" outlineLevel="1" x14ac:dyDescent="0.2">
      <c r="A359" s="637"/>
      <c r="B359" s="583" t="s">
        <v>1575</v>
      </c>
      <c r="C359" s="583" t="s">
        <v>884</v>
      </c>
      <c r="D359" s="800" t="s">
        <v>1576</v>
      </c>
      <c r="E359" s="538" t="s">
        <v>1577</v>
      </c>
      <c r="F359" s="538" t="s">
        <v>1578</v>
      </c>
      <c r="G359" s="579" t="s">
        <v>1579</v>
      </c>
      <c r="H359" s="247" t="s">
        <v>1580</v>
      </c>
      <c r="I359" s="559" t="s">
        <v>504</v>
      </c>
      <c r="J359" s="550" t="s">
        <v>1581</v>
      </c>
      <c r="K359" s="313">
        <v>23000000</v>
      </c>
      <c r="L359" s="316">
        <v>0</v>
      </c>
      <c r="M359" s="272">
        <v>44593</v>
      </c>
      <c r="N359" s="272">
        <v>44925</v>
      </c>
      <c r="O359" s="272">
        <v>44652</v>
      </c>
      <c r="P359" s="273">
        <f t="shared" ref="P359:P375" si="56">+(+_xlfn.DAYS(M359,O359))/(+_xlfn.DAYS(M359,N359))</f>
        <v>0.17771084337349397</v>
      </c>
      <c r="Q359" s="273">
        <f t="shared" ref="Q359:Q375" si="57">+IF(P359&gt;=100,100,IF(P359&lt;=0,0,P359))</f>
        <v>0.17771084337349397</v>
      </c>
      <c r="R359" s="274">
        <v>1</v>
      </c>
      <c r="S359" s="275">
        <v>0.25</v>
      </c>
      <c r="T359" s="275">
        <v>0.5</v>
      </c>
      <c r="U359" s="275">
        <v>0.75</v>
      </c>
      <c r="V359" s="275">
        <v>1</v>
      </c>
      <c r="W359" s="275">
        <v>0.1</v>
      </c>
      <c r="X359" s="275" t="s">
        <v>555</v>
      </c>
      <c r="Y359" s="341" t="s">
        <v>53</v>
      </c>
      <c r="Z359" s="316">
        <v>16713550</v>
      </c>
      <c r="AA359" s="275">
        <v>0.5</v>
      </c>
      <c r="AB359" s="277" t="s">
        <v>1582</v>
      </c>
      <c r="AC359" s="277" t="s">
        <v>1583</v>
      </c>
      <c r="AD359" s="276"/>
      <c r="AE359" s="277"/>
      <c r="AF359" s="277"/>
      <c r="AG359" s="276"/>
      <c r="AH359" s="277"/>
      <c r="AI359" s="277"/>
      <c r="AJ359" s="278"/>
    </row>
    <row r="360" spans="1:36" ht="78" hidden="1" customHeight="1" outlineLevel="1" x14ac:dyDescent="0.2">
      <c r="A360" s="637"/>
      <c r="B360" s="584"/>
      <c r="C360" s="584"/>
      <c r="D360" s="801"/>
      <c r="E360" s="609"/>
      <c r="F360" s="609"/>
      <c r="G360" s="580"/>
      <c r="H360" s="247" t="s">
        <v>1584</v>
      </c>
      <c r="I360" s="560"/>
      <c r="J360" s="551"/>
      <c r="K360" s="313">
        <v>20515600</v>
      </c>
      <c r="L360" s="316">
        <v>0</v>
      </c>
      <c r="M360" s="272">
        <v>44593</v>
      </c>
      <c r="N360" s="272">
        <v>44925</v>
      </c>
      <c r="O360" s="272">
        <v>44652</v>
      </c>
      <c r="P360" s="273">
        <f t="shared" si="56"/>
        <v>0.17771084337349397</v>
      </c>
      <c r="Q360" s="273">
        <f t="shared" si="57"/>
        <v>0.17771084337349397</v>
      </c>
      <c r="R360" s="274">
        <v>1</v>
      </c>
      <c r="S360" s="275">
        <v>0.25</v>
      </c>
      <c r="T360" s="275">
        <v>0.5</v>
      </c>
      <c r="U360" s="275">
        <v>0.75</v>
      </c>
      <c r="V360" s="275">
        <v>1</v>
      </c>
      <c r="W360" s="345">
        <v>0.8</v>
      </c>
      <c r="X360" s="313" t="s">
        <v>1585</v>
      </c>
      <c r="Y360" s="341" t="s">
        <v>1586</v>
      </c>
      <c r="Z360" s="316">
        <v>22878506</v>
      </c>
      <c r="AA360" s="275">
        <v>0.5</v>
      </c>
      <c r="AB360" s="277" t="s">
        <v>1587</v>
      </c>
      <c r="AC360" s="277" t="s">
        <v>1588</v>
      </c>
      <c r="AD360" s="276"/>
      <c r="AE360" s="277"/>
      <c r="AF360" s="277"/>
      <c r="AG360" s="276"/>
      <c r="AH360" s="277"/>
      <c r="AI360" s="277"/>
      <c r="AJ360" s="278"/>
    </row>
    <row r="361" spans="1:36" ht="56.25" hidden="1" customHeight="1" outlineLevel="1" x14ac:dyDescent="0.2">
      <c r="A361" s="637"/>
      <c r="B361" s="584"/>
      <c r="C361" s="584"/>
      <c r="D361" s="801"/>
      <c r="E361" s="609"/>
      <c r="F361" s="609"/>
      <c r="G361" s="580"/>
      <c r="H361" s="247" t="s">
        <v>1589</v>
      </c>
      <c r="I361" s="560"/>
      <c r="J361" s="551"/>
      <c r="K361" s="313">
        <v>4500000</v>
      </c>
      <c r="L361" s="316">
        <v>0</v>
      </c>
      <c r="M361" s="272">
        <v>44593</v>
      </c>
      <c r="N361" s="272">
        <v>44925</v>
      </c>
      <c r="O361" s="272">
        <v>44652</v>
      </c>
      <c r="P361" s="273">
        <f t="shared" si="56"/>
        <v>0.17771084337349397</v>
      </c>
      <c r="Q361" s="273">
        <f t="shared" si="57"/>
        <v>0.17771084337349397</v>
      </c>
      <c r="R361" s="274">
        <v>1</v>
      </c>
      <c r="S361" s="275">
        <v>0.25</v>
      </c>
      <c r="T361" s="275">
        <v>0.5</v>
      </c>
      <c r="U361" s="275">
        <v>0.75</v>
      </c>
      <c r="V361" s="275">
        <v>1</v>
      </c>
      <c r="W361" s="275">
        <v>0.15</v>
      </c>
      <c r="X361" s="275" t="s">
        <v>1590</v>
      </c>
      <c r="Y361" s="341" t="s">
        <v>417</v>
      </c>
      <c r="Z361" s="316">
        <v>12150436</v>
      </c>
      <c r="AA361" s="275">
        <v>1</v>
      </c>
      <c r="AB361" s="277" t="s">
        <v>1591</v>
      </c>
      <c r="AC361" s="277" t="s">
        <v>1588</v>
      </c>
      <c r="AD361" s="276"/>
      <c r="AE361" s="277"/>
      <c r="AF361" s="277"/>
      <c r="AG361" s="276"/>
      <c r="AH361" s="277"/>
      <c r="AI361" s="277"/>
      <c r="AJ361" s="278"/>
    </row>
    <row r="362" spans="1:36" ht="46.5" hidden="1" customHeight="1" outlineLevel="1" x14ac:dyDescent="0.2">
      <c r="A362" s="637"/>
      <c r="B362" s="584"/>
      <c r="C362" s="584"/>
      <c r="D362" s="801"/>
      <c r="E362" s="609"/>
      <c r="F362" s="609"/>
      <c r="G362" s="580"/>
      <c r="H362" s="247" t="s">
        <v>1592</v>
      </c>
      <c r="I362" s="560"/>
      <c r="J362" s="551"/>
      <c r="K362" s="313">
        <v>22000000</v>
      </c>
      <c r="L362" s="316">
        <v>0</v>
      </c>
      <c r="M362" s="272">
        <v>44593</v>
      </c>
      <c r="N362" s="272">
        <v>44925</v>
      </c>
      <c r="O362" s="272">
        <v>44652</v>
      </c>
      <c r="P362" s="273">
        <f t="shared" si="56"/>
        <v>0.17771084337349397</v>
      </c>
      <c r="Q362" s="273">
        <f t="shared" si="57"/>
        <v>0.17771084337349397</v>
      </c>
      <c r="R362" s="274">
        <v>1</v>
      </c>
      <c r="S362" s="275">
        <v>0.25</v>
      </c>
      <c r="T362" s="275">
        <v>0.5</v>
      </c>
      <c r="U362" s="275">
        <v>0.75</v>
      </c>
      <c r="V362" s="275">
        <v>1</v>
      </c>
      <c r="W362" s="275">
        <v>0.25</v>
      </c>
      <c r="X362" s="275" t="s">
        <v>1590</v>
      </c>
      <c r="Y362" s="341" t="s">
        <v>417</v>
      </c>
      <c r="Z362" s="316">
        <v>0</v>
      </c>
      <c r="AA362" s="275">
        <v>0.4</v>
      </c>
      <c r="AB362" s="277" t="s">
        <v>1593</v>
      </c>
      <c r="AC362" s="277" t="s">
        <v>417</v>
      </c>
      <c r="AD362" s="276"/>
      <c r="AE362" s="277"/>
      <c r="AF362" s="277"/>
      <c r="AG362" s="276"/>
      <c r="AH362" s="277"/>
      <c r="AI362" s="277"/>
      <c r="AJ362" s="278"/>
    </row>
    <row r="363" spans="1:36" ht="77.25" hidden="1" customHeight="1" outlineLevel="1" x14ac:dyDescent="0.2">
      <c r="A363" s="637"/>
      <c r="B363" s="584"/>
      <c r="C363" s="584"/>
      <c r="D363" s="801"/>
      <c r="E363" s="609"/>
      <c r="F363" s="609"/>
      <c r="G363" s="580"/>
      <c r="H363" s="247" t="s">
        <v>1594</v>
      </c>
      <c r="I363" s="560"/>
      <c r="J363" s="551"/>
      <c r="K363" s="313">
        <v>158000000</v>
      </c>
      <c r="L363" s="316">
        <v>0</v>
      </c>
      <c r="M363" s="272">
        <v>44593</v>
      </c>
      <c r="N363" s="272">
        <v>44925</v>
      </c>
      <c r="O363" s="272">
        <v>44652</v>
      </c>
      <c r="P363" s="273">
        <f t="shared" si="56"/>
        <v>0.17771084337349397</v>
      </c>
      <c r="Q363" s="273">
        <f t="shared" si="57"/>
        <v>0.17771084337349397</v>
      </c>
      <c r="R363" s="274">
        <v>1</v>
      </c>
      <c r="S363" s="275">
        <v>0.25</v>
      </c>
      <c r="T363" s="275">
        <v>0.5</v>
      </c>
      <c r="U363" s="275">
        <v>0.75</v>
      </c>
      <c r="V363" s="275">
        <v>1</v>
      </c>
      <c r="W363" s="275">
        <v>0.15</v>
      </c>
      <c r="X363" s="275" t="s">
        <v>1590</v>
      </c>
      <c r="Y363" s="341" t="s">
        <v>417</v>
      </c>
      <c r="Z363" s="316">
        <v>0</v>
      </c>
      <c r="AA363" s="275">
        <v>0.4</v>
      </c>
      <c r="AB363" s="277" t="s">
        <v>1595</v>
      </c>
      <c r="AC363" s="277" t="s">
        <v>417</v>
      </c>
      <c r="AD363" s="276"/>
      <c r="AE363" s="277"/>
      <c r="AF363" s="277"/>
      <c r="AG363" s="276"/>
      <c r="AH363" s="277"/>
      <c r="AI363" s="277"/>
      <c r="AJ363" s="278"/>
    </row>
    <row r="364" spans="1:36" ht="56.25" hidden="1" customHeight="1" outlineLevel="1" x14ac:dyDescent="0.2">
      <c r="A364" s="637"/>
      <c r="B364" s="584"/>
      <c r="C364" s="584"/>
      <c r="D364" s="801"/>
      <c r="E364" s="609"/>
      <c r="F364" s="609"/>
      <c r="G364" s="580"/>
      <c r="H364" s="247" t="s">
        <v>1596</v>
      </c>
      <c r="I364" s="560"/>
      <c r="J364" s="551"/>
      <c r="K364" s="313">
        <v>18000000</v>
      </c>
      <c r="L364" s="316">
        <v>0</v>
      </c>
      <c r="M364" s="272">
        <v>44593</v>
      </c>
      <c r="N364" s="272">
        <v>44925</v>
      </c>
      <c r="O364" s="272">
        <v>44652</v>
      </c>
      <c r="P364" s="273">
        <f t="shared" si="56"/>
        <v>0.17771084337349397</v>
      </c>
      <c r="Q364" s="273">
        <f t="shared" si="57"/>
        <v>0.17771084337349397</v>
      </c>
      <c r="R364" s="274">
        <v>1</v>
      </c>
      <c r="S364" s="275">
        <v>0.25</v>
      </c>
      <c r="T364" s="275">
        <v>0.5</v>
      </c>
      <c r="U364" s="275">
        <v>0.75</v>
      </c>
      <c r="V364" s="275">
        <v>1</v>
      </c>
      <c r="W364" s="275">
        <v>0.15</v>
      </c>
      <c r="X364" s="275" t="s">
        <v>1590</v>
      </c>
      <c r="Y364" s="341" t="s">
        <v>417</v>
      </c>
      <c r="Z364" s="316">
        <v>0</v>
      </c>
      <c r="AA364" s="275">
        <v>0.3</v>
      </c>
      <c r="AB364" s="277" t="s">
        <v>1597</v>
      </c>
      <c r="AC364" s="277" t="s">
        <v>1598</v>
      </c>
      <c r="AD364" s="276"/>
      <c r="AE364" s="277"/>
      <c r="AF364" s="277"/>
      <c r="AG364" s="276"/>
      <c r="AH364" s="277"/>
      <c r="AI364" s="277"/>
      <c r="AJ364" s="278"/>
    </row>
    <row r="365" spans="1:36" ht="59.25" hidden="1" customHeight="1" outlineLevel="1" x14ac:dyDescent="0.2">
      <c r="A365" s="637"/>
      <c r="B365" s="584"/>
      <c r="C365" s="584"/>
      <c r="D365" s="801"/>
      <c r="E365" s="609"/>
      <c r="F365" s="609"/>
      <c r="G365" s="580"/>
      <c r="H365" s="247" t="s">
        <v>1599</v>
      </c>
      <c r="I365" s="560"/>
      <c r="J365" s="551"/>
      <c r="K365" s="313">
        <v>39104886</v>
      </c>
      <c r="L365" s="316">
        <v>0</v>
      </c>
      <c r="M365" s="272">
        <v>44593</v>
      </c>
      <c r="N365" s="272">
        <v>44925</v>
      </c>
      <c r="O365" s="272">
        <v>44652</v>
      </c>
      <c r="P365" s="273">
        <f t="shared" si="56"/>
        <v>0.17771084337349397</v>
      </c>
      <c r="Q365" s="273">
        <f t="shared" si="57"/>
        <v>0.17771084337349397</v>
      </c>
      <c r="R365" s="274">
        <v>1</v>
      </c>
      <c r="S365" s="275">
        <v>0.25</v>
      </c>
      <c r="T365" s="275">
        <v>0.5</v>
      </c>
      <c r="U365" s="275">
        <v>0.75</v>
      </c>
      <c r="V365" s="275">
        <v>1</v>
      </c>
      <c r="W365" s="275">
        <v>0.15</v>
      </c>
      <c r="X365" s="275" t="s">
        <v>1590</v>
      </c>
      <c r="Y365" s="341" t="s">
        <v>417</v>
      </c>
      <c r="Z365" s="316">
        <v>0</v>
      </c>
      <c r="AA365" s="275">
        <v>0.3</v>
      </c>
      <c r="AB365" s="277" t="s">
        <v>1597</v>
      </c>
      <c r="AC365" s="277" t="s">
        <v>1598</v>
      </c>
      <c r="AD365" s="276"/>
      <c r="AE365" s="277"/>
      <c r="AF365" s="277"/>
      <c r="AG365" s="276"/>
      <c r="AH365" s="277"/>
      <c r="AI365" s="277"/>
      <c r="AJ365" s="278"/>
    </row>
    <row r="366" spans="1:36" ht="168.75" hidden="1" customHeight="1" outlineLevel="1" x14ac:dyDescent="0.2">
      <c r="A366" s="637"/>
      <c r="B366" s="584"/>
      <c r="C366" s="584"/>
      <c r="D366" s="801"/>
      <c r="E366" s="609"/>
      <c r="F366" s="609"/>
      <c r="G366" s="580"/>
      <c r="H366" s="247" t="s">
        <v>1600</v>
      </c>
      <c r="I366" s="560"/>
      <c r="J366" s="551"/>
      <c r="K366" s="313">
        <v>27649174</v>
      </c>
      <c r="L366" s="316">
        <v>0</v>
      </c>
      <c r="M366" s="272">
        <v>44593</v>
      </c>
      <c r="N366" s="272">
        <v>44925</v>
      </c>
      <c r="O366" s="272">
        <v>44652</v>
      </c>
      <c r="P366" s="273">
        <f t="shared" si="56"/>
        <v>0.17771084337349397</v>
      </c>
      <c r="Q366" s="273">
        <f t="shared" si="57"/>
        <v>0.17771084337349397</v>
      </c>
      <c r="R366" s="274">
        <v>1</v>
      </c>
      <c r="S366" s="275">
        <v>0.25</v>
      </c>
      <c r="T366" s="275">
        <v>0.5</v>
      </c>
      <c r="U366" s="275">
        <v>0.75</v>
      </c>
      <c r="V366" s="275">
        <v>1</v>
      </c>
      <c r="W366" s="275">
        <v>0.18</v>
      </c>
      <c r="X366" s="275" t="s">
        <v>1590</v>
      </c>
      <c r="Y366" s="341" t="s">
        <v>417</v>
      </c>
      <c r="Z366" s="316">
        <v>0</v>
      </c>
      <c r="AA366" s="275">
        <v>0.3</v>
      </c>
      <c r="AB366" s="277" t="s">
        <v>1601</v>
      </c>
      <c r="AC366" s="277" t="s">
        <v>1602</v>
      </c>
      <c r="AD366" s="276"/>
      <c r="AE366" s="277"/>
      <c r="AF366" s="277"/>
      <c r="AG366" s="276"/>
      <c r="AH366" s="277"/>
      <c r="AI366" s="277"/>
      <c r="AJ366" s="278"/>
    </row>
    <row r="367" spans="1:36" ht="206.25" hidden="1" customHeight="1" outlineLevel="1" x14ac:dyDescent="0.2">
      <c r="A367" s="637"/>
      <c r="B367" s="584"/>
      <c r="C367" s="584"/>
      <c r="D367" s="801"/>
      <c r="E367" s="609"/>
      <c r="F367" s="609"/>
      <c r="G367" s="593"/>
      <c r="H367" s="247" t="s">
        <v>1603</v>
      </c>
      <c r="I367" s="560"/>
      <c r="J367" s="552"/>
      <c r="K367" s="313">
        <v>146000000</v>
      </c>
      <c r="L367" s="316">
        <v>0</v>
      </c>
      <c r="M367" s="272">
        <v>44593</v>
      </c>
      <c r="N367" s="272">
        <v>44925</v>
      </c>
      <c r="O367" s="272">
        <v>44652</v>
      </c>
      <c r="P367" s="273">
        <f t="shared" si="56"/>
        <v>0.17771084337349397</v>
      </c>
      <c r="Q367" s="273">
        <f t="shared" si="57"/>
        <v>0.17771084337349397</v>
      </c>
      <c r="R367" s="274">
        <v>1</v>
      </c>
      <c r="S367" s="275">
        <v>0.25</v>
      </c>
      <c r="T367" s="275">
        <v>0.5</v>
      </c>
      <c r="U367" s="275">
        <v>0.75</v>
      </c>
      <c r="V367" s="275">
        <v>1</v>
      </c>
      <c r="W367" s="275">
        <v>0.5</v>
      </c>
      <c r="X367" s="275" t="s">
        <v>1604</v>
      </c>
      <c r="Y367" s="341" t="s">
        <v>1605</v>
      </c>
      <c r="Z367" s="316">
        <v>0</v>
      </c>
      <c r="AA367" s="275">
        <v>0.55000000000000004</v>
      </c>
      <c r="AB367" s="277" t="s">
        <v>1606</v>
      </c>
      <c r="AC367" s="277" t="s">
        <v>1602</v>
      </c>
      <c r="AD367" s="276"/>
      <c r="AE367" s="277"/>
      <c r="AF367" s="277"/>
      <c r="AG367" s="276"/>
      <c r="AH367" s="277"/>
      <c r="AI367" s="277"/>
      <c r="AJ367" s="278"/>
    </row>
    <row r="368" spans="1:36" ht="104.45" hidden="1" customHeight="1" outlineLevel="1" x14ac:dyDescent="0.2">
      <c r="A368" s="637"/>
      <c r="B368" s="584"/>
      <c r="C368" s="584"/>
      <c r="D368" s="801"/>
      <c r="E368" s="609"/>
      <c r="F368" s="609"/>
      <c r="G368" s="579" t="s">
        <v>1607</v>
      </c>
      <c r="H368" s="247" t="s">
        <v>1608</v>
      </c>
      <c r="I368" s="560"/>
      <c r="J368" s="550" t="s">
        <v>328</v>
      </c>
      <c r="K368" s="313">
        <v>29190861</v>
      </c>
      <c r="L368" s="316">
        <v>0</v>
      </c>
      <c r="M368" s="272">
        <v>44593</v>
      </c>
      <c r="N368" s="272">
        <v>44925</v>
      </c>
      <c r="O368" s="272">
        <v>44652</v>
      </c>
      <c r="P368" s="273">
        <f t="shared" si="56"/>
        <v>0.17771084337349397</v>
      </c>
      <c r="Q368" s="273">
        <f t="shared" si="57"/>
        <v>0.17771084337349397</v>
      </c>
      <c r="R368" s="274">
        <v>1</v>
      </c>
      <c r="S368" s="275">
        <v>0.25</v>
      </c>
      <c r="T368" s="275">
        <v>0.5</v>
      </c>
      <c r="U368" s="275">
        <v>0.75</v>
      </c>
      <c r="V368" s="275">
        <v>1</v>
      </c>
      <c r="W368" s="275">
        <v>0.4</v>
      </c>
      <c r="X368" s="275" t="s">
        <v>1609</v>
      </c>
      <c r="Y368" s="341" t="s">
        <v>1610</v>
      </c>
      <c r="Z368" s="316">
        <v>22878506</v>
      </c>
      <c r="AA368" s="275">
        <v>0.3</v>
      </c>
      <c r="AB368" s="277" t="s">
        <v>1611</v>
      </c>
      <c r="AC368" s="277"/>
      <c r="AD368" s="276"/>
      <c r="AE368" s="277"/>
      <c r="AF368" s="277"/>
      <c r="AG368" s="276"/>
      <c r="AH368" s="277"/>
      <c r="AI368" s="277"/>
      <c r="AJ368" s="278"/>
    </row>
    <row r="369" spans="1:36" ht="172.5" hidden="1" customHeight="1" outlineLevel="1" x14ac:dyDescent="0.2">
      <c r="A369" s="637"/>
      <c r="B369" s="584"/>
      <c r="C369" s="584"/>
      <c r="D369" s="801"/>
      <c r="E369" s="609"/>
      <c r="F369" s="609"/>
      <c r="G369" s="580"/>
      <c r="H369" s="247" t="s">
        <v>1612</v>
      </c>
      <c r="I369" s="560"/>
      <c r="J369" s="551"/>
      <c r="K369" s="313">
        <v>433510000</v>
      </c>
      <c r="L369" s="316">
        <v>0</v>
      </c>
      <c r="M369" s="272">
        <v>44593</v>
      </c>
      <c r="N369" s="272">
        <v>44925</v>
      </c>
      <c r="O369" s="272">
        <v>44652</v>
      </c>
      <c r="P369" s="273">
        <f t="shared" si="56"/>
        <v>0.17771084337349397</v>
      </c>
      <c r="Q369" s="273">
        <f t="shared" si="57"/>
        <v>0.17771084337349397</v>
      </c>
      <c r="R369" s="274">
        <v>1</v>
      </c>
      <c r="S369" s="275">
        <v>0.25</v>
      </c>
      <c r="T369" s="275">
        <v>0.5</v>
      </c>
      <c r="U369" s="275">
        <v>0.75</v>
      </c>
      <c r="V369" s="275">
        <v>1</v>
      </c>
      <c r="W369" s="275">
        <v>0.15</v>
      </c>
      <c r="X369" s="275" t="s">
        <v>1613</v>
      </c>
      <c r="Y369" s="341" t="s">
        <v>53</v>
      </c>
      <c r="Z369" s="316">
        <v>0</v>
      </c>
      <c r="AA369" s="275">
        <v>0.3</v>
      </c>
      <c r="AB369" s="277" t="s">
        <v>1614</v>
      </c>
      <c r="AC369" s="277" t="s">
        <v>1602</v>
      </c>
      <c r="AD369" s="276"/>
      <c r="AE369" s="277"/>
      <c r="AF369" s="277"/>
      <c r="AG369" s="276"/>
      <c r="AH369" s="277"/>
      <c r="AI369" s="277"/>
      <c r="AJ369" s="278"/>
    </row>
    <row r="370" spans="1:36" ht="46.5" hidden="1" customHeight="1" outlineLevel="1" x14ac:dyDescent="0.2">
      <c r="A370" s="637"/>
      <c r="B370" s="584"/>
      <c r="C370" s="584"/>
      <c r="D370" s="801"/>
      <c r="E370" s="609"/>
      <c r="F370" s="609"/>
      <c r="G370" s="580"/>
      <c r="H370" s="247" t="s">
        <v>1615</v>
      </c>
      <c r="I370" s="560"/>
      <c r="J370" s="551"/>
      <c r="K370" s="313">
        <v>30300000</v>
      </c>
      <c r="L370" s="316">
        <v>0</v>
      </c>
      <c r="M370" s="272">
        <v>44593</v>
      </c>
      <c r="N370" s="272">
        <v>44925</v>
      </c>
      <c r="O370" s="272">
        <v>44652</v>
      </c>
      <c r="P370" s="273">
        <f t="shared" si="56"/>
        <v>0.17771084337349397</v>
      </c>
      <c r="Q370" s="273">
        <f t="shared" si="57"/>
        <v>0.17771084337349397</v>
      </c>
      <c r="R370" s="274">
        <v>1</v>
      </c>
      <c r="S370" s="275">
        <v>0.25</v>
      </c>
      <c r="T370" s="275">
        <v>0.5</v>
      </c>
      <c r="U370" s="275">
        <v>0.75</v>
      </c>
      <c r="V370" s="275">
        <v>1</v>
      </c>
      <c r="W370" s="275">
        <v>0.15</v>
      </c>
      <c r="X370" s="275" t="s">
        <v>53</v>
      </c>
      <c r="Y370" s="341" t="s">
        <v>53</v>
      </c>
      <c r="Z370" s="316">
        <v>0</v>
      </c>
      <c r="AA370" s="275">
        <v>0.15</v>
      </c>
      <c r="AB370" s="277" t="s">
        <v>1616</v>
      </c>
      <c r="AC370" s="277" t="s">
        <v>53</v>
      </c>
      <c r="AD370" s="276"/>
      <c r="AE370" s="277"/>
      <c r="AF370" s="277"/>
      <c r="AG370" s="276"/>
      <c r="AH370" s="277"/>
      <c r="AI370" s="277"/>
      <c r="AJ370" s="278"/>
    </row>
    <row r="371" spans="1:36" ht="104.45" hidden="1" customHeight="1" outlineLevel="1" x14ac:dyDescent="0.2">
      <c r="A371" s="637"/>
      <c r="B371" s="584"/>
      <c r="C371" s="584"/>
      <c r="D371" s="801"/>
      <c r="E371" s="609"/>
      <c r="F371" s="609"/>
      <c r="G371" s="580"/>
      <c r="H371" s="247" t="s">
        <v>1617</v>
      </c>
      <c r="I371" s="560"/>
      <c r="J371" s="551"/>
      <c r="K371" s="316">
        <v>403000000</v>
      </c>
      <c r="L371" s="316">
        <v>0</v>
      </c>
      <c r="M371" s="272">
        <v>44593</v>
      </c>
      <c r="N371" s="272">
        <v>44925</v>
      </c>
      <c r="O371" s="272">
        <v>44652</v>
      </c>
      <c r="P371" s="273">
        <f t="shared" si="56"/>
        <v>0.17771084337349397</v>
      </c>
      <c r="Q371" s="273">
        <f t="shared" si="57"/>
        <v>0.17771084337349397</v>
      </c>
      <c r="R371" s="274">
        <v>1</v>
      </c>
      <c r="S371" s="275">
        <v>0.25</v>
      </c>
      <c r="T371" s="275">
        <v>0.5</v>
      </c>
      <c r="U371" s="275">
        <v>0.75</v>
      </c>
      <c r="V371" s="275">
        <v>1</v>
      </c>
      <c r="W371" s="275">
        <v>0.15</v>
      </c>
      <c r="X371" s="275" t="s">
        <v>1618</v>
      </c>
      <c r="Y371" s="341" t="s">
        <v>53</v>
      </c>
      <c r="Z371" s="316">
        <v>403000000</v>
      </c>
      <c r="AA371" s="275">
        <v>0.3</v>
      </c>
      <c r="AB371" s="277" t="s">
        <v>1619</v>
      </c>
      <c r="AC371" s="277" t="s">
        <v>417</v>
      </c>
      <c r="AD371" s="276"/>
      <c r="AE371" s="277"/>
      <c r="AF371" s="277"/>
      <c r="AG371" s="276"/>
      <c r="AH371" s="277"/>
      <c r="AI371" s="277"/>
      <c r="AJ371" s="278"/>
    </row>
    <row r="372" spans="1:36" ht="104.45" hidden="1" customHeight="1" outlineLevel="1" x14ac:dyDescent="0.2">
      <c r="A372" s="637"/>
      <c r="B372" s="584"/>
      <c r="C372" s="584"/>
      <c r="D372" s="801"/>
      <c r="E372" s="609"/>
      <c r="F372" s="609"/>
      <c r="G372" s="593"/>
      <c r="H372" s="247" t="s">
        <v>1620</v>
      </c>
      <c r="I372" s="560"/>
      <c r="J372" s="552"/>
      <c r="K372" s="313">
        <v>27761200</v>
      </c>
      <c r="L372" s="316">
        <v>0</v>
      </c>
      <c r="M372" s="272">
        <v>44593</v>
      </c>
      <c r="N372" s="272">
        <v>44925</v>
      </c>
      <c r="O372" s="272">
        <v>44652</v>
      </c>
      <c r="P372" s="273">
        <f t="shared" si="56"/>
        <v>0.17771084337349397</v>
      </c>
      <c r="Q372" s="273">
        <f t="shared" si="57"/>
        <v>0.17771084337349397</v>
      </c>
      <c r="R372" s="274">
        <v>1</v>
      </c>
      <c r="S372" s="275">
        <v>0.25</v>
      </c>
      <c r="T372" s="275">
        <v>0.5</v>
      </c>
      <c r="U372" s="275">
        <v>0.75</v>
      </c>
      <c r="V372" s="275">
        <v>1</v>
      </c>
      <c r="W372" s="275">
        <v>0.15</v>
      </c>
      <c r="X372" s="275" t="s">
        <v>1621</v>
      </c>
      <c r="Y372" s="341" t="s">
        <v>53</v>
      </c>
      <c r="Z372" s="316">
        <v>0</v>
      </c>
      <c r="AA372" s="275">
        <v>0.3</v>
      </c>
      <c r="AB372" s="277" t="s">
        <v>1622</v>
      </c>
      <c r="AC372" s="277" t="s">
        <v>1602</v>
      </c>
      <c r="AD372" s="276"/>
      <c r="AE372" s="277"/>
      <c r="AF372" s="277"/>
      <c r="AG372" s="276"/>
      <c r="AH372" s="277"/>
      <c r="AI372" s="277"/>
      <c r="AJ372" s="278"/>
    </row>
    <row r="373" spans="1:36" ht="46.5" hidden="1" customHeight="1" outlineLevel="1" x14ac:dyDescent="0.2">
      <c r="A373" s="637"/>
      <c r="B373" s="584"/>
      <c r="C373" s="584"/>
      <c r="D373" s="801"/>
      <c r="E373" s="609"/>
      <c r="F373" s="609"/>
      <c r="G373" s="403"/>
      <c r="H373" s="247" t="s">
        <v>1623</v>
      </c>
      <c r="I373" s="560"/>
      <c r="J373" s="404"/>
      <c r="K373" s="313"/>
      <c r="L373" s="316">
        <v>0</v>
      </c>
      <c r="M373" s="272">
        <v>44593</v>
      </c>
      <c r="N373" s="272">
        <v>44925</v>
      </c>
      <c r="O373" s="272">
        <v>44652</v>
      </c>
      <c r="P373" s="273">
        <f t="shared" si="56"/>
        <v>0.17771084337349397</v>
      </c>
      <c r="Q373" s="273">
        <f t="shared" si="57"/>
        <v>0.17771084337349397</v>
      </c>
      <c r="R373" s="274">
        <v>1</v>
      </c>
      <c r="S373" s="275">
        <v>0.25</v>
      </c>
      <c r="T373" s="275">
        <v>0.5</v>
      </c>
      <c r="U373" s="275">
        <v>0.75</v>
      </c>
      <c r="V373" s="275">
        <v>1</v>
      </c>
      <c r="W373" s="344">
        <v>0.15</v>
      </c>
      <c r="X373" s="345" t="s">
        <v>1624</v>
      </c>
      <c r="Y373" s="341" t="s">
        <v>53</v>
      </c>
      <c r="Z373" s="316">
        <v>0</v>
      </c>
      <c r="AA373" s="275">
        <v>0.4</v>
      </c>
      <c r="AB373" s="277" t="s">
        <v>1625</v>
      </c>
      <c r="AC373" s="277" t="s">
        <v>2242</v>
      </c>
      <c r="AD373" s="276"/>
      <c r="AE373" s="277"/>
      <c r="AF373" s="277"/>
      <c r="AG373" s="276"/>
      <c r="AH373" s="277"/>
      <c r="AI373" s="277"/>
      <c r="AJ373" s="278"/>
    </row>
    <row r="374" spans="1:36" ht="93.75" hidden="1" customHeight="1" outlineLevel="1" x14ac:dyDescent="0.2">
      <c r="A374" s="637"/>
      <c r="B374" s="584"/>
      <c r="C374" s="584"/>
      <c r="D374" s="801"/>
      <c r="E374" s="609"/>
      <c r="F374" s="609"/>
      <c r="G374" s="247" t="s">
        <v>1626</v>
      </c>
      <c r="H374" s="247" t="s">
        <v>1627</v>
      </c>
      <c r="I374" s="560"/>
      <c r="J374" s="251" t="s">
        <v>1628</v>
      </c>
      <c r="K374" s="313">
        <v>1000000000</v>
      </c>
      <c r="L374" s="316">
        <v>0</v>
      </c>
      <c r="M374" s="272">
        <v>44593</v>
      </c>
      <c r="N374" s="272">
        <v>44925</v>
      </c>
      <c r="O374" s="272">
        <v>44652</v>
      </c>
      <c r="P374" s="273">
        <f t="shared" si="56"/>
        <v>0.17771084337349397</v>
      </c>
      <c r="Q374" s="273">
        <f t="shared" si="57"/>
        <v>0.17771084337349397</v>
      </c>
      <c r="R374" s="274">
        <v>1</v>
      </c>
      <c r="S374" s="275">
        <v>0.25</v>
      </c>
      <c r="T374" s="275">
        <v>0.5</v>
      </c>
      <c r="U374" s="275">
        <v>0.75</v>
      </c>
      <c r="V374" s="275">
        <v>1</v>
      </c>
      <c r="W374" s="275">
        <v>0.2</v>
      </c>
      <c r="X374" s="275" t="s">
        <v>1590</v>
      </c>
      <c r="Y374" s="341" t="s">
        <v>417</v>
      </c>
      <c r="Z374" s="316">
        <v>0</v>
      </c>
      <c r="AA374" s="275">
        <v>0.25</v>
      </c>
      <c r="AB374" s="277" t="s">
        <v>1629</v>
      </c>
      <c r="AC374" s="277" t="s">
        <v>53</v>
      </c>
      <c r="AD374" s="276"/>
      <c r="AE374" s="277"/>
      <c r="AF374" s="277"/>
      <c r="AG374" s="276"/>
      <c r="AH374" s="277"/>
      <c r="AI374" s="277"/>
      <c r="AJ374" s="278"/>
    </row>
    <row r="375" spans="1:36" ht="104.45" hidden="1" customHeight="1" outlineLevel="1" x14ac:dyDescent="0.2">
      <c r="A375" s="637"/>
      <c r="B375" s="584"/>
      <c r="C375" s="584"/>
      <c r="D375" s="801"/>
      <c r="E375" s="609"/>
      <c r="F375" s="609"/>
      <c r="G375" s="403" t="s">
        <v>1630</v>
      </c>
      <c r="H375" s="247" t="s">
        <v>1631</v>
      </c>
      <c r="I375" s="560"/>
      <c r="J375" s="404" t="s">
        <v>727</v>
      </c>
      <c r="K375" s="313">
        <v>411600000</v>
      </c>
      <c r="L375" s="316">
        <v>0</v>
      </c>
      <c r="M375" s="272">
        <v>44593</v>
      </c>
      <c r="N375" s="272">
        <v>44925</v>
      </c>
      <c r="O375" s="272">
        <v>44652</v>
      </c>
      <c r="P375" s="273">
        <f t="shared" si="56"/>
        <v>0.17771084337349397</v>
      </c>
      <c r="Q375" s="273">
        <f t="shared" si="57"/>
        <v>0.17771084337349397</v>
      </c>
      <c r="R375" s="274">
        <v>1</v>
      </c>
      <c r="S375" s="275">
        <v>0.25</v>
      </c>
      <c r="T375" s="275">
        <v>0.5</v>
      </c>
      <c r="U375" s="275">
        <v>0.75</v>
      </c>
      <c r="V375" s="275">
        <v>1</v>
      </c>
      <c r="W375" s="275">
        <v>0.25</v>
      </c>
      <c r="X375" s="275" t="s">
        <v>1632</v>
      </c>
      <c r="Y375" s="341" t="s">
        <v>727</v>
      </c>
      <c r="Z375" s="316">
        <v>200000000</v>
      </c>
      <c r="AA375" s="275">
        <v>0.52</v>
      </c>
      <c r="AB375" s="275" t="s">
        <v>1632</v>
      </c>
      <c r="AC375" s="277" t="s">
        <v>2243</v>
      </c>
      <c r="AD375" s="276"/>
      <c r="AE375" s="277"/>
      <c r="AF375" s="277"/>
      <c r="AG375" s="276"/>
      <c r="AH375" s="277"/>
      <c r="AI375" s="277"/>
      <c r="AJ375" s="278"/>
    </row>
    <row r="376" spans="1:36" ht="127.5" hidden="1" customHeight="1" outlineLevel="1" x14ac:dyDescent="0.2">
      <c r="A376" s="419"/>
      <c r="B376" s="546" t="s">
        <v>1575</v>
      </c>
      <c r="C376" s="546" t="s">
        <v>1636</v>
      </c>
      <c r="D376" s="802" t="s">
        <v>1637</v>
      </c>
      <c r="E376" s="625" t="s">
        <v>1638</v>
      </c>
      <c r="F376" s="625" t="s">
        <v>1639</v>
      </c>
      <c r="G376" s="567" t="s">
        <v>1640</v>
      </c>
      <c r="H376" s="436" t="s">
        <v>1641</v>
      </c>
      <c r="I376" s="567" t="s">
        <v>1642</v>
      </c>
      <c r="J376" s="404" t="s">
        <v>1643</v>
      </c>
      <c r="K376" s="313" t="s">
        <v>53</v>
      </c>
      <c r="L376" s="313"/>
      <c r="M376" s="272">
        <v>44593</v>
      </c>
      <c r="N376" s="272">
        <v>44925</v>
      </c>
      <c r="O376" s="272">
        <v>44652</v>
      </c>
      <c r="P376" s="273">
        <f t="shared" si="54"/>
        <v>0.17771084337349397</v>
      </c>
      <c r="Q376" s="273">
        <f t="shared" ref="Q376:Q381" si="58">+IF(P376&gt;=100,100,IF(P376&lt;=0,0,P376))</f>
        <v>0.17771084337349397</v>
      </c>
      <c r="R376" s="274">
        <v>1</v>
      </c>
      <c r="S376" s="275">
        <v>0.25</v>
      </c>
      <c r="T376" s="275">
        <v>0.5</v>
      </c>
      <c r="U376" s="275">
        <v>0.75</v>
      </c>
      <c r="V376" s="275">
        <v>1</v>
      </c>
      <c r="W376" s="275">
        <v>0.7</v>
      </c>
      <c r="X376" s="275" t="s">
        <v>1644</v>
      </c>
      <c r="Y376" s="341" t="s">
        <v>1645</v>
      </c>
      <c r="Z376" s="316"/>
      <c r="AA376" s="275">
        <v>0.9</v>
      </c>
      <c r="AB376" s="275" t="s">
        <v>2346</v>
      </c>
      <c r="AC376" s="277"/>
      <c r="AD376" s="276"/>
      <c r="AE376" s="277"/>
      <c r="AF376" s="277"/>
      <c r="AG376" s="276"/>
      <c r="AH376" s="277"/>
      <c r="AI376" s="277"/>
      <c r="AJ376" s="278"/>
    </row>
    <row r="377" spans="1:36" ht="104.45" hidden="1" customHeight="1" outlineLevel="1" x14ac:dyDescent="0.2">
      <c r="A377" s="419"/>
      <c r="B377" s="581"/>
      <c r="C377" s="581"/>
      <c r="D377" s="802"/>
      <c r="E377" s="626"/>
      <c r="F377" s="626"/>
      <c r="G377" s="569"/>
      <c r="H377" s="436" t="s">
        <v>1646</v>
      </c>
      <c r="I377" s="568"/>
      <c r="J377" s="404" t="s">
        <v>1581</v>
      </c>
      <c r="K377" s="313">
        <v>25000000</v>
      </c>
      <c r="L377" s="313"/>
      <c r="M377" s="272">
        <v>44593</v>
      </c>
      <c r="N377" s="272">
        <v>44925</v>
      </c>
      <c r="O377" s="272">
        <v>44652</v>
      </c>
      <c r="P377" s="273">
        <f t="shared" si="54"/>
        <v>0.17771084337349397</v>
      </c>
      <c r="Q377" s="273">
        <f t="shared" si="58"/>
        <v>0.17771084337349397</v>
      </c>
      <c r="R377" s="274">
        <v>1</v>
      </c>
      <c r="S377" s="275">
        <v>0.25</v>
      </c>
      <c r="T377" s="275">
        <v>0.5</v>
      </c>
      <c r="U377" s="275">
        <v>0.75</v>
      </c>
      <c r="V377" s="275">
        <v>1</v>
      </c>
      <c r="W377" s="275">
        <v>0.25</v>
      </c>
      <c r="X377" s="275" t="s">
        <v>2241</v>
      </c>
      <c r="Y377" s="341" t="s">
        <v>53</v>
      </c>
      <c r="Z377" s="316"/>
      <c r="AA377" s="275">
        <v>0.5</v>
      </c>
      <c r="AB377" s="275" t="s">
        <v>2347</v>
      </c>
      <c r="AC377" s="277"/>
      <c r="AD377" s="276"/>
      <c r="AE377" s="277"/>
      <c r="AF377" s="277"/>
      <c r="AG377" s="276"/>
      <c r="AH377" s="277"/>
      <c r="AI377" s="277"/>
      <c r="AJ377" s="278"/>
    </row>
    <row r="378" spans="1:36" ht="79.5" hidden="1" customHeight="1" outlineLevel="1" x14ac:dyDescent="0.2">
      <c r="A378" s="419"/>
      <c r="B378" s="581"/>
      <c r="C378" s="581"/>
      <c r="D378" s="802"/>
      <c r="E378" s="626"/>
      <c r="F378" s="626"/>
      <c r="G378" s="443" t="s">
        <v>1640</v>
      </c>
      <c r="H378" s="436" t="s">
        <v>1647</v>
      </c>
      <c r="I378" s="569"/>
      <c r="J378" s="404" t="s">
        <v>505</v>
      </c>
      <c r="K378" s="313">
        <v>125000000</v>
      </c>
      <c r="L378" s="313"/>
      <c r="M378" s="272">
        <v>44593</v>
      </c>
      <c r="N378" s="272">
        <v>44925</v>
      </c>
      <c r="O378" s="272">
        <v>44652</v>
      </c>
      <c r="P378" s="273">
        <f t="shared" si="54"/>
        <v>0.17771084337349397</v>
      </c>
      <c r="Q378" s="273">
        <f t="shared" si="58"/>
        <v>0.17771084337349397</v>
      </c>
      <c r="R378" s="274">
        <v>1</v>
      </c>
      <c r="S378" s="275">
        <v>0.25</v>
      </c>
      <c r="T378" s="275">
        <v>0.5</v>
      </c>
      <c r="U378" s="275">
        <v>0.75</v>
      </c>
      <c r="V378" s="275">
        <v>1</v>
      </c>
      <c r="W378" s="275">
        <v>0.25</v>
      </c>
      <c r="X378" s="275" t="s">
        <v>1648</v>
      </c>
      <c r="Y378" s="341" t="s">
        <v>1649</v>
      </c>
      <c r="Z378" s="316"/>
      <c r="AA378" s="275">
        <v>0.4</v>
      </c>
      <c r="AB378" s="275" t="s">
        <v>2348</v>
      </c>
      <c r="AC378" s="277"/>
      <c r="AD378" s="276"/>
      <c r="AE378" s="277"/>
      <c r="AF378" s="277"/>
      <c r="AG378" s="276"/>
      <c r="AH378" s="277"/>
      <c r="AI378" s="277"/>
      <c r="AJ378" s="278"/>
    </row>
    <row r="379" spans="1:36" ht="127.5" hidden="1" customHeight="1" outlineLevel="1" x14ac:dyDescent="0.2">
      <c r="A379" s="419"/>
      <c r="B379" s="581"/>
      <c r="C379" s="581"/>
      <c r="D379" s="802"/>
      <c r="E379" s="626"/>
      <c r="F379" s="626"/>
      <c r="G379" s="443" t="s">
        <v>1640</v>
      </c>
      <c r="H379" s="436" t="s">
        <v>1650</v>
      </c>
      <c r="I379" s="567" t="s">
        <v>1651</v>
      </c>
      <c r="J379" s="404" t="s">
        <v>1581</v>
      </c>
      <c r="K379" s="313">
        <v>25000000</v>
      </c>
      <c r="L379" s="313"/>
      <c r="M379" s="272">
        <v>44593</v>
      </c>
      <c r="N379" s="272">
        <v>44925</v>
      </c>
      <c r="O379" s="272">
        <v>44652</v>
      </c>
      <c r="P379" s="273">
        <f t="shared" si="54"/>
        <v>0.17771084337349397</v>
      </c>
      <c r="Q379" s="273">
        <f t="shared" si="58"/>
        <v>0.17771084337349397</v>
      </c>
      <c r="R379" s="274">
        <v>1</v>
      </c>
      <c r="S379" s="275">
        <v>0.25</v>
      </c>
      <c r="T379" s="275">
        <v>0.5</v>
      </c>
      <c r="U379" s="275">
        <v>0.75</v>
      </c>
      <c r="V379" s="275">
        <v>1</v>
      </c>
      <c r="W379" s="275">
        <v>0.25</v>
      </c>
      <c r="X379" s="275" t="s">
        <v>1652</v>
      </c>
      <c r="Y379" s="341" t="s">
        <v>1649</v>
      </c>
      <c r="Z379" s="316"/>
      <c r="AA379" s="275">
        <v>0.5</v>
      </c>
      <c r="AB379" s="275" t="s">
        <v>2349</v>
      </c>
      <c r="AC379" s="277"/>
      <c r="AD379" s="276"/>
      <c r="AE379" s="277"/>
      <c r="AF379" s="277"/>
      <c r="AG379" s="276"/>
      <c r="AH379" s="277"/>
      <c r="AI379" s="277"/>
      <c r="AJ379" s="278"/>
    </row>
    <row r="380" spans="1:36" ht="104.45" hidden="1" customHeight="1" outlineLevel="1" x14ac:dyDescent="0.2">
      <c r="A380" s="419"/>
      <c r="B380" s="581"/>
      <c r="C380" s="581"/>
      <c r="D380" s="802"/>
      <c r="E380" s="626"/>
      <c r="F380" s="626"/>
      <c r="G380" s="443" t="s">
        <v>1640</v>
      </c>
      <c r="H380" s="436" t="s">
        <v>1653</v>
      </c>
      <c r="I380" s="568"/>
      <c r="J380" s="404" t="s">
        <v>328</v>
      </c>
      <c r="K380" s="313">
        <v>272097792</v>
      </c>
      <c r="L380" s="313"/>
      <c r="M380" s="272">
        <v>44593</v>
      </c>
      <c r="N380" s="272">
        <v>44925</v>
      </c>
      <c r="O380" s="272">
        <v>44652</v>
      </c>
      <c r="P380" s="273">
        <f t="shared" si="54"/>
        <v>0.17771084337349397</v>
      </c>
      <c r="Q380" s="273">
        <f t="shared" si="58"/>
        <v>0.17771084337349397</v>
      </c>
      <c r="R380" s="274">
        <v>1</v>
      </c>
      <c r="S380" s="275">
        <v>0.25</v>
      </c>
      <c r="T380" s="275">
        <v>0.5</v>
      </c>
      <c r="U380" s="275">
        <v>0.75</v>
      </c>
      <c r="V380" s="275">
        <v>1</v>
      </c>
      <c r="W380" s="275">
        <v>0</v>
      </c>
      <c r="X380" s="275" t="s">
        <v>1654</v>
      </c>
      <c r="Y380" s="341" t="s">
        <v>53</v>
      </c>
      <c r="Z380" s="316"/>
      <c r="AA380" s="275">
        <v>0</v>
      </c>
      <c r="AB380" s="275" t="s">
        <v>2350</v>
      </c>
      <c r="AC380" s="277"/>
      <c r="AD380" s="276"/>
      <c r="AE380" s="277"/>
      <c r="AF380" s="277"/>
      <c r="AG380" s="276"/>
      <c r="AH380" s="277"/>
      <c r="AI380" s="277"/>
      <c r="AJ380" s="278"/>
    </row>
    <row r="381" spans="1:36" ht="104.45" hidden="1" customHeight="1" outlineLevel="1" x14ac:dyDescent="0.2">
      <c r="A381" s="419"/>
      <c r="B381" s="547"/>
      <c r="C381" s="547"/>
      <c r="D381" s="802"/>
      <c r="E381" s="627"/>
      <c r="F381" s="627"/>
      <c r="G381" s="443" t="s">
        <v>1640</v>
      </c>
      <c r="H381" s="436" t="s">
        <v>1655</v>
      </c>
      <c r="I381" s="569"/>
      <c r="J381" s="404" t="s">
        <v>505</v>
      </c>
      <c r="K381" s="312">
        <v>250000004</v>
      </c>
      <c r="L381" s="312"/>
      <c r="M381" s="272">
        <v>44593</v>
      </c>
      <c r="N381" s="272">
        <v>44925</v>
      </c>
      <c r="O381" s="272">
        <v>44652</v>
      </c>
      <c r="P381" s="273">
        <f t="shared" si="54"/>
        <v>0.17771084337349397</v>
      </c>
      <c r="Q381" s="273">
        <f t="shared" si="58"/>
        <v>0.17771084337349397</v>
      </c>
      <c r="R381" s="274">
        <v>1</v>
      </c>
      <c r="S381" s="275">
        <v>0.25</v>
      </c>
      <c r="T381" s="275">
        <v>0.5</v>
      </c>
      <c r="U381" s="275">
        <v>0.75</v>
      </c>
      <c r="V381" s="275">
        <v>1</v>
      </c>
      <c r="W381" s="275">
        <v>0.25</v>
      </c>
      <c r="X381" s="275" t="s">
        <v>1656</v>
      </c>
      <c r="Y381" s="341" t="s">
        <v>53</v>
      </c>
      <c r="Z381" s="316"/>
      <c r="AA381" s="275">
        <v>0.5</v>
      </c>
      <c r="AB381" s="275" t="s">
        <v>2351</v>
      </c>
      <c r="AC381" s="277"/>
      <c r="AD381" s="276"/>
      <c r="AE381" s="277"/>
      <c r="AF381" s="277"/>
      <c r="AG381" s="276"/>
      <c r="AH381" s="277"/>
      <c r="AI381" s="277"/>
      <c r="AJ381" s="278"/>
    </row>
    <row r="382" spans="1:36" ht="55.15" customHeight="1" collapsed="1" thickBot="1" x14ac:dyDescent="0.25">
      <c r="A382" s="635" t="s">
        <v>1657</v>
      </c>
      <c r="B382" s="635"/>
      <c r="C382" s="635"/>
      <c r="D382" s="635"/>
      <c r="E382" s="635"/>
      <c r="F382" s="635"/>
      <c r="G382" s="635"/>
      <c r="H382" s="635"/>
      <c r="I382" s="635"/>
      <c r="J382" s="635"/>
      <c r="K382" s="635"/>
      <c r="L382" s="635"/>
      <c r="M382" s="635"/>
      <c r="N382" s="635"/>
      <c r="O382" s="306">
        <v>44652</v>
      </c>
      <c r="P382" s="273"/>
      <c r="Q382" s="284">
        <f t="array" ref="Q382">+AVERAGE((Q304:Q381)*100)</f>
        <v>17.771084337349375</v>
      </c>
      <c r="R382" s="285">
        <v>100</v>
      </c>
      <c r="S382" s="275"/>
      <c r="T382" s="275"/>
      <c r="U382" s="275"/>
      <c r="V382" s="275"/>
      <c r="W382" s="381">
        <f>AVERAGE(W228:W381)</f>
        <v>0.22350649350649346</v>
      </c>
      <c r="X382" s="275"/>
      <c r="Y382" s="341"/>
      <c r="Z382" s="316"/>
      <c r="AA382" s="381">
        <f>AVERAGE(AA228:AA381)</f>
        <v>0.41322368421052608</v>
      </c>
      <c r="AB382" s="277"/>
      <c r="AC382" s="277"/>
      <c r="AD382" s="276"/>
      <c r="AE382" s="277"/>
      <c r="AF382" s="277"/>
      <c r="AG382" s="276"/>
      <c r="AH382" s="277"/>
      <c r="AI382" s="277"/>
      <c r="AJ382" s="288"/>
    </row>
    <row r="383" spans="1:36" ht="260.25" hidden="1" customHeight="1" outlineLevel="1" x14ac:dyDescent="0.2">
      <c r="A383" s="636" t="s">
        <v>1658</v>
      </c>
      <c r="B383" s="546" t="s">
        <v>1659</v>
      </c>
      <c r="C383" s="546" t="s">
        <v>1660</v>
      </c>
      <c r="D383" s="689" t="s">
        <v>1661</v>
      </c>
      <c r="E383" s="556" t="s">
        <v>1662</v>
      </c>
      <c r="F383" s="556" t="s">
        <v>1663</v>
      </c>
      <c r="G383" s="444" t="s">
        <v>555</v>
      </c>
      <c r="H383" s="249" t="s">
        <v>1664</v>
      </c>
      <c r="I383" s="572" t="s">
        <v>1665</v>
      </c>
      <c r="J383" s="267" t="s">
        <v>1666</v>
      </c>
      <c r="K383" s="613">
        <v>150000000</v>
      </c>
      <c r="L383" s="316">
        <v>0</v>
      </c>
      <c r="M383" s="289">
        <v>44593</v>
      </c>
      <c r="N383" s="289">
        <v>44925</v>
      </c>
      <c r="O383" s="272">
        <v>44652</v>
      </c>
      <c r="P383" s="273">
        <f t="shared" si="54"/>
        <v>0.17771084337349397</v>
      </c>
      <c r="Q383" s="273">
        <f t="shared" ref="Q383:Q411" si="59">+IF(P383&gt;=100,100,IF(P383&lt;=0,0,P383))</f>
        <v>0.17771084337349397</v>
      </c>
      <c r="R383" s="274">
        <v>1</v>
      </c>
      <c r="S383" s="275">
        <v>0.65</v>
      </c>
      <c r="T383" s="275">
        <v>0.75</v>
      </c>
      <c r="U383" s="275">
        <v>0.85</v>
      </c>
      <c r="V383" s="275">
        <v>0.1</v>
      </c>
      <c r="W383" s="275">
        <v>0.2</v>
      </c>
      <c r="X383" s="275" t="s">
        <v>1667</v>
      </c>
      <c r="Y383" s="341" t="s">
        <v>1668</v>
      </c>
      <c r="Z383" s="316"/>
      <c r="AA383" s="487">
        <v>1</v>
      </c>
      <c r="AB383" s="491" t="s">
        <v>2244</v>
      </c>
      <c r="AC383" s="277" t="s">
        <v>2245</v>
      </c>
      <c r="AD383" s="276"/>
      <c r="AE383" s="277"/>
      <c r="AF383" s="277"/>
      <c r="AG383" s="276"/>
      <c r="AH383" s="277"/>
      <c r="AI383" s="277"/>
      <c r="AJ383" s="278"/>
    </row>
    <row r="384" spans="1:36" ht="63" hidden="1" customHeight="1" outlineLevel="1" x14ac:dyDescent="0.2">
      <c r="A384" s="637"/>
      <c r="B384" s="581"/>
      <c r="C384" s="581"/>
      <c r="D384" s="630"/>
      <c r="E384" s="557"/>
      <c r="F384" s="557"/>
      <c r="G384" s="445"/>
      <c r="H384" s="249" t="s">
        <v>1669</v>
      </c>
      <c r="I384" s="573"/>
      <c r="J384" s="379" t="s">
        <v>1670</v>
      </c>
      <c r="K384" s="614"/>
      <c r="L384" s="316">
        <v>0</v>
      </c>
      <c r="M384" s="289">
        <v>44593</v>
      </c>
      <c r="N384" s="289">
        <v>44925</v>
      </c>
      <c r="O384" s="272">
        <v>44652</v>
      </c>
      <c r="P384" s="273">
        <f t="shared" si="54"/>
        <v>0.17771084337349397</v>
      </c>
      <c r="Q384" s="273">
        <f t="shared" si="59"/>
        <v>0.17771084337349397</v>
      </c>
      <c r="R384" s="274">
        <v>1</v>
      </c>
      <c r="S384" s="275">
        <v>0.25</v>
      </c>
      <c r="T384" s="275">
        <v>0.5</v>
      </c>
      <c r="U384" s="275">
        <v>0.75</v>
      </c>
      <c r="V384" s="275">
        <v>1</v>
      </c>
      <c r="W384" s="275">
        <v>0</v>
      </c>
      <c r="X384" s="275" t="s">
        <v>1671</v>
      </c>
      <c r="Y384" s="341" t="s">
        <v>53</v>
      </c>
      <c r="Z384" s="316"/>
      <c r="AA384" s="487">
        <v>0.5</v>
      </c>
      <c r="AB384" s="488" t="s">
        <v>2246</v>
      </c>
      <c r="AC384" s="277" t="s">
        <v>2247</v>
      </c>
      <c r="AD384" s="276"/>
      <c r="AE384" s="277"/>
      <c r="AF384" s="277"/>
      <c r="AG384" s="276"/>
      <c r="AH384" s="277"/>
      <c r="AI384" s="277"/>
      <c r="AJ384" s="278"/>
    </row>
    <row r="385" spans="1:36" ht="63" hidden="1" customHeight="1" outlineLevel="1" x14ac:dyDescent="0.2">
      <c r="A385" s="637"/>
      <c r="B385" s="581"/>
      <c r="C385" s="581"/>
      <c r="D385" s="630"/>
      <c r="E385" s="557"/>
      <c r="F385" s="557"/>
      <c r="G385" s="445"/>
      <c r="H385" s="249" t="s">
        <v>1672</v>
      </c>
      <c r="I385" s="573"/>
      <c r="J385" s="379" t="s">
        <v>1673</v>
      </c>
      <c r="K385" s="614"/>
      <c r="L385" s="316">
        <v>0</v>
      </c>
      <c r="M385" s="289"/>
      <c r="N385" s="289"/>
      <c r="O385" s="272"/>
      <c r="P385" s="273"/>
      <c r="Q385" s="273"/>
      <c r="R385" s="274"/>
      <c r="S385" s="275"/>
      <c r="T385" s="275"/>
      <c r="U385" s="275"/>
      <c r="V385" s="275"/>
      <c r="W385" s="275">
        <v>0</v>
      </c>
      <c r="X385" s="275" t="s">
        <v>1671</v>
      </c>
      <c r="Y385" s="341" t="s">
        <v>53</v>
      </c>
      <c r="Z385" s="316"/>
      <c r="AA385" s="275">
        <v>0</v>
      </c>
      <c r="AB385" s="277" t="s">
        <v>555</v>
      </c>
      <c r="AC385" s="277" t="s">
        <v>53</v>
      </c>
      <c r="AD385" s="276"/>
      <c r="AE385" s="277"/>
      <c r="AF385" s="277"/>
      <c r="AG385" s="276"/>
      <c r="AH385" s="277"/>
      <c r="AI385" s="277"/>
      <c r="AJ385" s="278"/>
    </row>
    <row r="386" spans="1:36" ht="71.25" hidden="1" customHeight="1" outlineLevel="1" x14ac:dyDescent="0.2">
      <c r="A386" s="637"/>
      <c r="B386" s="581"/>
      <c r="C386" s="581"/>
      <c r="D386" s="630"/>
      <c r="E386" s="557"/>
      <c r="F386" s="557"/>
      <c r="G386" s="445"/>
      <c r="H386" s="249" t="s">
        <v>1674</v>
      </c>
      <c r="I386" s="573"/>
      <c r="J386" s="379" t="s">
        <v>1675</v>
      </c>
      <c r="K386" s="614"/>
      <c r="L386" s="316">
        <v>0</v>
      </c>
      <c r="M386" s="289">
        <v>44593</v>
      </c>
      <c r="N386" s="289">
        <v>44925</v>
      </c>
      <c r="O386" s="272">
        <v>44652</v>
      </c>
      <c r="P386" s="273">
        <f t="shared" si="54"/>
        <v>0.17771084337349397</v>
      </c>
      <c r="Q386" s="273">
        <f t="shared" si="59"/>
        <v>0.17771084337349397</v>
      </c>
      <c r="R386" s="274">
        <v>1</v>
      </c>
      <c r="S386" s="275">
        <v>0.25</v>
      </c>
      <c r="T386" s="275">
        <v>0.5</v>
      </c>
      <c r="U386" s="275">
        <v>0.75</v>
      </c>
      <c r="V386" s="275">
        <v>1</v>
      </c>
      <c r="W386" s="275">
        <v>0</v>
      </c>
      <c r="X386" s="275" t="s">
        <v>1671</v>
      </c>
      <c r="Y386" s="341" t="s">
        <v>53</v>
      </c>
      <c r="Z386" s="316"/>
      <c r="AA386" s="487">
        <v>0.5</v>
      </c>
      <c r="AB386" s="277" t="s">
        <v>2248</v>
      </c>
      <c r="AC386" s="277" t="s">
        <v>2249</v>
      </c>
      <c r="AD386" s="276"/>
      <c r="AE386" s="277"/>
      <c r="AF386" s="277"/>
      <c r="AG386" s="276"/>
      <c r="AH386" s="277"/>
      <c r="AI386" s="277"/>
      <c r="AJ386" s="278"/>
    </row>
    <row r="387" spans="1:36" ht="47.25" hidden="1" customHeight="1" outlineLevel="1" x14ac:dyDescent="0.2">
      <c r="A387" s="637"/>
      <c r="B387" s="581"/>
      <c r="C387" s="581"/>
      <c r="D387" s="630"/>
      <c r="E387" s="557"/>
      <c r="F387" s="558"/>
      <c r="G387" s="445"/>
      <c r="H387" s="249" t="s">
        <v>1676</v>
      </c>
      <c r="I387" s="574"/>
      <c r="J387" s="379" t="s">
        <v>1677</v>
      </c>
      <c r="K387" s="615"/>
      <c r="L387" s="316">
        <v>0</v>
      </c>
      <c r="M387" s="289">
        <v>44593</v>
      </c>
      <c r="N387" s="289">
        <v>44925</v>
      </c>
      <c r="O387" s="272">
        <v>44652</v>
      </c>
      <c r="P387" s="273">
        <f t="shared" si="54"/>
        <v>0.17771084337349397</v>
      </c>
      <c r="Q387" s="273">
        <f t="shared" si="59"/>
        <v>0.17771084337349397</v>
      </c>
      <c r="R387" s="274">
        <v>1</v>
      </c>
      <c r="S387" s="275">
        <v>0.25</v>
      </c>
      <c r="T387" s="275">
        <v>0.5</v>
      </c>
      <c r="U387" s="275">
        <v>0.75</v>
      </c>
      <c r="V387" s="275">
        <v>1</v>
      </c>
      <c r="W387" s="275">
        <v>0</v>
      </c>
      <c r="X387" s="275" t="s">
        <v>1671</v>
      </c>
      <c r="Y387" s="341" t="s">
        <v>53</v>
      </c>
      <c r="Z387" s="316"/>
      <c r="AA387" s="487">
        <v>0.5</v>
      </c>
      <c r="AB387" s="277" t="s">
        <v>2250</v>
      </c>
      <c r="AC387" s="277" t="s">
        <v>2251</v>
      </c>
      <c r="AD387" s="276"/>
      <c r="AE387" s="277"/>
      <c r="AF387" s="277"/>
      <c r="AG387" s="276"/>
      <c r="AH387" s="277"/>
      <c r="AI387" s="277"/>
      <c r="AJ387" s="278"/>
    </row>
    <row r="388" spans="1:36" ht="46.5" hidden="1" customHeight="1" outlineLevel="1" x14ac:dyDescent="0.2">
      <c r="A388" s="637"/>
      <c r="B388" s="581"/>
      <c r="C388" s="581"/>
      <c r="D388" s="630"/>
      <c r="E388" s="557"/>
      <c r="F388" s="468" t="s">
        <v>1678</v>
      </c>
      <c r="G388" s="445"/>
      <c r="H388" s="249" t="s">
        <v>1679</v>
      </c>
      <c r="I388" s="444" t="s">
        <v>1680</v>
      </c>
      <c r="J388" s="267" t="s">
        <v>1681</v>
      </c>
      <c r="K388" s="323" t="s">
        <v>128</v>
      </c>
      <c r="L388" s="316">
        <v>0</v>
      </c>
      <c r="M388" s="289">
        <v>44593</v>
      </c>
      <c r="N388" s="289">
        <v>44925</v>
      </c>
      <c r="O388" s="272">
        <v>44652</v>
      </c>
      <c r="P388" s="273">
        <f t="shared" si="54"/>
        <v>0.17771084337349397</v>
      </c>
      <c r="Q388" s="273">
        <f t="shared" si="59"/>
        <v>0.17771084337349397</v>
      </c>
      <c r="R388" s="274">
        <v>0.6</v>
      </c>
      <c r="S388" s="275">
        <v>0.35</v>
      </c>
      <c r="T388" s="275">
        <v>0.45</v>
      </c>
      <c r="U388" s="275">
        <v>0.55000000000000004</v>
      </c>
      <c r="V388" s="275">
        <v>0.6</v>
      </c>
      <c r="W388" s="275">
        <v>0</v>
      </c>
      <c r="X388" s="275" t="s">
        <v>1682</v>
      </c>
      <c r="Y388" s="341" t="s">
        <v>53</v>
      </c>
      <c r="Z388" s="316"/>
      <c r="AA388" s="487">
        <v>0.2</v>
      </c>
      <c r="AB388" s="277" t="s">
        <v>2252</v>
      </c>
      <c r="AC388" s="277" t="s">
        <v>2253</v>
      </c>
      <c r="AD388" s="276"/>
      <c r="AE388" s="277"/>
      <c r="AF388" s="277"/>
      <c r="AG388" s="276"/>
      <c r="AH388" s="277"/>
      <c r="AI388" s="277"/>
      <c r="AJ388" s="278"/>
    </row>
    <row r="389" spans="1:36" ht="59.25" hidden="1" customHeight="1" outlineLevel="1" x14ac:dyDescent="0.2">
      <c r="A389" s="637"/>
      <c r="B389" s="581"/>
      <c r="C389" s="581"/>
      <c r="D389" s="630"/>
      <c r="E389" s="556" t="s">
        <v>1683</v>
      </c>
      <c r="F389" s="556" t="s">
        <v>1684</v>
      </c>
      <c r="G389" s="445"/>
      <c r="H389" s="249" t="s">
        <v>1685</v>
      </c>
      <c r="I389" s="601" t="s">
        <v>1686</v>
      </c>
      <c r="J389" s="267" t="s">
        <v>1687</v>
      </c>
      <c r="K389" s="324">
        <v>12000000</v>
      </c>
      <c r="L389" s="316">
        <v>0</v>
      </c>
      <c r="M389" s="289">
        <v>44593</v>
      </c>
      <c r="N389" s="289">
        <v>44925</v>
      </c>
      <c r="O389" s="272">
        <v>44652</v>
      </c>
      <c r="P389" s="273">
        <f t="shared" si="54"/>
        <v>0.17771084337349397</v>
      </c>
      <c r="Q389" s="273">
        <f t="shared" si="59"/>
        <v>0.17771084337349397</v>
      </c>
      <c r="R389" s="274">
        <v>1</v>
      </c>
      <c r="S389" s="275">
        <v>0.25</v>
      </c>
      <c r="T389" s="275">
        <v>0.5</v>
      </c>
      <c r="U389" s="275">
        <v>0.75</v>
      </c>
      <c r="V389" s="275">
        <v>1</v>
      </c>
      <c r="W389" s="275">
        <v>0</v>
      </c>
      <c r="X389" s="275" t="s">
        <v>1688</v>
      </c>
      <c r="Y389" s="341" t="s">
        <v>53</v>
      </c>
      <c r="Z389" s="316"/>
      <c r="AA389" s="275">
        <v>0</v>
      </c>
      <c r="AB389" s="277" t="s">
        <v>555</v>
      </c>
      <c r="AC389" s="277" t="s">
        <v>53</v>
      </c>
      <c r="AD389" s="276"/>
      <c r="AE389" s="277"/>
      <c r="AF389" s="277"/>
      <c r="AG389" s="276"/>
      <c r="AH389" s="277"/>
      <c r="AI389" s="277"/>
      <c r="AJ389" s="278"/>
    </row>
    <row r="390" spans="1:36" ht="72" hidden="1" customHeight="1" outlineLevel="1" x14ac:dyDescent="0.2">
      <c r="A390" s="637"/>
      <c r="B390" s="581"/>
      <c r="C390" s="581"/>
      <c r="D390" s="630"/>
      <c r="E390" s="557"/>
      <c r="F390" s="557"/>
      <c r="G390" s="445"/>
      <c r="H390" s="249" t="s">
        <v>1689</v>
      </c>
      <c r="I390" s="602"/>
      <c r="J390" s="267" t="s">
        <v>1690</v>
      </c>
      <c r="K390" s="324">
        <v>80000000</v>
      </c>
      <c r="L390" s="316">
        <v>0</v>
      </c>
      <c r="M390" s="289">
        <v>44593</v>
      </c>
      <c r="N390" s="289">
        <v>44925</v>
      </c>
      <c r="O390" s="272">
        <v>44652</v>
      </c>
      <c r="P390" s="273">
        <f t="shared" si="54"/>
        <v>0.17771084337349397</v>
      </c>
      <c r="Q390" s="273">
        <f t="shared" si="59"/>
        <v>0.17771084337349397</v>
      </c>
      <c r="R390" s="274">
        <v>1</v>
      </c>
      <c r="S390" s="275">
        <v>0.25</v>
      </c>
      <c r="T390" s="275">
        <v>0.5</v>
      </c>
      <c r="U390" s="275">
        <v>0.75</v>
      </c>
      <c r="V390" s="275">
        <v>1</v>
      </c>
      <c r="W390" s="275">
        <v>0.8</v>
      </c>
      <c r="X390" s="275" t="s">
        <v>1691</v>
      </c>
      <c r="Y390" s="341" t="s">
        <v>417</v>
      </c>
      <c r="Z390" s="316"/>
      <c r="AA390" s="487">
        <v>0.8</v>
      </c>
      <c r="AB390" s="277" t="s">
        <v>555</v>
      </c>
      <c r="AC390" s="277" t="s">
        <v>53</v>
      </c>
      <c r="AD390" s="276"/>
      <c r="AE390" s="277"/>
      <c r="AF390" s="277"/>
      <c r="AG390" s="276"/>
      <c r="AH390" s="277"/>
      <c r="AI390" s="277"/>
      <c r="AJ390" s="278"/>
    </row>
    <row r="391" spans="1:36" ht="46.5" hidden="1" customHeight="1" outlineLevel="1" x14ac:dyDescent="0.2">
      <c r="A391" s="637"/>
      <c r="B391" s="581"/>
      <c r="C391" s="581"/>
      <c r="D391" s="630"/>
      <c r="E391" s="557"/>
      <c r="F391" s="558"/>
      <c r="G391" s="445"/>
      <c r="H391" s="249" t="s">
        <v>1692</v>
      </c>
      <c r="I391" s="603"/>
      <c r="J391" s="267" t="s">
        <v>1693</v>
      </c>
      <c r="K391" s="324">
        <v>30000000</v>
      </c>
      <c r="L391" s="316">
        <v>0</v>
      </c>
      <c r="M391" s="289">
        <v>44593</v>
      </c>
      <c r="N391" s="289">
        <v>44925</v>
      </c>
      <c r="O391" s="272">
        <v>44652</v>
      </c>
      <c r="P391" s="273">
        <f t="shared" si="54"/>
        <v>0.17771084337349397</v>
      </c>
      <c r="Q391" s="273">
        <f t="shared" si="59"/>
        <v>0.17771084337349397</v>
      </c>
      <c r="R391" s="274">
        <v>1</v>
      </c>
      <c r="S391" s="275">
        <v>0.25</v>
      </c>
      <c r="T391" s="275">
        <v>0.5</v>
      </c>
      <c r="U391" s="275">
        <v>0.75</v>
      </c>
      <c r="V391" s="275">
        <v>1</v>
      </c>
      <c r="W391" s="275">
        <v>0</v>
      </c>
      <c r="X391" s="275" t="s">
        <v>1694</v>
      </c>
      <c r="Y391" s="341" t="s">
        <v>53</v>
      </c>
      <c r="Z391" s="316"/>
      <c r="AA391" s="487">
        <v>0.4</v>
      </c>
      <c r="AB391" s="492" t="s">
        <v>2254</v>
      </c>
      <c r="AC391" s="277" t="s">
        <v>2255</v>
      </c>
      <c r="AD391" s="276"/>
      <c r="AE391" s="277"/>
      <c r="AF391" s="277"/>
      <c r="AG391" s="276"/>
      <c r="AH391" s="277"/>
      <c r="AI391" s="277"/>
      <c r="AJ391" s="278"/>
    </row>
    <row r="392" spans="1:36" ht="56.25" hidden="1" customHeight="1" outlineLevel="1" x14ac:dyDescent="0.2">
      <c r="A392" s="637"/>
      <c r="B392" s="581"/>
      <c r="C392" s="581"/>
      <c r="D392" s="630"/>
      <c r="E392" s="557"/>
      <c r="F392" s="556" t="s">
        <v>1695</v>
      </c>
      <c r="G392" s="445"/>
      <c r="H392" s="249" t="s">
        <v>1696</v>
      </c>
      <c r="I392" s="601" t="s">
        <v>1697</v>
      </c>
      <c r="J392" s="267" t="s">
        <v>1693</v>
      </c>
      <c r="K392" s="365">
        <v>40000000</v>
      </c>
      <c r="L392" s="324">
        <v>177845094</v>
      </c>
      <c r="M392" s="289">
        <v>44593</v>
      </c>
      <c r="N392" s="289">
        <v>44925</v>
      </c>
      <c r="O392" s="272">
        <v>44652</v>
      </c>
      <c r="P392" s="273">
        <f t="shared" si="54"/>
        <v>0.17771084337349397</v>
      </c>
      <c r="Q392" s="273">
        <f t="shared" si="59"/>
        <v>0.17771084337349397</v>
      </c>
      <c r="R392" s="274">
        <v>1</v>
      </c>
      <c r="S392" s="275">
        <v>0.25</v>
      </c>
      <c r="T392" s="275">
        <v>0.5</v>
      </c>
      <c r="U392" s="275">
        <v>0.75</v>
      </c>
      <c r="V392" s="275">
        <v>1</v>
      </c>
      <c r="W392" s="275">
        <v>0.3</v>
      </c>
      <c r="X392" s="275" t="s">
        <v>1698</v>
      </c>
      <c r="Y392" s="341" t="s">
        <v>1699</v>
      </c>
      <c r="Z392" s="316"/>
      <c r="AA392" s="275">
        <v>0.52</v>
      </c>
      <c r="AB392" s="275" t="s">
        <v>1698</v>
      </c>
      <c r="AC392" s="277" t="s">
        <v>340</v>
      </c>
      <c r="AD392" s="276"/>
      <c r="AE392" s="277"/>
      <c r="AF392" s="277"/>
      <c r="AG392" s="276"/>
      <c r="AH392" s="277"/>
      <c r="AI392" s="277"/>
      <c r="AJ392" s="278"/>
    </row>
    <row r="393" spans="1:36" ht="150" hidden="1" customHeight="1" outlineLevel="1" x14ac:dyDescent="0.2">
      <c r="A393" s="637"/>
      <c r="B393" s="581"/>
      <c r="C393" s="581"/>
      <c r="D393" s="630"/>
      <c r="E393" s="557"/>
      <c r="F393" s="557"/>
      <c r="G393" s="445"/>
      <c r="H393" s="249" t="s">
        <v>1700</v>
      </c>
      <c r="I393" s="602"/>
      <c r="J393" s="267" t="s">
        <v>1701</v>
      </c>
      <c r="K393" s="324">
        <v>105000000</v>
      </c>
      <c r="L393" s="324">
        <v>10008369</v>
      </c>
      <c r="M393" s="289">
        <v>44593</v>
      </c>
      <c r="N393" s="289">
        <v>44925</v>
      </c>
      <c r="O393" s="272">
        <v>44652</v>
      </c>
      <c r="P393" s="273">
        <f t="shared" si="54"/>
        <v>0.17771084337349397</v>
      </c>
      <c r="Q393" s="273">
        <f t="shared" si="59"/>
        <v>0.17771084337349397</v>
      </c>
      <c r="R393" s="274">
        <v>1</v>
      </c>
      <c r="S393" s="275">
        <v>0.25</v>
      </c>
      <c r="T393" s="275">
        <v>0.5</v>
      </c>
      <c r="U393" s="275">
        <v>0.75</v>
      </c>
      <c r="V393" s="275">
        <v>1</v>
      </c>
      <c r="W393" s="275">
        <v>0.25</v>
      </c>
      <c r="X393" s="275" t="s">
        <v>1702</v>
      </c>
      <c r="Y393" s="341" t="s">
        <v>1703</v>
      </c>
      <c r="Z393" s="316"/>
      <c r="AA393" s="487">
        <v>0.5</v>
      </c>
      <c r="AB393" s="277" t="s">
        <v>2256</v>
      </c>
      <c r="AC393" s="277" t="s">
        <v>2257</v>
      </c>
      <c r="AD393" s="276"/>
      <c r="AE393" s="277"/>
      <c r="AF393" s="277"/>
      <c r="AG393" s="276"/>
      <c r="AH393" s="277"/>
      <c r="AI393" s="277"/>
      <c r="AJ393" s="278"/>
    </row>
    <row r="394" spans="1:36" ht="46.5" hidden="1" customHeight="1" outlineLevel="1" x14ac:dyDescent="0.2">
      <c r="A394" s="637"/>
      <c r="B394" s="581"/>
      <c r="C394" s="581"/>
      <c r="D394" s="630"/>
      <c r="E394" s="557"/>
      <c r="F394" s="557"/>
      <c r="G394" s="445"/>
      <c r="H394" s="249" t="s">
        <v>1704</v>
      </c>
      <c r="I394" s="602"/>
      <c r="J394" s="267" t="s">
        <v>1705</v>
      </c>
      <c r="K394" s="324">
        <v>30000000</v>
      </c>
      <c r="L394" s="316">
        <v>0</v>
      </c>
      <c r="M394" s="289">
        <v>44593</v>
      </c>
      <c r="N394" s="289">
        <v>44925</v>
      </c>
      <c r="O394" s="272">
        <v>44652</v>
      </c>
      <c r="P394" s="273">
        <f t="shared" si="54"/>
        <v>0.17771084337349397</v>
      </c>
      <c r="Q394" s="273">
        <f t="shared" si="59"/>
        <v>0.17771084337349397</v>
      </c>
      <c r="R394" s="274">
        <v>1</v>
      </c>
      <c r="S394" s="275">
        <v>0.25</v>
      </c>
      <c r="T394" s="275">
        <v>0.5</v>
      </c>
      <c r="U394" s="275">
        <v>0.75</v>
      </c>
      <c r="V394" s="275">
        <v>1</v>
      </c>
      <c r="W394" s="275">
        <v>0</v>
      </c>
      <c r="X394" s="275" t="s">
        <v>1688</v>
      </c>
      <c r="Y394" s="341" t="s">
        <v>53</v>
      </c>
      <c r="Z394" s="316"/>
      <c r="AA394" s="487">
        <v>0.5</v>
      </c>
      <c r="AB394" s="277" t="s">
        <v>2258</v>
      </c>
      <c r="AC394" s="473" t="s">
        <v>2259</v>
      </c>
      <c r="AD394" s="276"/>
      <c r="AE394" s="277"/>
      <c r="AF394" s="277"/>
      <c r="AG394" s="276"/>
      <c r="AH394" s="277"/>
      <c r="AI394" s="277"/>
      <c r="AJ394" s="278"/>
    </row>
    <row r="395" spans="1:36" ht="144" hidden="1" customHeight="1" outlineLevel="1" x14ac:dyDescent="0.2">
      <c r="A395" s="637"/>
      <c r="B395" s="581"/>
      <c r="C395" s="581"/>
      <c r="D395" s="630"/>
      <c r="E395" s="557"/>
      <c r="F395" s="557"/>
      <c r="G395" s="445"/>
      <c r="H395" s="249" t="s">
        <v>1706</v>
      </c>
      <c r="I395" s="602"/>
      <c r="J395" s="267" t="s">
        <v>1707</v>
      </c>
      <c r="K395" s="324">
        <v>5000000</v>
      </c>
      <c r="L395" s="316">
        <v>0</v>
      </c>
      <c r="M395" s="289">
        <v>44593</v>
      </c>
      <c r="N395" s="289">
        <v>44925</v>
      </c>
      <c r="O395" s="272">
        <v>44652</v>
      </c>
      <c r="P395" s="273">
        <f t="shared" si="54"/>
        <v>0.17771084337349397</v>
      </c>
      <c r="Q395" s="273">
        <f t="shared" si="59"/>
        <v>0.17771084337349397</v>
      </c>
      <c r="R395" s="274">
        <v>1</v>
      </c>
      <c r="S395" s="275">
        <v>0.25</v>
      </c>
      <c r="T395" s="275">
        <v>0.5</v>
      </c>
      <c r="U395" s="275">
        <v>0.75</v>
      </c>
      <c r="V395" s="275">
        <v>1</v>
      </c>
      <c r="W395" s="275">
        <v>0.2</v>
      </c>
      <c r="X395" s="275" t="s">
        <v>1708</v>
      </c>
      <c r="Y395" s="341" t="s">
        <v>1709</v>
      </c>
      <c r="Z395" s="316"/>
      <c r="AA395" s="487">
        <v>0.2</v>
      </c>
      <c r="AB395" s="277" t="s">
        <v>2260</v>
      </c>
      <c r="AC395" s="277" t="s">
        <v>2261</v>
      </c>
      <c r="AD395" s="276"/>
      <c r="AE395" s="277"/>
      <c r="AF395" s="277"/>
      <c r="AG395" s="276"/>
      <c r="AH395" s="277"/>
      <c r="AI395" s="277"/>
      <c r="AJ395" s="278"/>
    </row>
    <row r="396" spans="1:36" ht="144" hidden="1" customHeight="1" outlineLevel="1" x14ac:dyDescent="0.2">
      <c r="A396" s="637"/>
      <c r="B396" s="581"/>
      <c r="C396" s="581"/>
      <c r="D396" s="630"/>
      <c r="E396" s="557"/>
      <c r="F396" s="557"/>
      <c r="G396" s="445"/>
      <c r="H396" s="249" t="s">
        <v>1710</v>
      </c>
      <c r="I396" s="602"/>
      <c r="J396" s="267" t="s">
        <v>1711</v>
      </c>
      <c r="K396" s="324">
        <v>5000000</v>
      </c>
      <c r="L396" s="316">
        <v>0</v>
      </c>
      <c r="M396" s="289"/>
      <c r="N396" s="289"/>
      <c r="O396" s="272"/>
      <c r="P396" s="273"/>
      <c r="Q396" s="273"/>
      <c r="R396" s="274"/>
      <c r="S396" s="275"/>
      <c r="T396" s="275"/>
      <c r="U396" s="275"/>
      <c r="V396" s="275"/>
      <c r="W396" s="275">
        <v>0</v>
      </c>
      <c r="X396" s="275" t="s">
        <v>1688</v>
      </c>
      <c r="Y396" s="341" t="s">
        <v>53</v>
      </c>
      <c r="Z396" s="316"/>
      <c r="AA396" s="275">
        <v>0</v>
      </c>
      <c r="AB396" s="275" t="s">
        <v>1688</v>
      </c>
      <c r="AC396" s="277" t="s">
        <v>2261</v>
      </c>
      <c r="AD396" s="276"/>
      <c r="AE396" s="277"/>
      <c r="AF396" s="277"/>
      <c r="AG396" s="276"/>
      <c r="AH396" s="277"/>
      <c r="AI396" s="277"/>
      <c r="AJ396" s="278"/>
    </row>
    <row r="397" spans="1:36" ht="43.15" hidden="1" customHeight="1" outlineLevel="1" x14ac:dyDescent="0.2">
      <c r="A397" s="637"/>
      <c r="B397" s="581"/>
      <c r="C397" s="581"/>
      <c r="D397" s="630"/>
      <c r="E397" s="557"/>
      <c r="F397" s="557"/>
      <c r="G397" s="445"/>
      <c r="H397" s="249" t="s">
        <v>1712</v>
      </c>
      <c r="I397" s="602"/>
      <c r="J397" s="267" t="s">
        <v>1713</v>
      </c>
      <c r="K397" s="324">
        <v>10000000</v>
      </c>
      <c r="L397" s="316">
        <v>0</v>
      </c>
      <c r="M397" s="289">
        <v>44593</v>
      </c>
      <c r="N397" s="289">
        <v>44925</v>
      </c>
      <c r="O397" s="272">
        <v>44652</v>
      </c>
      <c r="P397" s="273">
        <f t="shared" si="54"/>
        <v>0.17771084337349397</v>
      </c>
      <c r="Q397" s="273">
        <f t="shared" si="59"/>
        <v>0.17771084337349397</v>
      </c>
      <c r="R397" s="274">
        <v>1</v>
      </c>
      <c r="S397" s="275">
        <v>0.25</v>
      </c>
      <c r="T397" s="275">
        <v>0.5</v>
      </c>
      <c r="U397" s="275">
        <v>0.75</v>
      </c>
      <c r="V397" s="275">
        <v>1</v>
      </c>
      <c r="W397" s="275">
        <v>0</v>
      </c>
      <c r="X397" s="275" t="s">
        <v>1688</v>
      </c>
      <c r="Y397" s="341"/>
      <c r="Z397" s="316"/>
      <c r="AA397" s="275">
        <v>0</v>
      </c>
      <c r="AB397" s="277" t="s">
        <v>2262</v>
      </c>
      <c r="AC397" s="277" t="s">
        <v>2261</v>
      </c>
      <c r="AD397" s="276"/>
      <c r="AE397" s="277"/>
      <c r="AF397" s="277"/>
      <c r="AG397" s="276"/>
      <c r="AH397" s="277"/>
      <c r="AI397" s="277"/>
      <c r="AJ397" s="278"/>
    </row>
    <row r="398" spans="1:36" ht="66" hidden="1" customHeight="1" outlineLevel="1" x14ac:dyDescent="0.2">
      <c r="A398" s="637"/>
      <c r="B398" s="581"/>
      <c r="C398" s="581"/>
      <c r="D398" s="630"/>
      <c r="E398" s="557"/>
      <c r="F398" s="557"/>
      <c r="G398" s="445"/>
      <c r="H398" s="249" t="s">
        <v>1714</v>
      </c>
      <c r="I398" s="602"/>
      <c r="J398" s="267" t="s">
        <v>1715</v>
      </c>
      <c r="K398" s="324">
        <v>200000000</v>
      </c>
      <c r="L398" s="316">
        <v>0</v>
      </c>
      <c r="M398" s="289">
        <v>44593</v>
      </c>
      <c r="N398" s="289">
        <v>44925</v>
      </c>
      <c r="O398" s="272">
        <v>44652</v>
      </c>
      <c r="P398" s="273">
        <f t="shared" si="54"/>
        <v>0.17771084337349397</v>
      </c>
      <c r="Q398" s="273">
        <f t="shared" si="59"/>
        <v>0.17771084337349397</v>
      </c>
      <c r="R398" s="274">
        <v>1</v>
      </c>
      <c r="S398" s="275">
        <v>0.25</v>
      </c>
      <c r="T398" s="275">
        <v>0.5</v>
      </c>
      <c r="U398" s="275">
        <v>0.75</v>
      </c>
      <c r="V398" s="275">
        <v>1</v>
      </c>
      <c r="W398" s="275">
        <v>0.2</v>
      </c>
      <c r="X398" s="275" t="s">
        <v>1716</v>
      </c>
      <c r="Y398" s="341" t="s">
        <v>1717</v>
      </c>
      <c r="Z398" s="316"/>
      <c r="AA398" s="275">
        <v>0</v>
      </c>
      <c r="AB398" s="277" t="s">
        <v>2263</v>
      </c>
      <c r="AC398" s="277" t="s">
        <v>2261</v>
      </c>
      <c r="AD398" s="276"/>
      <c r="AE398" s="277"/>
      <c r="AF398" s="277"/>
      <c r="AG398" s="276"/>
      <c r="AH398" s="277"/>
      <c r="AI398" s="277"/>
      <c r="AJ398" s="278"/>
    </row>
    <row r="399" spans="1:36" ht="53.25" hidden="1" customHeight="1" outlineLevel="1" x14ac:dyDescent="0.2">
      <c r="A399" s="637"/>
      <c r="B399" s="581"/>
      <c r="C399" s="581"/>
      <c r="D399" s="630"/>
      <c r="E399" s="557"/>
      <c r="F399" s="557"/>
      <c r="G399" s="445"/>
      <c r="H399" s="249" t="s">
        <v>1718</v>
      </c>
      <c r="I399" s="602"/>
      <c r="J399" s="267" t="s">
        <v>1719</v>
      </c>
      <c r="K399" s="324">
        <v>1000000</v>
      </c>
      <c r="L399" s="324">
        <v>900000</v>
      </c>
      <c r="M399" s="289">
        <v>44593</v>
      </c>
      <c r="N399" s="289">
        <v>44925</v>
      </c>
      <c r="O399" s="272">
        <v>44652</v>
      </c>
      <c r="P399" s="273">
        <f t="shared" ref="P399:P458" si="60">+(+_xlfn.DAYS(M399,O399))/(+_xlfn.DAYS(M399,N399))</f>
        <v>0.17771084337349397</v>
      </c>
      <c r="Q399" s="273">
        <f t="shared" si="59"/>
        <v>0.17771084337349397</v>
      </c>
      <c r="R399" s="274">
        <v>1</v>
      </c>
      <c r="S399" s="275">
        <v>0.25</v>
      </c>
      <c r="T399" s="275">
        <v>0.5</v>
      </c>
      <c r="U399" s="275">
        <v>0.75</v>
      </c>
      <c r="V399" s="275">
        <v>1</v>
      </c>
      <c r="W399" s="275">
        <v>1</v>
      </c>
      <c r="X399" s="275" t="s">
        <v>1720</v>
      </c>
      <c r="Y399" s="341" t="s">
        <v>1721</v>
      </c>
      <c r="Z399" s="316"/>
      <c r="AA399" s="487">
        <v>1</v>
      </c>
      <c r="AB399" s="275" t="s">
        <v>1720</v>
      </c>
      <c r="AC399" s="277" t="s">
        <v>2264</v>
      </c>
      <c r="AD399" s="276"/>
      <c r="AE399" s="277"/>
      <c r="AF399" s="277"/>
      <c r="AG399" s="276"/>
      <c r="AH399" s="277"/>
      <c r="AI399" s="277"/>
      <c r="AJ399" s="278"/>
    </row>
    <row r="400" spans="1:36" ht="79.5" hidden="1" customHeight="1" outlineLevel="1" x14ac:dyDescent="0.2">
      <c r="A400" s="637"/>
      <c r="B400" s="581"/>
      <c r="C400" s="581"/>
      <c r="D400" s="630"/>
      <c r="E400" s="557"/>
      <c r="F400" s="557"/>
      <c r="G400" s="445"/>
      <c r="H400" s="249" t="s">
        <v>1722</v>
      </c>
      <c r="I400" s="602"/>
      <c r="J400" s="267" t="s">
        <v>533</v>
      </c>
      <c r="K400" s="324">
        <v>25000000</v>
      </c>
      <c r="L400" s="316">
        <v>0</v>
      </c>
      <c r="M400" s="289">
        <v>44593</v>
      </c>
      <c r="N400" s="289">
        <v>44925</v>
      </c>
      <c r="O400" s="272">
        <v>44652</v>
      </c>
      <c r="P400" s="273">
        <f t="shared" si="60"/>
        <v>0.17771084337349397</v>
      </c>
      <c r="Q400" s="273">
        <f t="shared" si="59"/>
        <v>0.17771084337349397</v>
      </c>
      <c r="R400" s="274">
        <v>1</v>
      </c>
      <c r="S400" s="275">
        <v>0.25</v>
      </c>
      <c r="T400" s="275">
        <v>0.5</v>
      </c>
      <c r="U400" s="275">
        <v>0.75</v>
      </c>
      <c r="V400" s="275">
        <v>1</v>
      </c>
      <c r="W400" s="275">
        <v>0</v>
      </c>
      <c r="X400" s="275" t="s">
        <v>1708</v>
      </c>
      <c r="Y400" s="341" t="s">
        <v>1723</v>
      </c>
      <c r="Z400" s="316"/>
      <c r="AA400" s="487">
        <v>0.5</v>
      </c>
      <c r="AB400" s="277" t="s">
        <v>2265</v>
      </c>
      <c r="AC400" s="277" t="s">
        <v>2266</v>
      </c>
      <c r="AD400" s="276"/>
      <c r="AE400" s="277"/>
      <c r="AF400" s="277"/>
      <c r="AG400" s="276"/>
      <c r="AH400" s="277"/>
      <c r="AI400" s="277"/>
      <c r="AJ400" s="278"/>
    </row>
    <row r="401" spans="1:36" ht="46.5" hidden="1" customHeight="1" outlineLevel="1" x14ac:dyDescent="0.2">
      <c r="A401" s="637"/>
      <c r="B401" s="581"/>
      <c r="C401" s="581"/>
      <c r="D401" s="630"/>
      <c r="E401" s="557"/>
      <c r="F401" s="557"/>
      <c r="G401" s="445"/>
      <c r="H401" s="249" t="s">
        <v>1724</v>
      </c>
      <c r="I401" s="602"/>
      <c r="J401" s="267" t="s">
        <v>1713</v>
      </c>
      <c r="K401" s="325">
        <v>1000000</v>
      </c>
      <c r="L401" s="316">
        <v>0</v>
      </c>
      <c r="M401" s="289">
        <v>44593</v>
      </c>
      <c r="N401" s="289">
        <v>44925</v>
      </c>
      <c r="O401" s="272">
        <v>44652</v>
      </c>
      <c r="P401" s="273">
        <f t="shared" si="60"/>
        <v>0.17771084337349397</v>
      </c>
      <c r="Q401" s="273">
        <f t="shared" si="59"/>
        <v>0.17771084337349397</v>
      </c>
      <c r="R401" s="274">
        <v>1</v>
      </c>
      <c r="S401" s="275">
        <v>0.25</v>
      </c>
      <c r="T401" s="275">
        <v>0.5</v>
      </c>
      <c r="U401" s="275">
        <v>0.75</v>
      </c>
      <c r="V401" s="275">
        <v>1</v>
      </c>
      <c r="W401" s="275">
        <v>0</v>
      </c>
      <c r="X401" s="275" t="s">
        <v>1688</v>
      </c>
      <c r="Y401" s="341" t="s">
        <v>53</v>
      </c>
      <c r="Z401" s="316"/>
      <c r="AA401" s="487">
        <v>0.5</v>
      </c>
      <c r="AB401" s="277" t="s">
        <v>2267</v>
      </c>
      <c r="AC401" s="277" t="s">
        <v>2268</v>
      </c>
      <c r="AD401" s="276"/>
      <c r="AE401" s="277"/>
      <c r="AF401" s="277"/>
      <c r="AG401" s="276"/>
      <c r="AH401" s="277"/>
      <c r="AI401" s="277"/>
      <c r="AJ401" s="278"/>
    </row>
    <row r="402" spans="1:36" ht="28.9" hidden="1" customHeight="1" outlineLevel="1" x14ac:dyDescent="0.2">
      <c r="A402" s="637"/>
      <c r="B402" s="581"/>
      <c r="C402" s="581"/>
      <c r="D402" s="630"/>
      <c r="E402" s="557"/>
      <c r="F402" s="557"/>
      <c r="G402" s="445"/>
      <c r="H402" s="249" t="s">
        <v>1725</v>
      </c>
      <c r="I402" s="602"/>
      <c r="J402" s="267" t="s">
        <v>1713</v>
      </c>
      <c r="K402" s="325">
        <v>11000000</v>
      </c>
      <c r="L402" s="316">
        <v>0</v>
      </c>
      <c r="M402" s="289">
        <v>44593</v>
      </c>
      <c r="N402" s="289">
        <v>44925</v>
      </c>
      <c r="O402" s="272">
        <v>44652</v>
      </c>
      <c r="P402" s="273">
        <f t="shared" si="60"/>
        <v>0.17771084337349397</v>
      </c>
      <c r="Q402" s="273">
        <f t="shared" si="59"/>
        <v>0.17771084337349397</v>
      </c>
      <c r="R402" s="274">
        <v>1</v>
      </c>
      <c r="S402" s="275">
        <v>0.25</v>
      </c>
      <c r="T402" s="275">
        <v>0.5</v>
      </c>
      <c r="U402" s="275">
        <v>0.75</v>
      </c>
      <c r="V402" s="275">
        <v>1</v>
      </c>
      <c r="W402" s="275">
        <v>0</v>
      </c>
      <c r="X402" s="275" t="s">
        <v>1688</v>
      </c>
      <c r="Y402" s="341" t="s">
        <v>53</v>
      </c>
      <c r="Z402" s="316"/>
      <c r="AA402" s="487">
        <v>0</v>
      </c>
      <c r="AB402" s="277" t="s">
        <v>2269</v>
      </c>
      <c r="AC402" s="277" t="s">
        <v>2261</v>
      </c>
      <c r="AD402" s="276"/>
      <c r="AE402" s="277"/>
      <c r="AF402" s="277"/>
      <c r="AG402" s="276"/>
      <c r="AH402" s="277"/>
      <c r="AI402" s="277"/>
      <c r="AJ402" s="278"/>
    </row>
    <row r="403" spans="1:36" ht="28.9" hidden="1" customHeight="1" outlineLevel="1" x14ac:dyDescent="0.2">
      <c r="A403" s="637"/>
      <c r="B403" s="581"/>
      <c r="C403" s="581"/>
      <c r="D403" s="630"/>
      <c r="E403" s="557"/>
      <c r="F403" s="557"/>
      <c r="G403" s="445"/>
      <c r="H403" s="249" t="s">
        <v>1726</v>
      </c>
      <c r="I403" s="602"/>
      <c r="J403" s="267" t="s">
        <v>1713</v>
      </c>
      <c r="K403" s="325">
        <v>5000000</v>
      </c>
      <c r="L403" s="316">
        <v>0</v>
      </c>
      <c r="M403" s="289"/>
      <c r="N403" s="289"/>
      <c r="O403" s="272"/>
      <c r="P403" s="273"/>
      <c r="Q403" s="273"/>
      <c r="R403" s="274"/>
      <c r="S403" s="275"/>
      <c r="T403" s="275"/>
      <c r="U403" s="275"/>
      <c r="V403" s="275"/>
      <c r="W403" s="275">
        <v>0</v>
      </c>
      <c r="X403" s="275" t="s">
        <v>1688</v>
      </c>
      <c r="Y403" s="341" t="s">
        <v>53</v>
      </c>
      <c r="Z403" s="316"/>
      <c r="AA403" s="275">
        <v>0</v>
      </c>
      <c r="AB403" s="275" t="s">
        <v>1688</v>
      </c>
      <c r="AC403" s="277" t="s">
        <v>2261</v>
      </c>
      <c r="AD403" s="276"/>
      <c r="AE403" s="277"/>
      <c r="AF403" s="277"/>
      <c r="AG403" s="276"/>
      <c r="AH403" s="277"/>
      <c r="AI403" s="277"/>
      <c r="AJ403" s="278"/>
    </row>
    <row r="404" spans="1:36" ht="46.5" hidden="1" customHeight="1" outlineLevel="1" x14ac:dyDescent="0.2">
      <c r="A404" s="637"/>
      <c r="B404" s="581"/>
      <c r="C404" s="581"/>
      <c r="D404" s="631"/>
      <c r="E404" s="558"/>
      <c r="F404" s="558"/>
      <c r="G404" s="446"/>
      <c r="H404" s="249" t="s">
        <v>1727</v>
      </c>
      <c r="I404" s="603"/>
      <c r="J404" s="267" t="s">
        <v>533</v>
      </c>
      <c r="K404" s="324">
        <v>7000000</v>
      </c>
      <c r="L404" s="316">
        <v>0</v>
      </c>
      <c r="M404" s="289">
        <v>44593</v>
      </c>
      <c r="N404" s="289">
        <v>44925</v>
      </c>
      <c r="O404" s="272">
        <v>44652</v>
      </c>
      <c r="P404" s="273">
        <f t="shared" si="60"/>
        <v>0.17771084337349397</v>
      </c>
      <c r="Q404" s="273">
        <f t="shared" si="59"/>
        <v>0.17771084337349397</v>
      </c>
      <c r="R404" s="274">
        <v>1</v>
      </c>
      <c r="S404" s="275">
        <v>0.25</v>
      </c>
      <c r="T404" s="275">
        <v>0.5</v>
      </c>
      <c r="U404" s="275">
        <v>0.75</v>
      </c>
      <c r="V404" s="275">
        <v>1</v>
      </c>
      <c r="W404" s="275">
        <v>0</v>
      </c>
      <c r="X404" s="275" t="s">
        <v>1688</v>
      </c>
      <c r="Y404" s="341" t="s">
        <v>53</v>
      </c>
      <c r="Z404" s="316"/>
      <c r="AA404" s="487">
        <v>0</v>
      </c>
      <c r="AB404" s="277" t="s">
        <v>2270</v>
      </c>
      <c r="AC404" s="277" t="s">
        <v>2261</v>
      </c>
      <c r="AD404" s="276"/>
      <c r="AE404" s="277"/>
      <c r="AF404" s="277"/>
      <c r="AG404" s="276"/>
      <c r="AH404" s="277"/>
      <c r="AI404" s="277"/>
      <c r="AJ404" s="278"/>
    </row>
    <row r="405" spans="1:36" ht="184.5" hidden="1" customHeight="1" outlineLevel="1" x14ac:dyDescent="0.2">
      <c r="A405" s="637"/>
      <c r="B405" s="581"/>
      <c r="C405" s="581"/>
      <c r="D405" s="541" t="s">
        <v>1728</v>
      </c>
      <c r="E405" s="813"/>
      <c r="F405" s="366" t="s">
        <v>1729</v>
      </c>
      <c r="G405" s="448"/>
      <c r="H405" s="250" t="s">
        <v>1730</v>
      </c>
      <c r="I405" s="367" t="s">
        <v>1731</v>
      </c>
      <c r="J405" s="267" t="s">
        <v>1693</v>
      </c>
      <c r="K405" s="325">
        <v>28304410</v>
      </c>
      <c r="L405" s="316">
        <v>0</v>
      </c>
      <c r="M405" s="289">
        <v>44593</v>
      </c>
      <c r="N405" s="289">
        <v>44925</v>
      </c>
      <c r="O405" s="272">
        <v>44652</v>
      </c>
      <c r="P405" s="273">
        <f t="shared" si="60"/>
        <v>0.17771084337349397</v>
      </c>
      <c r="Q405" s="273">
        <f t="shared" si="59"/>
        <v>0.17771084337349397</v>
      </c>
      <c r="R405" s="274">
        <v>1</v>
      </c>
      <c r="S405" s="275">
        <v>0.25</v>
      </c>
      <c r="T405" s="275">
        <v>0.5</v>
      </c>
      <c r="U405" s="275">
        <v>0.75</v>
      </c>
      <c r="V405" s="275">
        <v>1</v>
      </c>
      <c r="W405" s="275">
        <v>0.2</v>
      </c>
      <c r="X405" s="275" t="s">
        <v>1732</v>
      </c>
      <c r="Y405" s="343" t="s">
        <v>1733</v>
      </c>
      <c r="Z405" s="316"/>
      <c r="AA405" s="487">
        <v>0.2</v>
      </c>
      <c r="AB405" s="277" t="s">
        <v>2270</v>
      </c>
      <c r="AC405" s="277" t="s">
        <v>2261</v>
      </c>
      <c r="AD405" s="276"/>
      <c r="AE405" s="277"/>
      <c r="AF405" s="277"/>
      <c r="AG405" s="276"/>
      <c r="AH405" s="277"/>
      <c r="AI405" s="277"/>
      <c r="AJ405" s="278"/>
    </row>
    <row r="406" spans="1:36" ht="60" hidden="1" customHeight="1" outlineLevel="1" x14ac:dyDescent="0.2">
      <c r="A406" s="637"/>
      <c r="B406" s="581"/>
      <c r="C406" s="581"/>
      <c r="D406" s="541"/>
      <c r="E406" s="813"/>
      <c r="F406" s="310" t="s">
        <v>1734</v>
      </c>
      <c r="G406" s="448"/>
      <c r="H406" s="250" t="s">
        <v>1735</v>
      </c>
      <c r="I406" s="448"/>
      <c r="J406" s="267" t="s">
        <v>1693</v>
      </c>
      <c r="K406" s="324">
        <v>18000000</v>
      </c>
      <c r="L406" s="316">
        <v>0</v>
      </c>
      <c r="M406" s="289">
        <v>44593</v>
      </c>
      <c r="N406" s="289">
        <v>44925</v>
      </c>
      <c r="O406" s="272">
        <v>44652</v>
      </c>
      <c r="P406" s="273">
        <f t="shared" si="60"/>
        <v>0.17771084337349397</v>
      </c>
      <c r="Q406" s="273">
        <f t="shared" si="59"/>
        <v>0.17771084337349397</v>
      </c>
      <c r="R406" s="274">
        <v>1</v>
      </c>
      <c r="S406" s="275">
        <v>0.25</v>
      </c>
      <c r="T406" s="275">
        <v>0.5</v>
      </c>
      <c r="U406" s="275">
        <v>0.75</v>
      </c>
      <c r="V406" s="275">
        <v>1</v>
      </c>
      <c r="W406" s="275">
        <v>0</v>
      </c>
      <c r="X406" s="275" t="s">
        <v>1736</v>
      </c>
      <c r="Y406" s="341" t="s">
        <v>53</v>
      </c>
      <c r="Z406" s="316"/>
      <c r="AA406" s="487">
        <v>0.5</v>
      </c>
      <c r="AB406" s="277" t="s">
        <v>2271</v>
      </c>
      <c r="AC406" s="277" t="s">
        <v>2272</v>
      </c>
      <c r="AD406" s="276"/>
      <c r="AE406" s="277"/>
      <c r="AF406" s="277"/>
      <c r="AG406" s="276"/>
      <c r="AH406" s="277"/>
      <c r="AI406" s="277"/>
      <c r="AJ406" s="278"/>
    </row>
    <row r="407" spans="1:36" ht="88.5" hidden="1" customHeight="1" outlineLevel="1" x14ac:dyDescent="0.2">
      <c r="A407" s="637"/>
      <c r="B407" s="581"/>
      <c r="C407" s="581"/>
      <c r="D407" s="541"/>
      <c r="E407" s="813"/>
      <c r="F407" s="591" t="s">
        <v>1737</v>
      </c>
      <c r="G407" s="448"/>
      <c r="H407" s="250" t="s">
        <v>1738</v>
      </c>
      <c r="I407" s="586" t="s">
        <v>1340</v>
      </c>
      <c r="J407" s="267" t="s">
        <v>1693</v>
      </c>
      <c r="K407" s="324">
        <v>8000000</v>
      </c>
      <c r="L407" s="316">
        <v>0</v>
      </c>
      <c r="M407" s="289">
        <v>44593</v>
      </c>
      <c r="N407" s="289">
        <v>44925</v>
      </c>
      <c r="O407" s="272">
        <v>44652</v>
      </c>
      <c r="P407" s="273">
        <f t="shared" si="60"/>
        <v>0.17771084337349397</v>
      </c>
      <c r="Q407" s="273">
        <f t="shared" si="59"/>
        <v>0.17771084337349397</v>
      </c>
      <c r="R407" s="274">
        <v>1</v>
      </c>
      <c r="S407" s="275">
        <v>0.25</v>
      </c>
      <c r="T407" s="275">
        <v>0.5</v>
      </c>
      <c r="U407" s="275">
        <v>0.75</v>
      </c>
      <c r="V407" s="275">
        <v>1</v>
      </c>
      <c r="W407" s="275">
        <v>0.15</v>
      </c>
      <c r="X407" s="275" t="s">
        <v>1739</v>
      </c>
      <c r="Y407" s="341" t="s">
        <v>1740</v>
      </c>
      <c r="Z407" s="316"/>
      <c r="AA407" s="487">
        <v>0.5</v>
      </c>
      <c r="AB407" s="277" t="s">
        <v>2328</v>
      </c>
      <c r="AC407" s="277" t="s">
        <v>2273</v>
      </c>
      <c r="AD407" s="276"/>
      <c r="AE407" s="277"/>
      <c r="AF407" s="277"/>
      <c r="AG407" s="276"/>
      <c r="AH407" s="277"/>
      <c r="AI407" s="277"/>
      <c r="AJ407" s="278"/>
    </row>
    <row r="408" spans="1:36" ht="106.5" hidden="1" customHeight="1" outlineLevel="1" x14ac:dyDescent="0.2">
      <c r="A408" s="637"/>
      <c r="B408" s="581"/>
      <c r="C408" s="581"/>
      <c r="D408" s="541"/>
      <c r="E408" s="813"/>
      <c r="F408" s="592"/>
      <c r="G408" s="448"/>
      <c r="H408" s="250" t="s">
        <v>1741</v>
      </c>
      <c r="I408" s="587"/>
      <c r="J408" s="267" t="s">
        <v>1693</v>
      </c>
      <c r="K408" s="324">
        <v>10000000</v>
      </c>
      <c r="L408" s="324">
        <v>548000</v>
      </c>
      <c r="M408" s="289">
        <v>44593</v>
      </c>
      <c r="N408" s="289">
        <v>44925</v>
      </c>
      <c r="O408" s="272">
        <v>44652</v>
      </c>
      <c r="P408" s="273">
        <f t="shared" si="60"/>
        <v>0.17771084337349397</v>
      </c>
      <c r="Q408" s="273">
        <f t="shared" si="59"/>
        <v>0.17771084337349397</v>
      </c>
      <c r="R408" s="274">
        <v>1</v>
      </c>
      <c r="S408" s="275">
        <v>0.25</v>
      </c>
      <c r="T408" s="275">
        <v>0.5</v>
      </c>
      <c r="U408" s="275">
        <v>0.75</v>
      </c>
      <c r="V408" s="275">
        <v>1</v>
      </c>
      <c r="W408" s="275">
        <v>1</v>
      </c>
      <c r="X408" s="275" t="s">
        <v>1742</v>
      </c>
      <c r="Y408" s="341" t="s">
        <v>1743</v>
      </c>
      <c r="Z408" s="316"/>
      <c r="AA408" s="487">
        <v>0.5</v>
      </c>
      <c r="AB408" s="277" t="s">
        <v>2274</v>
      </c>
      <c r="AC408" s="277" t="s">
        <v>2275</v>
      </c>
      <c r="AD408" s="276"/>
      <c r="AE408" s="277"/>
      <c r="AF408" s="277"/>
      <c r="AG408" s="276"/>
      <c r="AH408" s="277"/>
      <c r="AI408" s="277"/>
      <c r="AJ408" s="278"/>
    </row>
    <row r="409" spans="1:36" ht="60" hidden="1" customHeight="1" outlineLevel="1" x14ac:dyDescent="0.2">
      <c r="A409" s="637"/>
      <c r="B409" s="581"/>
      <c r="C409" s="581"/>
      <c r="D409" s="541"/>
      <c r="E409" s="813"/>
      <c r="F409" s="447" t="s">
        <v>1744</v>
      </c>
      <c r="G409" s="448"/>
      <c r="H409" s="250" t="s">
        <v>1745</v>
      </c>
      <c r="I409" s="250"/>
      <c r="J409" s="267" t="s">
        <v>1746</v>
      </c>
      <c r="K409" s="324">
        <v>8500000</v>
      </c>
      <c r="L409" s="316">
        <v>0</v>
      </c>
      <c r="M409" s="289">
        <v>44593</v>
      </c>
      <c r="N409" s="289">
        <v>44925</v>
      </c>
      <c r="O409" s="272">
        <v>44652</v>
      </c>
      <c r="P409" s="273">
        <f t="shared" si="60"/>
        <v>0.17771084337349397</v>
      </c>
      <c r="Q409" s="273">
        <f t="shared" si="59"/>
        <v>0.17771084337349397</v>
      </c>
      <c r="R409" s="274">
        <v>0.5</v>
      </c>
      <c r="S409" s="275">
        <v>0.35</v>
      </c>
      <c r="T409" s="275">
        <v>0.4</v>
      </c>
      <c r="U409" s="275">
        <v>0.45</v>
      </c>
      <c r="V409" s="275">
        <v>0.5</v>
      </c>
      <c r="W409" s="275">
        <v>0.1</v>
      </c>
      <c r="X409" s="275" t="s">
        <v>1747</v>
      </c>
      <c r="Y409" s="341" t="s">
        <v>1693</v>
      </c>
      <c r="Z409" s="316"/>
      <c r="AA409" s="487">
        <v>0.4</v>
      </c>
      <c r="AB409" s="277" t="s">
        <v>2276</v>
      </c>
      <c r="AC409" s="277" t="s">
        <v>2277</v>
      </c>
      <c r="AD409" s="276"/>
      <c r="AE409" s="277"/>
      <c r="AF409" s="277"/>
      <c r="AG409" s="276"/>
      <c r="AH409" s="277"/>
      <c r="AI409" s="277"/>
      <c r="AJ409" s="278"/>
    </row>
    <row r="410" spans="1:36" ht="108" hidden="1" customHeight="1" outlineLevel="1" x14ac:dyDescent="0.2">
      <c r="A410" s="637"/>
      <c r="B410" s="581"/>
      <c r="C410" s="581"/>
      <c r="D410" s="541"/>
      <c r="E410" s="813"/>
      <c r="F410" s="591" t="s">
        <v>1748</v>
      </c>
      <c r="G410" s="448"/>
      <c r="H410" s="250" t="s">
        <v>1749</v>
      </c>
      <c r="I410" s="250"/>
      <c r="J410" s="267" t="s">
        <v>1750</v>
      </c>
      <c r="K410" s="324">
        <v>800000</v>
      </c>
      <c r="L410" s="316">
        <v>0</v>
      </c>
      <c r="M410" s="289">
        <v>44593</v>
      </c>
      <c r="N410" s="289">
        <v>44925</v>
      </c>
      <c r="O410" s="272">
        <v>44652</v>
      </c>
      <c r="P410" s="273">
        <f t="shared" ref="P410" si="61">+(+_xlfn.DAYS(M410,O410))/(+_xlfn.DAYS(M410,N410))</f>
        <v>0.17771084337349397</v>
      </c>
      <c r="Q410" s="273">
        <f t="shared" ref="Q410" si="62">+IF(P410&gt;=100,100,IF(P410&lt;=0,0,P410))</f>
        <v>0.17771084337349397</v>
      </c>
      <c r="R410" s="274">
        <v>1</v>
      </c>
      <c r="S410" s="275">
        <v>0.25</v>
      </c>
      <c r="T410" s="275">
        <v>0.5</v>
      </c>
      <c r="U410" s="275">
        <v>0.75</v>
      </c>
      <c r="V410" s="275">
        <v>1</v>
      </c>
      <c r="W410" s="275">
        <v>0</v>
      </c>
      <c r="X410" s="275" t="s">
        <v>1751</v>
      </c>
      <c r="Y410" s="341" t="s">
        <v>53</v>
      </c>
      <c r="Z410" s="316"/>
      <c r="AA410" s="487">
        <v>0.3</v>
      </c>
      <c r="AB410" s="277" t="s">
        <v>2278</v>
      </c>
      <c r="AC410" s="277" t="s">
        <v>2279</v>
      </c>
      <c r="AD410" s="276"/>
      <c r="AE410" s="277"/>
      <c r="AF410" s="277"/>
      <c r="AG410" s="276"/>
      <c r="AH410" s="277"/>
      <c r="AI410" s="277"/>
      <c r="AJ410" s="278"/>
    </row>
    <row r="411" spans="1:36" ht="119.45" hidden="1" customHeight="1" outlineLevel="1" x14ac:dyDescent="0.2">
      <c r="A411" s="637"/>
      <c r="B411" s="547"/>
      <c r="C411" s="547"/>
      <c r="D411" s="542"/>
      <c r="E411" s="592"/>
      <c r="F411" s="592"/>
      <c r="G411" s="449"/>
      <c r="H411" s="250" t="s">
        <v>1752</v>
      </c>
      <c r="I411" s="250"/>
      <c r="J411" s="267" t="s">
        <v>1753</v>
      </c>
      <c r="K411" s="324">
        <v>4998000</v>
      </c>
      <c r="L411" s="316">
        <v>0</v>
      </c>
      <c r="M411" s="289">
        <v>44593</v>
      </c>
      <c r="N411" s="289">
        <v>44925</v>
      </c>
      <c r="O411" s="272">
        <v>44652</v>
      </c>
      <c r="P411" s="273">
        <f t="shared" si="60"/>
        <v>0.17771084337349397</v>
      </c>
      <c r="Q411" s="273">
        <f t="shared" si="59"/>
        <v>0.17771084337349397</v>
      </c>
      <c r="R411" s="274">
        <v>1</v>
      </c>
      <c r="S411" s="275">
        <v>0.25</v>
      </c>
      <c r="T411" s="275">
        <v>0.5</v>
      </c>
      <c r="U411" s="275">
        <v>0.75</v>
      </c>
      <c r="V411" s="275">
        <v>1</v>
      </c>
      <c r="W411" s="275">
        <v>0</v>
      </c>
      <c r="X411" s="275" t="s">
        <v>1754</v>
      </c>
      <c r="Y411" s="341" t="s">
        <v>53</v>
      </c>
      <c r="Z411" s="316"/>
      <c r="AA411" s="487">
        <v>0.4</v>
      </c>
      <c r="AB411" s="277" t="s">
        <v>2280</v>
      </c>
      <c r="AC411" s="277" t="s">
        <v>2279</v>
      </c>
      <c r="AD411" s="276"/>
      <c r="AE411" s="277"/>
      <c r="AF411" s="277"/>
      <c r="AG411" s="276"/>
      <c r="AH411" s="277"/>
      <c r="AI411" s="277"/>
      <c r="AJ411" s="278"/>
    </row>
    <row r="412" spans="1:36" ht="194.25" hidden="1" customHeight="1" outlineLevel="1" x14ac:dyDescent="0.2">
      <c r="A412" s="637"/>
      <c r="B412" s="583" t="s">
        <v>983</v>
      </c>
      <c r="C412" s="583" t="s">
        <v>1312</v>
      </c>
      <c r="D412" s="814" t="s">
        <v>1755</v>
      </c>
      <c r="E412" s="1" t="s">
        <v>1756</v>
      </c>
      <c r="F412" s="1" t="s">
        <v>1757</v>
      </c>
      <c r="G412" s="2" t="s">
        <v>229</v>
      </c>
      <c r="H412" s="2" t="s">
        <v>1758</v>
      </c>
      <c r="I412" s="2" t="s">
        <v>1759</v>
      </c>
      <c r="J412" s="12" t="s">
        <v>1760</v>
      </c>
      <c r="K412" s="12" t="s">
        <v>1761</v>
      </c>
      <c r="L412" s="316">
        <v>0</v>
      </c>
      <c r="M412" s="289">
        <v>44593</v>
      </c>
      <c r="N412" s="289">
        <v>44925</v>
      </c>
      <c r="O412" s="272">
        <v>44652</v>
      </c>
      <c r="P412" s="273">
        <f t="shared" si="60"/>
        <v>0.17771084337349397</v>
      </c>
      <c r="Q412" s="273">
        <f t="shared" ref="Q412:Q482" si="63">+IF(P412&gt;=100,100,IF(P412&lt;=0,0,P412))</f>
        <v>0.17771084337349397</v>
      </c>
      <c r="R412" s="274">
        <v>0.5</v>
      </c>
      <c r="S412" s="275">
        <v>0.32</v>
      </c>
      <c r="T412" s="275">
        <v>0.35</v>
      </c>
      <c r="U412" s="275">
        <v>0.42</v>
      </c>
      <c r="V412" s="275">
        <v>1</v>
      </c>
      <c r="W412" s="275">
        <v>0.1</v>
      </c>
      <c r="X412" s="275" t="s">
        <v>1762</v>
      </c>
      <c r="Y412" s="341" t="s">
        <v>267</v>
      </c>
      <c r="Z412" s="316">
        <v>0</v>
      </c>
      <c r="AA412" s="275">
        <v>0.2</v>
      </c>
      <c r="AB412" s="277" t="s">
        <v>1763</v>
      </c>
      <c r="AC412" s="277" t="s">
        <v>53</v>
      </c>
      <c r="AD412" s="276"/>
      <c r="AE412" s="277"/>
      <c r="AF412" s="277"/>
      <c r="AG412" s="276"/>
      <c r="AH412" s="277"/>
      <c r="AI412" s="277"/>
      <c r="AJ412" s="278"/>
    </row>
    <row r="413" spans="1:36" ht="208.5" hidden="1" customHeight="1" outlineLevel="1" x14ac:dyDescent="0.2">
      <c r="A413" s="637"/>
      <c r="B413" s="584"/>
      <c r="C413" s="584"/>
      <c r="D413" s="815"/>
      <c r="E413" s="705" t="s">
        <v>1764</v>
      </c>
      <c r="F413" s="763" t="s">
        <v>1314</v>
      </c>
      <c r="G413" s="694" t="s">
        <v>229</v>
      </c>
      <c r="H413" s="2" t="s">
        <v>1765</v>
      </c>
      <c r="I413" s="694" t="s">
        <v>1316</v>
      </c>
      <c r="J413" s="12" t="s">
        <v>1766</v>
      </c>
      <c r="K413" s="12" t="s">
        <v>1761</v>
      </c>
      <c r="L413" s="316">
        <v>0</v>
      </c>
      <c r="M413" s="289">
        <v>44593</v>
      </c>
      <c r="N413" s="289">
        <v>44925</v>
      </c>
      <c r="O413" s="272">
        <v>44652</v>
      </c>
      <c r="P413" s="273">
        <f t="shared" si="60"/>
        <v>0.17771084337349397</v>
      </c>
      <c r="Q413" s="273">
        <f t="shared" si="63"/>
        <v>0.17771084337349397</v>
      </c>
      <c r="R413" s="274">
        <v>0.5</v>
      </c>
      <c r="S413" s="275">
        <v>0.35</v>
      </c>
      <c r="T413" s="275">
        <v>0.4</v>
      </c>
      <c r="U413" s="275">
        <v>0.45</v>
      </c>
      <c r="V413" s="275">
        <v>0.5</v>
      </c>
      <c r="W413" s="275">
        <v>0.1</v>
      </c>
      <c r="X413" s="275" t="s">
        <v>1767</v>
      </c>
      <c r="Y413" s="341" t="s">
        <v>53</v>
      </c>
      <c r="Z413" s="316">
        <v>0</v>
      </c>
      <c r="AA413" s="275">
        <v>0.5</v>
      </c>
      <c r="AB413" s="277" t="s">
        <v>1768</v>
      </c>
      <c r="AC413" s="277" t="s">
        <v>53</v>
      </c>
      <c r="AD413" s="276"/>
      <c r="AE413" s="277"/>
      <c r="AF413" s="277"/>
      <c r="AG413" s="276"/>
      <c r="AH413" s="277"/>
      <c r="AI413" s="277"/>
      <c r="AJ413" s="278"/>
    </row>
    <row r="414" spans="1:36" ht="96" hidden="1" customHeight="1" outlineLevel="1" x14ac:dyDescent="0.2">
      <c r="A414" s="637"/>
      <c r="B414" s="584"/>
      <c r="C414" s="584"/>
      <c r="D414" s="815"/>
      <c r="E414" s="706"/>
      <c r="F414" s="764"/>
      <c r="G414" s="695"/>
      <c r="H414" s="2" t="s">
        <v>1769</v>
      </c>
      <c r="I414" s="695"/>
      <c r="J414" s="12" t="s">
        <v>1770</v>
      </c>
      <c r="K414" s="326">
        <v>24000000</v>
      </c>
      <c r="L414" s="316">
        <v>0</v>
      </c>
      <c r="M414" s="289">
        <v>44593</v>
      </c>
      <c r="N414" s="289">
        <v>44925</v>
      </c>
      <c r="O414" s="272">
        <v>44652</v>
      </c>
      <c r="P414" s="273">
        <f t="shared" si="60"/>
        <v>0.17771084337349397</v>
      </c>
      <c r="Q414" s="273">
        <f t="shared" si="63"/>
        <v>0.17771084337349397</v>
      </c>
      <c r="R414" s="274">
        <v>1</v>
      </c>
      <c r="S414" s="275">
        <v>0.25</v>
      </c>
      <c r="T414" s="275">
        <v>0.5</v>
      </c>
      <c r="U414" s="275">
        <v>0.75</v>
      </c>
      <c r="V414" s="275">
        <v>1</v>
      </c>
      <c r="W414" s="275">
        <v>0</v>
      </c>
      <c r="X414" s="275" t="s">
        <v>1771</v>
      </c>
      <c r="Y414" s="341" t="s">
        <v>53</v>
      </c>
      <c r="Z414" s="316">
        <v>0</v>
      </c>
      <c r="AA414" s="275">
        <v>0</v>
      </c>
      <c r="AB414" s="277" t="s">
        <v>1772</v>
      </c>
      <c r="AC414" s="277" t="s">
        <v>53</v>
      </c>
      <c r="AD414" s="276"/>
      <c r="AE414" s="277"/>
      <c r="AF414" s="277"/>
      <c r="AG414" s="276"/>
      <c r="AH414" s="277"/>
      <c r="AI414" s="277"/>
      <c r="AJ414" s="278"/>
    </row>
    <row r="415" spans="1:36" ht="96" hidden="1" customHeight="1" outlineLevel="1" x14ac:dyDescent="0.2">
      <c r="A415" s="637"/>
      <c r="B415" s="584"/>
      <c r="C415" s="584"/>
      <c r="D415" s="815"/>
      <c r="E415" s="706"/>
      <c r="F415" s="764"/>
      <c r="G415" s="695"/>
      <c r="H415" s="2" t="s">
        <v>1773</v>
      </c>
      <c r="I415" s="695"/>
      <c r="J415" s="12" t="s">
        <v>1774</v>
      </c>
      <c r="K415" s="326">
        <v>2200000</v>
      </c>
      <c r="L415" s="316">
        <v>0</v>
      </c>
      <c r="M415" s="289">
        <v>44593</v>
      </c>
      <c r="N415" s="289">
        <v>44925</v>
      </c>
      <c r="O415" s="272">
        <v>44652</v>
      </c>
      <c r="P415" s="273">
        <f t="shared" si="60"/>
        <v>0.17771084337349397</v>
      </c>
      <c r="Q415" s="273">
        <f t="shared" si="63"/>
        <v>0.17771084337349397</v>
      </c>
      <c r="R415" s="274">
        <v>1</v>
      </c>
      <c r="S415" s="275">
        <v>0.25</v>
      </c>
      <c r="T415" s="275">
        <v>0.5</v>
      </c>
      <c r="U415" s="275">
        <v>0.75</v>
      </c>
      <c r="V415" s="275">
        <v>1</v>
      </c>
      <c r="W415" s="275">
        <v>0.15</v>
      </c>
      <c r="X415" s="275" t="s">
        <v>1775</v>
      </c>
      <c r="Y415" s="341" t="s">
        <v>53</v>
      </c>
      <c r="Z415" s="316">
        <v>0</v>
      </c>
      <c r="AA415" s="275">
        <v>0.5</v>
      </c>
      <c r="AB415" s="277" t="s">
        <v>1776</v>
      </c>
      <c r="AC415" s="277" t="s">
        <v>53</v>
      </c>
      <c r="AD415" s="276"/>
      <c r="AE415" s="277"/>
      <c r="AF415" s="277"/>
      <c r="AG415" s="276"/>
      <c r="AH415" s="277"/>
      <c r="AI415" s="277"/>
      <c r="AJ415" s="278"/>
    </row>
    <row r="416" spans="1:36" ht="96" hidden="1" customHeight="1" outlineLevel="1" x14ac:dyDescent="0.2">
      <c r="A416" s="637"/>
      <c r="B416" s="584"/>
      <c r="C416" s="584"/>
      <c r="D416" s="815"/>
      <c r="E416" s="706"/>
      <c r="F416" s="765"/>
      <c r="G416" s="696"/>
      <c r="H416" s="2" t="s">
        <v>1777</v>
      </c>
      <c r="I416" s="696"/>
      <c r="J416" s="12" t="s">
        <v>1778</v>
      </c>
      <c r="K416" s="326">
        <v>4400000</v>
      </c>
      <c r="L416" s="316">
        <v>0</v>
      </c>
      <c r="M416" s="289">
        <v>44593</v>
      </c>
      <c r="N416" s="289">
        <v>44925</v>
      </c>
      <c r="O416" s="272">
        <v>44652</v>
      </c>
      <c r="P416" s="273">
        <f t="shared" si="60"/>
        <v>0.17771084337349397</v>
      </c>
      <c r="Q416" s="273">
        <f t="shared" si="63"/>
        <v>0.17771084337349397</v>
      </c>
      <c r="R416" s="274">
        <v>1</v>
      </c>
      <c r="S416" s="275">
        <v>0.25</v>
      </c>
      <c r="T416" s="275">
        <v>0.5</v>
      </c>
      <c r="U416" s="275">
        <v>0.75</v>
      </c>
      <c r="V416" s="275">
        <v>1</v>
      </c>
      <c r="W416" s="275">
        <v>0.15</v>
      </c>
      <c r="X416" s="275" t="s">
        <v>1779</v>
      </c>
      <c r="Y416" s="341" t="s">
        <v>53</v>
      </c>
      <c r="Z416" s="316">
        <v>0</v>
      </c>
      <c r="AA416" s="275">
        <v>0.15</v>
      </c>
      <c r="AB416" s="277" t="s">
        <v>555</v>
      </c>
      <c r="AC416" s="277" t="s">
        <v>53</v>
      </c>
      <c r="AD416" s="276"/>
      <c r="AE416" s="277"/>
      <c r="AF416" s="277"/>
      <c r="AG416" s="276"/>
      <c r="AH416" s="277"/>
      <c r="AI416" s="277"/>
      <c r="AJ416" s="278"/>
    </row>
    <row r="417" spans="1:36" ht="96" hidden="1" customHeight="1" outlineLevel="1" x14ac:dyDescent="0.2">
      <c r="A417" s="637"/>
      <c r="B417" s="584"/>
      <c r="C417" s="584"/>
      <c r="D417" s="815"/>
      <c r="E417" s="706"/>
      <c r="F417" s="763" t="s">
        <v>1780</v>
      </c>
      <c r="G417" s="694" t="s">
        <v>229</v>
      </c>
      <c r="H417" s="14" t="s">
        <v>1781</v>
      </c>
      <c r="I417" s="766" t="s">
        <v>1782</v>
      </c>
      <c r="J417" s="12" t="s">
        <v>1783</v>
      </c>
      <c r="K417" s="290" t="s">
        <v>53</v>
      </c>
      <c r="L417" s="316">
        <v>0</v>
      </c>
      <c r="M417" s="289">
        <v>44593</v>
      </c>
      <c r="N417" s="289">
        <v>44925</v>
      </c>
      <c r="O417" s="272">
        <v>44652</v>
      </c>
      <c r="P417" s="273">
        <f t="shared" si="60"/>
        <v>0.17771084337349397</v>
      </c>
      <c r="Q417" s="273">
        <f t="shared" si="63"/>
        <v>0.17771084337349397</v>
      </c>
      <c r="R417" s="274">
        <v>0.5</v>
      </c>
      <c r="S417" s="275">
        <v>0.42</v>
      </c>
      <c r="T417" s="275">
        <v>0.44</v>
      </c>
      <c r="U417" s="275">
        <v>0.48</v>
      </c>
      <c r="V417" s="275">
        <v>0.5</v>
      </c>
      <c r="W417" s="275">
        <v>0.05</v>
      </c>
      <c r="X417" s="345" t="s">
        <v>1784</v>
      </c>
      <c r="Y417" s="341" t="s">
        <v>53</v>
      </c>
      <c r="Z417" s="316">
        <v>0</v>
      </c>
      <c r="AA417" s="275"/>
      <c r="AB417" s="277" t="s">
        <v>2281</v>
      </c>
      <c r="AC417" s="277" t="s">
        <v>53</v>
      </c>
      <c r="AD417" s="276"/>
      <c r="AE417" s="277"/>
      <c r="AF417" s="277"/>
      <c r="AG417" s="276"/>
      <c r="AH417" s="277"/>
      <c r="AI417" s="277"/>
      <c r="AJ417" s="278"/>
    </row>
    <row r="418" spans="1:36" ht="96" hidden="1" customHeight="1" outlineLevel="1" x14ac:dyDescent="0.2">
      <c r="A418" s="637"/>
      <c r="B418" s="584"/>
      <c r="C418" s="584"/>
      <c r="D418" s="815"/>
      <c r="E418" s="706"/>
      <c r="F418" s="764"/>
      <c r="G418" s="695"/>
      <c r="H418" s="14" t="s">
        <v>1785</v>
      </c>
      <c r="I418" s="767"/>
      <c r="J418" s="12" t="s">
        <v>1786</v>
      </c>
      <c r="K418" s="346">
        <v>2268000</v>
      </c>
      <c r="L418" s="346">
        <v>2268000</v>
      </c>
      <c r="M418" s="289">
        <v>44593</v>
      </c>
      <c r="N418" s="289">
        <v>44925</v>
      </c>
      <c r="O418" s="272">
        <v>44652</v>
      </c>
      <c r="P418" s="273">
        <f t="shared" si="60"/>
        <v>0.17771084337349397</v>
      </c>
      <c r="Q418" s="273">
        <f t="shared" si="63"/>
        <v>0.17771084337349397</v>
      </c>
      <c r="R418" s="274">
        <v>1</v>
      </c>
      <c r="S418" s="275">
        <v>0.25</v>
      </c>
      <c r="T418" s="275">
        <v>0.5</v>
      </c>
      <c r="U418" s="275">
        <v>0.75</v>
      </c>
      <c r="V418" s="275">
        <v>1</v>
      </c>
      <c r="W418" s="275">
        <v>1</v>
      </c>
      <c r="X418" s="275" t="s">
        <v>1787</v>
      </c>
      <c r="Y418" s="341" t="s">
        <v>340</v>
      </c>
      <c r="Z418" s="316">
        <v>0</v>
      </c>
      <c r="AA418" s="275">
        <v>1</v>
      </c>
      <c r="AB418" s="277" t="s">
        <v>1788</v>
      </c>
      <c r="AC418" s="277" t="s">
        <v>53</v>
      </c>
      <c r="AD418" s="276"/>
      <c r="AE418" s="277"/>
      <c r="AF418" s="277"/>
      <c r="AG418" s="276"/>
      <c r="AH418" s="277"/>
      <c r="AI418" s="277"/>
      <c r="AJ418" s="278"/>
    </row>
    <row r="419" spans="1:36" ht="96" hidden="1" customHeight="1" outlineLevel="1" x14ac:dyDescent="0.2">
      <c r="A419" s="637"/>
      <c r="B419" s="584"/>
      <c r="C419" s="584"/>
      <c r="D419" s="815"/>
      <c r="E419" s="706"/>
      <c r="F419" s="764"/>
      <c r="G419" s="695"/>
      <c r="H419" s="14" t="s">
        <v>1789</v>
      </c>
      <c r="I419" s="767"/>
      <c r="J419" s="12" t="s">
        <v>1786</v>
      </c>
      <c r="K419" s="346">
        <v>2268000</v>
      </c>
      <c r="L419" s="346">
        <v>2268000</v>
      </c>
      <c r="M419" s="289">
        <v>44593</v>
      </c>
      <c r="N419" s="289">
        <v>44925</v>
      </c>
      <c r="O419" s="272">
        <v>44652</v>
      </c>
      <c r="P419" s="273">
        <f t="shared" si="60"/>
        <v>0.17771084337349397</v>
      </c>
      <c r="Q419" s="273">
        <f t="shared" si="63"/>
        <v>0.17771084337349397</v>
      </c>
      <c r="R419" s="274">
        <v>1</v>
      </c>
      <c r="S419" s="275">
        <v>0.25</v>
      </c>
      <c r="T419" s="275">
        <v>0.5</v>
      </c>
      <c r="U419" s="275">
        <v>0.75</v>
      </c>
      <c r="V419" s="275">
        <v>1</v>
      </c>
      <c r="W419" s="275">
        <v>1</v>
      </c>
      <c r="X419" s="275" t="s">
        <v>1790</v>
      </c>
      <c r="Y419" s="341" t="s">
        <v>340</v>
      </c>
      <c r="Z419" s="316">
        <v>0</v>
      </c>
      <c r="AA419" s="275">
        <v>1</v>
      </c>
      <c r="AB419" s="277" t="s">
        <v>1788</v>
      </c>
      <c r="AC419" s="277" t="s">
        <v>53</v>
      </c>
      <c r="AD419" s="276"/>
      <c r="AE419" s="277"/>
      <c r="AF419" s="277"/>
      <c r="AG419" s="276"/>
      <c r="AH419" s="277"/>
      <c r="AI419" s="277"/>
      <c r="AJ419" s="278"/>
    </row>
    <row r="420" spans="1:36" ht="96" hidden="1" customHeight="1" outlineLevel="1" x14ac:dyDescent="0.2">
      <c r="A420" s="637"/>
      <c r="B420" s="584"/>
      <c r="C420" s="584"/>
      <c r="D420" s="815"/>
      <c r="E420" s="706"/>
      <c r="F420" s="764"/>
      <c r="G420" s="695"/>
      <c r="H420" s="14" t="s">
        <v>1791</v>
      </c>
      <c r="I420" s="767"/>
      <c r="J420" s="12" t="s">
        <v>1786</v>
      </c>
      <c r="K420" s="346">
        <v>4536000</v>
      </c>
      <c r="L420" s="346">
        <v>4536000</v>
      </c>
      <c r="M420" s="289">
        <v>44593</v>
      </c>
      <c r="N420" s="289">
        <v>44925</v>
      </c>
      <c r="O420" s="272">
        <v>44652</v>
      </c>
      <c r="P420" s="273">
        <f t="shared" si="60"/>
        <v>0.17771084337349397</v>
      </c>
      <c r="Q420" s="273">
        <f t="shared" si="63"/>
        <v>0.17771084337349397</v>
      </c>
      <c r="R420" s="274">
        <v>1</v>
      </c>
      <c r="S420" s="275">
        <v>0.25</v>
      </c>
      <c r="T420" s="275">
        <v>0.5</v>
      </c>
      <c r="U420" s="275">
        <v>0.75</v>
      </c>
      <c r="V420" s="275">
        <v>1</v>
      </c>
      <c r="W420" s="275">
        <v>1</v>
      </c>
      <c r="X420" s="275" t="s">
        <v>1792</v>
      </c>
      <c r="Y420" s="341" t="s">
        <v>340</v>
      </c>
      <c r="Z420" s="316">
        <v>0</v>
      </c>
      <c r="AA420" s="275">
        <v>1</v>
      </c>
      <c r="AB420" s="277" t="s">
        <v>1788</v>
      </c>
      <c r="AC420" s="277" t="s">
        <v>53</v>
      </c>
      <c r="AD420" s="276"/>
      <c r="AE420" s="277"/>
      <c r="AF420" s="277"/>
      <c r="AG420" s="276"/>
      <c r="AH420" s="277"/>
      <c r="AI420" s="277"/>
      <c r="AJ420" s="278"/>
    </row>
    <row r="421" spans="1:36" ht="96" hidden="1" customHeight="1" outlineLevel="1" x14ac:dyDescent="0.2">
      <c r="A421" s="637"/>
      <c r="B421" s="584"/>
      <c r="C421" s="584"/>
      <c r="D421" s="815"/>
      <c r="E421" s="706"/>
      <c r="F421" s="764"/>
      <c r="G421" s="695"/>
      <c r="H421" s="14" t="s">
        <v>1793</v>
      </c>
      <c r="I421" s="767"/>
      <c r="J421" s="12" t="s">
        <v>1786</v>
      </c>
      <c r="K421" s="346">
        <v>4536000</v>
      </c>
      <c r="L421" s="346">
        <v>4536000</v>
      </c>
      <c r="M421" s="289">
        <v>44593</v>
      </c>
      <c r="N421" s="289">
        <v>44925</v>
      </c>
      <c r="O421" s="272">
        <v>44652</v>
      </c>
      <c r="P421" s="273">
        <f t="shared" si="60"/>
        <v>0.17771084337349397</v>
      </c>
      <c r="Q421" s="273">
        <f t="shared" si="63"/>
        <v>0.17771084337349397</v>
      </c>
      <c r="R421" s="274">
        <v>1</v>
      </c>
      <c r="S421" s="275">
        <v>0.25</v>
      </c>
      <c r="T421" s="275">
        <v>0.5</v>
      </c>
      <c r="U421" s="275">
        <v>0.75</v>
      </c>
      <c r="V421" s="275">
        <v>1</v>
      </c>
      <c r="W421" s="275">
        <v>1</v>
      </c>
      <c r="X421" s="275" t="s">
        <v>1794</v>
      </c>
      <c r="Y421" s="341" t="s">
        <v>340</v>
      </c>
      <c r="Z421" s="316">
        <v>0</v>
      </c>
      <c r="AA421" s="275">
        <v>1</v>
      </c>
      <c r="AB421" s="277" t="s">
        <v>1788</v>
      </c>
      <c r="AC421" s="277" t="s">
        <v>53</v>
      </c>
      <c r="AD421" s="276"/>
      <c r="AE421" s="277"/>
      <c r="AF421" s="277"/>
      <c r="AG421" s="276"/>
      <c r="AH421" s="277"/>
      <c r="AI421" s="277"/>
      <c r="AJ421" s="278"/>
    </row>
    <row r="422" spans="1:36" ht="96" hidden="1" customHeight="1" outlineLevel="1" x14ac:dyDescent="0.2">
      <c r="A422" s="637"/>
      <c r="B422" s="584"/>
      <c r="C422" s="584"/>
      <c r="D422" s="815"/>
      <c r="E422" s="706"/>
      <c r="F422" s="764"/>
      <c r="G422" s="695"/>
      <c r="H422" s="14" t="s">
        <v>1795</v>
      </c>
      <c r="I422" s="767"/>
      <c r="J422" s="12"/>
      <c r="K422" s="346">
        <v>1512000</v>
      </c>
      <c r="L422" s="346">
        <v>1512000</v>
      </c>
      <c r="M422" s="289">
        <v>44593</v>
      </c>
      <c r="N422" s="289">
        <v>44925</v>
      </c>
      <c r="O422" s="272">
        <v>44652</v>
      </c>
      <c r="P422" s="273">
        <f t="shared" si="60"/>
        <v>0.17771084337349397</v>
      </c>
      <c r="Q422" s="273">
        <f t="shared" si="63"/>
        <v>0.17771084337349397</v>
      </c>
      <c r="R422" s="274">
        <v>1</v>
      </c>
      <c r="S422" s="275">
        <v>0.25</v>
      </c>
      <c r="T422" s="275">
        <v>0.5</v>
      </c>
      <c r="U422" s="275">
        <v>0.75</v>
      </c>
      <c r="V422" s="275">
        <v>1</v>
      </c>
      <c r="W422" s="275">
        <v>1</v>
      </c>
      <c r="X422" s="275" t="s">
        <v>1796</v>
      </c>
      <c r="Y422" s="341" t="s">
        <v>340</v>
      </c>
      <c r="Z422" s="316">
        <v>0</v>
      </c>
      <c r="AA422" s="275">
        <v>1</v>
      </c>
      <c r="AB422" s="277" t="s">
        <v>1788</v>
      </c>
      <c r="AC422" s="277" t="s">
        <v>53</v>
      </c>
      <c r="AD422" s="276"/>
      <c r="AE422" s="277"/>
      <c r="AF422" s="277"/>
      <c r="AG422" s="276"/>
      <c r="AH422" s="277"/>
      <c r="AI422" s="277"/>
      <c r="AJ422" s="278"/>
    </row>
    <row r="423" spans="1:36" ht="96" hidden="1" customHeight="1" outlineLevel="1" x14ac:dyDescent="0.2">
      <c r="A423" s="637"/>
      <c r="B423" s="584"/>
      <c r="C423" s="584"/>
      <c r="D423" s="815"/>
      <c r="E423" s="706"/>
      <c r="F423" s="764"/>
      <c r="G423" s="695"/>
      <c r="H423" s="14" t="s">
        <v>1797</v>
      </c>
      <c r="I423" s="767"/>
      <c r="J423" s="12" t="s">
        <v>1786</v>
      </c>
      <c r="K423" s="326">
        <v>2160000</v>
      </c>
      <c r="L423" s="316">
        <v>0</v>
      </c>
      <c r="M423" s="289">
        <v>44593</v>
      </c>
      <c r="N423" s="289">
        <v>44925</v>
      </c>
      <c r="O423" s="272">
        <v>44652</v>
      </c>
      <c r="P423" s="273">
        <f t="shared" si="60"/>
        <v>0.17771084337349397</v>
      </c>
      <c r="Q423" s="273">
        <f t="shared" si="63"/>
        <v>0.17771084337349397</v>
      </c>
      <c r="R423" s="274">
        <v>1</v>
      </c>
      <c r="S423" s="275">
        <v>0.25</v>
      </c>
      <c r="T423" s="275">
        <v>0.5</v>
      </c>
      <c r="U423" s="275">
        <v>0.75</v>
      </c>
      <c r="V423" s="275">
        <v>1</v>
      </c>
      <c r="W423" s="275">
        <v>0</v>
      </c>
      <c r="X423" s="275" t="s">
        <v>1366</v>
      </c>
      <c r="Y423" s="341" t="s">
        <v>53</v>
      </c>
      <c r="Z423" s="316">
        <v>0</v>
      </c>
      <c r="AA423" s="275">
        <v>0.75</v>
      </c>
      <c r="AB423" s="277" t="s">
        <v>1798</v>
      </c>
      <c r="AC423" s="277" t="s">
        <v>53</v>
      </c>
      <c r="AD423" s="276"/>
      <c r="AE423" s="277"/>
      <c r="AF423" s="277"/>
      <c r="AG423" s="276"/>
      <c r="AH423" s="277"/>
      <c r="AI423" s="277"/>
      <c r="AJ423" s="278"/>
    </row>
    <row r="424" spans="1:36" ht="96" hidden="1" customHeight="1" outlineLevel="1" x14ac:dyDescent="0.2">
      <c r="A424" s="637"/>
      <c r="B424" s="584"/>
      <c r="C424" s="584"/>
      <c r="D424" s="815"/>
      <c r="E424" s="706"/>
      <c r="F424" s="764"/>
      <c r="G424" s="695"/>
      <c r="H424" s="14" t="s">
        <v>1799</v>
      </c>
      <c r="I424" s="767"/>
      <c r="J424" s="12" t="s">
        <v>1786</v>
      </c>
      <c r="K424" s="326">
        <v>2160000</v>
      </c>
      <c r="L424" s="316">
        <v>0</v>
      </c>
      <c r="M424" s="289">
        <v>44593</v>
      </c>
      <c r="N424" s="289">
        <v>44925</v>
      </c>
      <c r="O424" s="272">
        <v>44652</v>
      </c>
      <c r="P424" s="273">
        <f t="shared" si="60"/>
        <v>0.17771084337349397</v>
      </c>
      <c r="Q424" s="273">
        <f t="shared" si="63"/>
        <v>0.17771084337349397</v>
      </c>
      <c r="R424" s="274">
        <v>1</v>
      </c>
      <c r="S424" s="275">
        <v>0.25</v>
      </c>
      <c r="T424" s="275">
        <v>0.5</v>
      </c>
      <c r="U424" s="275">
        <v>0.75</v>
      </c>
      <c r="V424" s="275">
        <v>1</v>
      </c>
      <c r="W424" s="275">
        <v>0</v>
      </c>
      <c r="X424" s="275" t="s">
        <v>1366</v>
      </c>
      <c r="Y424" s="341" t="s">
        <v>53</v>
      </c>
      <c r="Z424" s="316">
        <v>0</v>
      </c>
      <c r="AA424" s="275">
        <v>0.75</v>
      </c>
      <c r="AB424" s="277" t="s">
        <v>1798</v>
      </c>
      <c r="AC424" s="277" t="s">
        <v>53</v>
      </c>
      <c r="AD424" s="276"/>
      <c r="AE424" s="277"/>
      <c r="AF424" s="277"/>
      <c r="AG424" s="276"/>
      <c r="AH424" s="277"/>
      <c r="AI424" s="277"/>
      <c r="AJ424" s="278"/>
    </row>
    <row r="425" spans="1:36" ht="96" hidden="1" customHeight="1" outlineLevel="1" x14ac:dyDescent="0.2">
      <c r="A425" s="637"/>
      <c r="B425" s="584"/>
      <c r="C425" s="584"/>
      <c r="D425" s="815"/>
      <c r="E425" s="706"/>
      <c r="F425" s="764"/>
      <c r="G425" s="695"/>
      <c r="H425" s="14" t="s">
        <v>1800</v>
      </c>
      <c r="I425" s="767"/>
      <c r="J425" s="12" t="s">
        <v>1786</v>
      </c>
      <c r="K425" s="326">
        <v>4320000</v>
      </c>
      <c r="L425" s="316">
        <v>0</v>
      </c>
      <c r="M425" s="289">
        <v>44593</v>
      </c>
      <c r="N425" s="289">
        <v>44925</v>
      </c>
      <c r="O425" s="272">
        <v>44652</v>
      </c>
      <c r="P425" s="273">
        <f t="shared" si="60"/>
        <v>0.17771084337349397</v>
      </c>
      <c r="Q425" s="273">
        <f t="shared" si="63"/>
        <v>0.17771084337349397</v>
      </c>
      <c r="R425" s="274">
        <v>1</v>
      </c>
      <c r="S425" s="275">
        <v>0.25</v>
      </c>
      <c r="T425" s="275">
        <v>0.5</v>
      </c>
      <c r="U425" s="275">
        <v>0.75</v>
      </c>
      <c r="V425" s="275">
        <v>1</v>
      </c>
      <c r="W425" s="275">
        <v>0</v>
      </c>
      <c r="X425" s="275" t="s">
        <v>1366</v>
      </c>
      <c r="Y425" s="341" t="s">
        <v>53</v>
      </c>
      <c r="Z425" s="316">
        <v>0</v>
      </c>
      <c r="AA425" s="275">
        <v>0.75</v>
      </c>
      <c r="AB425" s="277" t="s">
        <v>1798</v>
      </c>
      <c r="AC425" s="277" t="s">
        <v>53</v>
      </c>
      <c r="AD425" s="276"/>
      <c r="AE425" s="277"/>
      <c r="AF425" s="277"/>
      <c r="AG425" s="276"/>
      <c r="AH425" s="277"/>
      <c r="AI425" s="277"/>
      <c r="AJ425" s="278"/>
    </row>
    <row r="426" spans="1:36" ht="96" hidden="1" customHeight="1" outlineLevel="1" x14ac:dyDescent="0.2">
      <c r="A426" s="637"/>
      <c r="B426" s="584"/>
      <c r="C426" s="584"/>
      <c r="D426" s="815"/>
      <c r="E426" s="706"/>
      <c r="F426" s="764"/>
      <c r="G426" s="695"/>
      <c r="H426" s="14" t="s">
        <v>1801</v>
      </c>
      <c r="I426" s="767"/>
      <c r="J426" s="12" t="s">
        <v>1786</v>
      </c>
      <c r="K426" s="326">
        <v>4320000</v>
      </c>
      <c r="L426" s="316">
        <v>0</v>
      </c>
      <c r="M426" s="289">
        <v>44593</v>
      </c>
      <c r="N426" s="289">
        <v>44925</v>
      </c>
      <c r="O426" s="272">
        <v>44652</v>
      </c>
      <c r="P426" s="273">
        <f t="shared" si="60"/>
        <v>0.17771084337349397</v>
      </c>
      <c r="Q426" s="273">
        <f t="shared" si="63"/>
        <v>0.17771084337349397</v>
      </c>
      <c r="R426" s="274">
        <v>1</v>
      </c>
      <c r="S426" s="275">
        <v>0.25</v>
      </c>
      <c r="T426" s="275">
        <v>0.5</v>
      </c>
      <c r="U426" s="275">
        <v>0.75</v>
      </c>
      <c r="V426" s="275">
        <v>1</v>
      </c>
      <c r="W426" s="275">
        <v>0</v>
      </c>
      <c r="X426" s="275" t="s">
        <v>1366</v>
      </c>
      <c r="Y426" s="341" t="s">
        <v>53</v>
      </c>
      <c r="Z426" s="316">
        <v>0</v>
      </c>
      <c r="AA426" s="275">
        <v>0.75</v>
      </c>
      <c r="AB426" s="277" t="s">
        <v>1798</v>
      </c>
      <c r="AC426" s="277" t="s">
        <v>53</v>
      </c>
      <c r="AD426" s="276"/>
      <c r="AE426" s="277"/>
      <c r="AF426" s="277"/>
      <c r="AG426" s="276"/>
      <c r="AH426" s="277"/>
      <c r="AI426" s="277"/>
      <c r="AJ426" s="278"/>
    </row>
    <row r="427" spans="1:36" ht="96" hidden="1" customHeight="1" outlineLevel="1" x14ac:dyDescent="0.2">
      <c r="A427" s="637"/>
      <c r="B427" s="584"/>
      <c r="C427" s="584"/>
      <c r="D427" s="815"/>
      <c r="E427" s="706"/>
      <c r="F427" s="764"/>
      <c r="G427" s="695"/>
      <c r="H427" s="14" t="s">
        <v>1802</v>
      </c>
      <c r="I427" s="767"/>
      <c r="J427" s="12" t="s">
        <v>1786</v>
      </c>
      <c r="K427" s="326">
        <v>13200000</v>
      </c>
      <c r="L427" s="316">
        <v>0</v>
      </c>
      <c r="M427" s="289">
        <v>44593</v>
      </c>
      <c r="N427" s="289">
        <v>44925</v>
      </c>
      <c r="O427" s="272">
        <v>44652</v>
      </c>
      <c r="P427" s="273">
        <f t="shared" si="60"/>
        <v>0.17771084337349397</v>
      </c>
      <c r="Q427" s="273">
        <f t="shared" si="63"/>
        <v>0.17771084337349397</v>
      </c>
      <c r="R427" s="274">
        <v>1</v>
      </c>
      <c r="S427" s="275">
        <v>0.25</v>
      </c>
      <c r="T427" s="275">
        <v>0.5</v>
      </c>
      <c r="U427" s="275">
        <v>0.75</v>
      </c>
      <c r="V427" s="275">
        <v>1</v>
      </c>
      <c r="W427" s="275">
        <v>0</v>
      </c>
      <c r="X427" s="275" t="s">
        <v>1803</v>
      </c>
      <c r="Y427" s="341" t="s">
        <v>53</v>
      </c>
      <c r="Z427" s="326">
        <v>11982000</v>
      </c>
      <c r="AA427" s="275">
        <v>1</v>
      </c>
      <c r="AB427" s="277" t="s">
        <v>1804</v>
      </c>
      <c r="AC427" s="277" t="s">
        <v>2282</v>
      </c>
      <c r="AD427" s="276"/>
      <c r="AE427" s="277"/>
      <c r="AF427" s="277"/>
      <c r="AG427" s="276"/>
      <c r="AH427" s="277"/>
      <c r="AI427" s="277"/>
      <c r="AJ427" s="278"/>
    </row>
    <row r="428" spans="1:36" ht="96" hidden="1" customHeight="1" outlineLevel="1" x14ac:dyDescent="0.2">
      <c r="A428" s="637"/>
      <c r="B428" s="584"/>
      <c r="C428" s="584"/>
      <c r="D428" s="815"/>
      <c r="E428" s="706"/>
      <c r="F428" s="764"/>
      <c r="G428" s="695"/>
      <c r="H428" s="14" t="s">
        <v>1805</v>
      </c>
      <c r="I428" s="767"/>
      <c r="J428" s="12" t="s">
        <v>1786</v>
      </c>
      <c r="K428" s="326">
        <v>13200000</v>
      </c>
      <c r="L428" s="316">
        <v>0</v>
      </c>
      <c r="M428" s="289">
        <v>44593</v>
      </c>
      <c r="N428" s="289">
        <v>44925</v>
      </c>
      <c r="O428" s="272">
        <v>44652</v>
      </c>
      <c r="P428" s="273">
        <f t="shared" si="60"/>
        <v>0.17771084337349397</v>
      </c>
      <c r="Q428" s="273">
        <f t="shared" si="63"/>
        <v>0.17771084337349397</v>
      </c>
      <c r="R428" s="274">
        <v>1</v>
      </c>
      <c r="S428" s="275">
        <v>0.25</v>
      </c>
      <c r="T428" s="275">
        <v>0.5</v>
      </c>
      <c r="U428" s="275">
        <v>0.75</v>
      </c>
      <c r="V428" s="275">
        <v>1</v>
      </c>
      <c r="W428" s="275">
        <v>0</v>
      </c>
      <c r="X428" s="275" t="s">
        <v>1366</v>
      </c>
      <c r="Y428" s="341" t="s">
        <v>53</v>
      </c>
      <c r="Z428" s="316">
        <v>0</v>
      </c>
      <c r="AA428" s="275">
        <v>0.7</v>
      </c>
      <c r="AB428" s="277" t="s">
        <v>1806</v>
      </c>
      <c r="AC428" s="277" t="s">
        <v>53</v>
      </c>
      <c r="AD428" s="276"/>
      <c r="AE428" s="277"/>
      <c r="AF428" s="277"/>
      <c r="AG428" s="276"/>
      <c r="AH428" s="277"/>
      <c r="AI428" s="277"/>
      <c r="AJ428" s="278"/>
    </row>
    <row r="429" spans="1:36" ht="96" hidden="1" customHeight="1" outlineLevel="1" x14ac:dyDescent="0.2">
      <c r="A429" s="637"/>
      <c r="B429" s="584"/>
      <c r="C429" s="584"/>
      <c r="D429" s="815"/>
      <c r="E429" s="706"/>
      <c r="F429" s="764"/>
      <c r="G429" s="695"/>
      <c r="H429" s="14" t="s">
        <v>1807</v>
      </c>
      <c r="I429" s="767"/>
      <c r="J429" s="12" t="s">
        <v>1786</v>
      </c>
      <c r="K429" s="326">
        <v>13200000</v>
      </c>
      <c r="L429" s="316">
        <v>0</v>
      </c>
      <c r="M429" s="289">
        <v>44593</v>
      </c>
      <c r="N429" s="289">
        <v>44925</v>
      </c>
      <c r="O429" s="272">
        <v>44652</v>
      </c>
      <c r="P429" s="273">
        <f t="shared" si="60"/>
        <v>0.17771084337349397</v>
      </c>
      <c r="Q429" s="273">
        <f t="shared" si="63"/>
        <v>0.17771084337349397</v>
      </c>
      <c r="R429" s="274">
        <v>1</v>
      </c>
      <c r="S429" s="275">
        <v>0.25</v>
      </c>
      <c r="T429" s="275">
        <v>0.5</v>
      </c>
      <c r="U429" s="275">
        <v>0.75</v>
      </c>
      <c r="V429" s="275">
        <v>1</v>
      </c>
      <c r="W429" s="275">
        <v>0</v>
      </c>
      <c r="X429" s="275" t="s">
        <v>1366</v>
      </c>
      <c r="Y429" s="341" t="s">
        <v>53</v>
      </c>
      <c r="Z429" s="316">
        <v>0</v>
      </c>
      <c r="AA429" s="275">
        <v>0</v>
      </c>
      <c r="AB429" s="277" t="s">
        <v>1808</v>
      </c>
      <c r="AC429" s="277" t="s">
        <v>53</v>
      </c>
      <c r="AD429" s="276"/>
      <c r="AE429" s="277"/>
      <c r="AF429" s="277"/>
      <c r="AG429" s="276"/>
      <c r="AH429" s="277"/>
      <c r="AI429" s="277"/>
      <c r="AJ429" s="278"/>
    </row>
    <row r="430" spans="1:36" ht="96" hidden="1" customHeight="1" outlineLevel="1" x14ac:dyDescent="0.2">
      <c r="A430" s="637"/>
      <c r="B430" s="584"/>
      <c r="C430" s="584"/>
      <c r="D430" s="815"/>
      <c r="E430" s="706"/>
      <c r="F430" s="764"/>
      <c r="G430" s="695"/>
      <c r="H430" s="14" t="s">
        <v>1809</v>
      </c>
      <c r="I430" s="767"/>
      <c r="J430" s="12" t="s">
        <v>1786</v>
      </c>
      <c r="K430" s="326">
        <v>13200000</v>
      </c>
      <c r="L430" s="316">
        <v>0</v>
      </c>
      <c r="M430" s="289">
        <v>44593</v>
      </c>
      <c r="N430" s="289">
        <v>44925</v>
      </c>
      <c r="O430" s="272">
        <v>44652</v>
      </c>
      <c r="P430" s="273">
        <f t="shared" si="60"/>
        <v>0.17771084337349397</v>
      </c>
      <c r="Q430" s="273">
        <f t="shared" si="63"/>
        <v>0.17771084337349397</v>
      </c>
      <c r="R430" s="274">
        <v>1</v>
      </c>
      <c r="S430" s="275">
        <v>0.25</v>
      </c>
      <c r="T430" s="275">
        <v>0.5</v>
      </c>
      <c r="U430" s="275">
        <v>0.75</v>
      </c>
      <c r="V430" s="275">
        <v>1</v>
      </c>
      <c r="W430" s="275">
        <v>0</v>
      </c>
      <c r="X430" s="275" t="s">
        <v>1366</v>
      </c>
      <c r="Y430" s="341" t="s">
        <v>53</v>
      </c>
      <c r="Z430" s="316">
        <v>0</v>
      </c>
      <c r="AA430" s="275">
        <v>0</v>
      </c>
      <c r="AB430" s="277" t="s">
        <v>1808</v>
      </c>
      <c r="AC430" s="277" t="s">
        <v>53</v>
      </c>
      <c r="AD430" s="276"/>
      <c r="AE430" s="277"/>
      <c r="AF430" s="277"/>
      <c r="AG430" s="276"/>
      <c r="AH430" s="277"/>
      <c r="AI430" s="277"/>
      <c r="AJ430" s="278"/>
    </row>
    <row r="431" spans="1:36" ht="96" hidden="1" customHeight="1" outlineLevel="1" x14ac:dyDescent="0.2">
      <c r="A431" s="637"/>
      <c r="B431" s="584"/>
      <c r="C431" s="584"/>
      <c r="D431" s="815"/>
      <c r="E431" s="706"/>
      <c r="F431" s="764"/>
      <c r="G431" s="695"/>
      <c r="H431" s="14" t="s">
        <v>1810</v>
      </c>
      <c r="I431" s="767"/>
      <c r="J431" s="12" t="s">
        <v>1786</v>
      </c>
      <c r="K431" s="326">
        <v>13200000</v>
      </c>
      <c r="L431" s="316">
        <v>0</v>
      </c>
      <c r="M431" s="289">
        <v>44593</v>
      </c>
      <c r="N431" s="289">
        <v>44925</v>
      </c>
      <c r="O431" s="272">
        <v>44652</v>
      </c>
      <c r="P431" s="273">
        <f t="shared" si="60"/>
        <v>0.17771084337349397</v>
      </c>
      <c r="Q431" s="273">
        <f t="shared" si="63"/>
        <v>0.17771084337349397</v>
      </c>
      <c r="R431" s="274">
        <v>1</v>
      </c>
      <c r="S431" s="275">
        <v>0.25</v>
      </c>
      <c r="T431" s="275">
        <v>0.5</v>
      </c>
      <c r="U431" s="275">
        <v>0.75</v>
      </c>
      <c r="V431" s="275">
        <v>1</v>
      </c>
      <c r="W431" s="275">
        <v>0</v>
      </c>
      <c r="X431" s="275" t="s">
        <v>1811</v>
      </c>
      <c r="Y431" s="341" t="s">
        <v>53</v>
      </c>
      <c r="Z431" s="316">
        <v>0</v>
      </c>
      <c r="AA431" s="275">
        <v>0</v>
      </c>
      <c r="AB431" s="277" t="s">
        <v>1808</v>
      </c>
      <c r="AC431" s="277" t="s">
        <v>53</v>
      </c>
      <c r="AD431" s="276"/>
      <c r="AE431" s="277"/>
      <c r="AF431" s="277"/>
      <c r="AG431" s="276"/>
      <c r="AH431" s="277"/>
      <c r="AI431" s="277"/>
      <c r="AJ431" s="278"/>
    </row>
    <row r="432" spans="1:36" ht="96" hidden="1" customHeight="1" outlineLevel="1" x14ac:dyDescent="0.2">
      <c r="A432" s="637"/>
      <c r="B432" s="584"/>
      <c r="C432" s="584"/>
      <c r="D432" s="815"/>
      <c r="E432" s="706"/>
      <c r="F432" s="764"/>
      <c r="G432" s="695"/>
      <c r="H432" s="14" t="s">
        <v>1812</v>
      </c>
      <c r="I432" s="767"/>
      <c r="J432" s="12" t="s">
        <v>1786</v>
      </c>
      <c r="K432" s="326">
        <v>13200000</v>
      </c>
      <c r="L432" s="316">
        <v>0</v>
      </c>
      <c r="M432" s="289">
        <v>44593</v>
      </c>
      <c r="N432" s="289">
        <v>44925</v>
      </c>
      <c r="O432" s="272">
        <v>44652</v>
      </c>
      <c r="P432" s="273">
        <f t="shared" si="60"/>
        <v>0.17771084337349397</v>
      </c>
      <c r="Q432" s="273">
        <f t="shared" si="63"/>
        <v>0.17771084337349397</v>
      </c>
      <c r="R432" s="274">
        <v>1</v>
      </c>
      <c r="S432" s="275">
        <v>0.25</v>
      </c>
      <c r="T432" s="275">
        <v>0.5</v>
      </c>
      <c r="U432" s="275">
        <v>0.75</v>
      </c>
      <c r="V432" s="275">
        <v>1</v>
      </c>
      <c r="W432" s="275">
        <v>0</v>
      </c>
      <c r="X432" s="275" t="s">
        <v>1811</v>
      </c>
      <c r="Y432" s="341" t="s">
        <v>53</v>
      </c>
      <c r="Z432" s="316">
        <v>0</v>
      </c>
      <c r="AA432" s="275">
        <v>0</v>
      </c>
      <c r="AB432" s="277" t="s">
        <v>1808</v>
      </c>
      <c r="AC432" s="277" t="s">
        <v>53</v>
      </c>
      <c r="AD432" s="276"/>
      <c r="AE432" s="277"/>
      <c r="AF432" s="277"/>
      <c r="AG432" s="276"/>
      <c r="AH432" s="277"/>
      <c r="AI432" s="277"/>
      <c r="AJ432" s="278"/>
    </row>
    <row r="433" spans="1:36" ht="96" hidden="1" customHeight="1" outlineLevel="1" x14ac:dyDescent="0.2">
      <c r="A433" s="637"/>
      <c r="B433" s="584"/>
      <c r="C433" s="584"/>
      <c r="D433" s="815"/>
      <c r="E433" s="706"/>
      <c r="F433" s="764"/>
      <c r="G433" s="695"/>
      <c r="H433" s="14" t="s">
        <v>1813</v>
      </c>
      <c r="I433" s="767"/>
      <c r="J433" s="12" t="s">
        <v>1786</v>
      </c>
      <c r="K433" s="326">
        <v>13200000</v>
      </c>
      <c r="L433" s="316">
        <v>0</v>
      </c>
      <c r="M433" s="289">
        <v>44593</v>
      </c>
      <c r="N433" s="289">
        <v>44925</v>
      </c>
      <c r="O433" s="272">
        <v>44652</v>
      </c>
      <c r="P433" s="273">
        <f t="shared" si="60"/>
        <v>0.17771084337349397</v>
      </c>
      <c r="Q433" s="273">
        <f t="shared" si="63"/>
        <v>0.17771084337349397</v>
      </c>
      <c r="R433" s="274">
        <v>1</v>
      </c>
      <c r="S433" s="275">
        <v>0.25</v>
      </c>
      <c r="T433" s="275">
        <v>0.5</v>
      </c>
      <c r="U433" s="275">
        <v>0.75</v>
      </c>
      <c r="V433" s="275">
        <v>1</v>
      </c>
      <c r="W433" s="275">
        <v>0.5</v>
      </c>
      <c r="X433" s="275" t="s">
        <v>1814</v>
      </c>
      <c r="Y433" s="341" t="s">
        <v>1815</v>
      </c>
      <c r="Z433" s="326">
        <v>10800000</v>
      </c>
      <c r="AA433" s="275">
        <v>1</v>
      </c>
      <c r="AB433" s="277" t="s">
        <v>2283</v>
      </c>
      <c r="AC433" s="277" t="s">
        <v>2284</v>
      </c>
      <c r="AD433" s="276"/>
      <c r="AE433" s="277"/>
      <c r="AF433" s="277"/>
      <c r="AG433" s="276"/>
      <c r="AH433" s="277"/>
      <c r="AI433" s="277"/>
      <c r="AJ433" s="278"/>
    </row>
    <row r="434" spans="1:36" ht="96" hidden="1" customHeight="1" outlineLevel="1" x14ac:dyDescent="0.2">
      <c r="A434" s="637"/>
      <c r="B434" s="584"/>
      <c r="C434" s="584"/>
      <c r="D434" s="815"/>
      <c r="E434" s="706"/>
      <c r="F434" s="764"/>
      <c r="G434" s="695"/>
      <c r="H434" s="14" t="s">
        <v>1816</v>
      </c>
      <c r="I434" s="767"/>
      <c r="J434" s="12"/>
      <c r="K434" s="326">
        <v>12000000</v>
      </c>
      <c r="L434" s="316">
        <v>0</v>
      </c>
      <c r="M434" s="289"/>
      <c r="N434" s="289"/>
      <c r="O434" s="272"/>
      <c r="P434" s="273"/>
      <c r="Q434" s="273"/>
      <c r="R434" s="274"/>
      <c r="S434" s="275"/>
      <c r="T434" s="275"/>
      <c r="U434" s="275"/>
      <c r="V434" s="275"/>
      <c r="W434" s="275"/>
      <c r="X434" s="275" t="s">
        <v>53</v>
      </c>
      <c r="Y434" s="341" t="s">
        <v>53</v>
      </c>
      <c r="Z434" s="316">
        <v>0</v>
      </c>
      <c r="AA434" s="275">
        <v>0.75</v>
      </c>
      <c r="AB434" s="277" t="s">
        <v>1817</v>
      </c>
      <c r="AC434" s="277" t="s">
        <v>2285</v>
      </c>
      <c r="AD434" s="276"/>
      <c r="AE434" s="277"/>
      <c r="AF434" s="277"/>
      <c r="AG434" s="276"/>
      <c r="AH434" s="277"/>
      <c r="AI434" s="277"/>
      <c r="AJ434" s="278"/>
    </row>
    <row r="435" spans="1:36" ht="96" hidden="1" customHeight="1" outlineLevel="1" x14ac:dyDescent="0.2">
      <c r="A435" s="637"/>
      <c r="B435" s="584"/>
      <c r="C435" s="584"/>
      <c r="D435" s="815"/>
      <c r="E435" s="706"/>
      <c r="F435" s="764"/>
      <c r="G435" s="695"/>
      <c r="H435" s="14" t="s">
        <v>1818</v>
      </c>
      <c r="I435" s="767"/>
      <c r="J435" s="12" t="s">
        <v>1786</v>
      </c>
      <c r="K435" s="326">
        <v>13200000</v>
      </c>
      <c r="L435" s="316">
        <v>0</v>
      </c>
      <c r="M435" s="289">
        <v>44593</v>
      </c>
      <c r="N435" s="289">
        <v>44925</v>
      </c>
      <c r="O435" s="272">
        <v>44652</v>
      </c>
      <c r="P435" s="273">
        <f t="shared" si="60"/>
        <v>0.17771084337349397</v>
      </c>
      <c r="Q435" s="273">
        <f t="shared" si="63"/>
        <v>0.17771084337349397</v>
      </c>
      <c r="R435" s="274">
        <v>1</v>
      </c>
      <c r="S435" s="275">
        <v>0.25</v>
      </c>
      <c r="T435" s="275">
        <v>0.5</v>
      </c>
      <c r="U435" s="275">
        <v>0.75</v>
      </c>
      <c r="V435" s="275">
        <v>1</v>
      </c>
      <c r="W435" s="275">
        <v>0</v>
      </c>
      <c r="X435" s="275" t="s">
        <v>1366</v>
      </c>
      <c r="Y435" s="341" t="s">
        <v>53</v>
      </c>
      <c r="Z435" s="316">
        <v>0</v>
      </c>
      <c r="AA435" s="275">
        <v>0</v>
      </c>
      <c r="AB435" s="277" t="s">
        <v>1808</v>
      </c>
      <c r="AC435" s="277" t="s">
        <v>53</v>
      </c>
      <c r="AD435" s="276"/>
      <c r="AE435" s="277"/>
      <c r="AF435" s="277"/>
      <c r="AG435" s="276"/>
      <c r="AH435" s="277"/>
      <c r="AI435" s="277"/>
      <c r="AJ435" s="278"/>
    </row>
    <row r="436" spans="1:36" ht="96" hidden="1" customHeight="1" outlineLevel="1" x14ac:dyDescent="0.2">
      <c r="A436" s="637"/>
      <c r="B436" s="584"/>
      <c r="C436" s="584"/>
      <c r="D436" s="815"/>
      <c r="E436" s="706"/>
      <c r="F436" s="764"/>
      <c r="G436" s="695"/>
      <c r="H436" s="14" t="s">
        <v>1819</v>
      </c>
      <c r="I436" s="767"/>
      <c r="J436" s="12" t="s">
        <v>1786</v>
      </c>
      <c r="K436" s="326">
        <v>0</v>
      </c>
      <c r="L436" s="316">
        <v>0</v>
      </c>
      <c r="M436" s="289">
        <v>44593</v>
      </c>
      <c r="N436" s="289">
        <v>44925</v>
      </c>
      <c r="O436" s="272">
        <v>44652</v>
      </c>
      <c r="P436" s="273">
        <f t="shared" si="60"/>
        <v>0.17771084337349397</v>
      </c>
      <c r="Q436" s="273">
        <f t="shared" si="63"/>
        <v>0.17771084337349397</v>
      </c>
      <c r="R436" s="274">
        <v>1</v>
      </c>
      <c r="S436" s="275">
        <v>0.25</v>
      </c>
      <c r="T436" s="275">
        <v>0.5</v>
      </c>
      <c r="U436" s="275">
        <v>0.75</v>
      </c>
      <c r="V436" s="275">
        <v>1</v>
      </c>
      <c r="W436" s="275">
        <v>0.7</v>
      </c>
      <c r="X436" s="275" t="s">
        <v>1820</v>
      </c>
      <c r="Y436" s="341" t="s">
        <v>1821</v>
      </c>
      <c r="Z436" s="316">
        <v>0</v>
      </c>
      <c r="AA436" s="275">
        <v>1</v>
      </c>
      <c r="AB436" s="277" t="s">
        <v>1822</v>
      </c>
      <c r="AC436" s="277" t="s">
        <v>2284</v>
      </c>
      <c r="AD436" s="276"/>
      <c r="AE436" s="277"/>
      <c r="AF436" s="277"/>
      <c r="AG436" s="276"/>
      <c r="AH436" s="277"/>
      <c r="AI436" s="277"/>
      <c r="AJ436" s="278"/>
    </row>
    <row r="437" spans="1:36" ht="96" hidden="1" customHeight="1" outlineLevel="1" x14ac:dyDescent="0.2">
      <c r="A437" s="637"/>
      <c r="B437" s="584"/>
      <c r="C437" s="584"/>
      <c r="D437" s="815"/>
      <c r="E437" s="706"/>
      <c r="F437" s="764"/>
      <c r="G437" s="695"/>
      <c r="H437" s="14" t="s">
        <v>1823</v>
      </c>
      <c r="I437" s="767"/>
      <c r="J437" s="12" t="s">
        <v>1786</v>
      </c>
      <c r="K437" s="326">
        <v>0</v>
      </c>
      <c r="L437" s="316">
        <v>0</v>
      </c>
      <c r="M437" s="289">
        <v>44593</v>
      </c>
      <c r="N437" s="289">
        <v>44925</v>
      </c>
      <c r="O437" s="272">
        <v>44652</v>
      </c>
      <c r="P437" s="273">
        <f t="shared" si="60"/>
        <v>0.17771084337349397</v>
      </c>
      <c r="Q437" s="273">
        <f t="shared" si="63"/>
        <v>0.17771084337349397</v>
      </c>
      <c r="R437" s="274">
        <v>1</v>
      </c>
      <c r="S437" s="275">
        <v>0.25</v>
      </c>
      <c r="T437" s="275">
        <v>0.5</v>
      </c>
      <c r="U437" s="275">
        <v>0.75</v>
      </c>
      <c r="V437" s="275">
        <v>1</v>
      </c>
      <c r="W437" s="275">
        <v>0</v>
      </c>
      <c r="X437" s="275" t="s">
        <v>1366</v>
      </c>
      <c r="Y437" s="341" t="s">
        <v>53</v>
      </c>
      <c r="Z437" s="316">
        <v>0</v>
      </c>
      <c r="AA437" s="275">
        <v>0</v>
      </c>
      <c r="AB437" s="277" t="s">
        <v>1808</v>
      </c>
      <c r="AC437" s="277" t="s">
        <v>53</v>
      </c>
      <c r="AD437" s="276"/>
      <c r="AE437" s="277"/>
      <c r="AF437" s="277"/>
      <c r="AG437" s="276"/>
      <c r="AH437" s="277"/>
      <c r="AI437" s="277"/>
      <c r="AJ437" s="278"/>
    </row>
    <row r="438" spans="1:36" ht="96" hidden="1" customHeight="1" outlineLevel="1" x14ac:dyDescent="0.2">
      <c r="A438" s="637"/>
      <c r="B438" s="584"/>
      <c r="C438" s="584"/>
      <c r="D438" s="815"/>
      <c r="E438" s="706"/>
      <c r="F438" s="764"/>
      <c r="G438" s="695"/>
      <c r="H438" s="14" t="s">
        <v>1824</v>
      </c>
      <c r="I438" s="767"/>
      <c r="J438" s="12" t="s">
        <v>1786</v>
      </c>
      <c r="K438" s="326">
        <v>7200000</v>
      </c>
      <c r="L438" s="316">
        <v>0</v>
      </c>
      <c r="M438" s="289">
        <v>44593</v>
      </c>
      <c r="N438" s="289">
        <v>44925</v>
      </c>
      <c r="O438" s="272">
        <v>44652</v>
      </c>
      <c r="P438" s="273">
        <f t="shared" si="60"/>
        <v>0.17771084337349397</v>
      </c>
      <c r="Q438" s="273">
        <f t="shared" si="63"/>
        <v>0.17771084337349397</v>
      </c>
      <c r="R438" s="274">
        <v>1</v>
      </c>
      <c r="S438" s="275">
        <v>0.25</v>
      </c>
      <c r="T438" s="275">
        <v>0.5</v>
      </c>
      <c r="U438" s="275">
        <v>0.75</v>
      </c>
      <c r="V438" s="275">
        <v>1</v>
      </c>
      <c r="W438" s="275">
        <v>0</v>
      </c>
      <c r="X438" s="275" t="s">
        <v>1811</v>
      </c>
      <c r="Y438" s="341" t="s">
        <v>53</v>
      </c>
      <c r="Z438" s="316">
        <v>0</v>
      </c>
      <c r="AA438" s="275">
        <v>0</v>
      </c>
      <c r="AB438" s="275" t="s">
        <v>1811</v>
      </c>
      <c r="AC438" s="277" t="s">
        <v>53</v>
      </c>
      <c r="AD438" s="276"/>
      <c r="AE438" s="277"/>
      <c r="AF438" s="277"/>
      <c r="AG438" s="276"/>
      <c r="AH438" s="277"/>
      <c r="AI438" s="277"/>
      <c r="AJ438" s="278"/>
    </row>
    <row r="439" spans="1:36" ht="96" hidden="1" customHeight="1" outlineLevel="1" x14ac:dyDescent="0.2">
      <c r="A439" s="637"/>
      <c r="B439" s="584"/>
      <c r="C439" s="584"/>
      <c r="D439" s="815"/>
      <c r="E439" s="706"/>
      <c r="F439" s="764"/>
      <c r="G439" s="695"/>
      <c r="H439" s="14" t="s">
        <v>1825</v>
      </c>
      <c r="I439" s="767"/>
      <c r="J439" s="12" t="s">
        <v>1786</v>
      </c>
      <c r="K439" s="326">
        <v>6000000</v>
      </c>
      <c r="L439" s="316">
        <v>0</v>
      </c>
      <c r="M439" s="289">
        <v>44593</v>
      </c>
      <c r="N439" s="289">
        <v>44925</v>
      </c>
      <c r="O439" s="272">
        <v>44652</v>
      </c>
      <c r="P439" s="273">
        <f t="shared" si="60"/>
        <v>0.17771084337349397</v>
      </c>
      <c r="Q439" s="273">
        <f t="shared" si="63"/>
        <v>0.17771084337349397</v>
      </c>
      <c r="R439" s="274">
        <v>1</v>
      </c>
      <c r="S439" s="275">
        <v>0.25</v>
      </c>
      <c r="T439" s="275">
        <v>0.5</v>
      </c>
      <c r="U439" s="275">
        <v>0.75</v>
      </c>
      <c r="V439" s="275">
        <v>1</v>
      </c>
      <c r="W439" s="275">
        <v>0</v>
      </c>
      <c r="X439" s="275" t="s">
        <v>1811</v>
      </c>
      <c r="Y439" s="341" t="s">
        <v>53</v>
      </c>
      <c r="Z439" s="316">
        <v>0</v>
      </c>
      <c r="AA439" s="275">
        <v>0</v>
      </c>
      <c r="AB439" s="275" t="s">
        <v>1811</v>
      </c>
      <c r="AC439" s="277" t="s">
        <v>53</v>
      </c>
      <c r="AD439" s="276"/>
      <c r="AE439" s="277"/>
      <c r="AF439" s="277"/>
      <c r="AG439" s="276"/>
      <c r="AH439" s="277"/>
      <c r="AI439" s="277"/>
      <c r="AJ439" s="278"/>
    </row>
    <row r="440" spans="1:36" ht="96" hidden="1" customHeight="1" outlineLevel="1" x14ac:dyDescent="0.2">
      <c r="A440" s="637"/>
      <c r="B440" s="584"/>
      <c r="C440" s="584"/>
      <c r="D440" s="815"/>
      <c r="E440" s="706"/>
      <c r="F440" s="764"/>
      <c r="G440" s="695"/>
      <c r="H440" s="14" t="s">
        <v>1826</v>
      </c>
      <c r="I440" s="767"/>
      <c r="J440" s="12" t="s">
        <v>1786</v>
      </c>
      <c r="K440" s="326">
        <v>1000000</v>
      </c>
      <c r="L440" s="316">
        <v>0</v>
      </c>
      <c r="M440" s="289">
        <v>44593</v>
      </c>
      <c r="N440" s="289">
        <v>44925</v>
      </c>
      <c r="O440" s="272">
        <v>44652</v>
      </c>
      <c r="P440" s="273">
        <f t="shared" si="60"/>
        <v>0.17771084337349397</v>
      </c>
      <c r="Q440" s="273">
        <f t="shared" si="63"/>
        <v>0.17771084337349397</v>
      </c>
      <c r="R440" s="274">
        <v>1</v>
      </c>
      <c r="S440" s="275">
        <v>0.25</v>
      </c>
      <c r="T440" s="275">
        <v>0.5</v>
      </c>
      <c r="U440" s="275">
        <v>0.75</v>
      </c>
      <c r="V440" s="275">
        <v>1</v>
      </c>
      <c r="W440" s="275">
        <v>0</v>
      </c>
      <c r="X440" s="275" t="s">
        <v>1811</v>
      </c>
      <c r="Y440" s="341" t="s">
        <v>53</v>
      </c>
      <c r="Z440" s="316">
        <v>0</v>
      </c>
      <c r="AA440" s="275">
        <v>0</v>
      </c>
      <c r="AB440" s="275" t="s">
        <v>1811</v>
      </c>
      <c r="AC440" s="277" t="s">
        <v>53</v>
      </c>
      <c r="AD440" s="276"/>
      <c r="AE440" s="277"/>
      <c r="AF440" s="277"/>
      <c r="AG440" s="276"/>
      <c r="AH440" s="277"/>
      <c r="AI440" s="277"/>
      <c r="AJ440" s="278"/>
    </row>
    <row r="441" spans="1:36" ht="96" hidden="1" customHeight="1" outlineLevel="1" x14ac:dyDescent="0.2">
      <c r="A441" s="637"/>
      <c r="B441" s="584"/>
      <c r="C441" s="584"/>
      <c r="D441" s="815"/>
      <c r="E441" s="706"/>
      <c r="F441" s="764"/>
      <c r="G441" s="695"/>
      <c r="H441" s="14" t="s">
        <v>1827</v>
      </c>
      <c r="I441" s="767"/>
      <c r="J441" s="12" t="s">
        <v>1786</v>
      </c>
      <c r="K441" s="326">
        <v>1500000</v>
      </c>
      <c r="L441" s="316">
        <v>0</v>
      </c>
      <c r="M441" s="289">
        <v>44593</v>
      </c>
      <c r="N441" s="289">
        <v>44925</v>
      </c>
      <c r="O441" s="272">
        <v>44652</v>
      </c>
      <c r="P441" s="273">
        <f t="shared" si="60"/>
        <v>0.17771084337349397</v>
      </c>
      <c r="Q441" s="273">
        <f t="shared" si="63"/>
        <v>0.17771084337349397</v>
      </c>
      <c r="R441" s="274">
        <v>1</v>
      </c>
      <c r="S441" s="275">
        <v>0.25</v>
      </c>
      <c r="T441" s="275">
        <v>0.5</v>
      </c>
      <c r="U441" s="275">
        <v>0.75</v>
      </c>
      <c r="V441" s="275">
        <v>1</v>
      </c>
      <c r="W441" s="275">
        <v>0</v>
      </c>
      <c r="X441" s="275" t="s">
        <v>1811</v>
      </c>
      <c r="Y441" s="341" t="s">
        <v>53</v>
      </c>
      <c r="Z441" s="316">
        <v>0</v>
      </c>
      <c r="AA441" s="275">
        <v>0</v>
      </c>
      <c r="AB441" s="275" t="s">
        <v>1811</v>
      </c>
      <c r="AC441" s="277" t="s">
        <v>53</v>
      </c>
      <c r="AD441" s="276"/>
      <c r="AE441" s="277"/>
      <c r="AF441" s="277"/>
      <c r="AG441" s="276"/>
      <c r="AH441" s="277"/>
      <c r="AI441" s="277"/>
      <c r="AJ441" s="278"/>
    </row>
    <row r="442" spans="1:36" ht="96" hidden="1" customHeight="1" outlineLevel="1" x14ac:dyDescent="0.2">
      <c r="A442" s="637"/>
      <c r="B442" s="584"/>
      <c r="C442" s="584"/>
      <c r="D442" s="815"/>
      <c r="E442" s="706"/>
      <c r="F442" s="764"/>
      <c r="G442" s="695"/>
      <c r="H442" s="14" t="s">
        <v>1828</v>
      </c>
      <c r="I442" s="767"/>
      <c r="J442" s="12" t="s">
        <v>1786</v>
      </c>
      <c r="K442" s="326">
        <v>2000000</v>
      </c>
      <c r="L442" s="316">
        <v>0</v>
      </c>
      <c r="M442" s="289">
        <v>44593</v>
      </c>
      <c r="N442" s="289">
        <v>44925</v>
      </c>
      <c r="O442" s="272">
        <v>44652</v>
      </c>
      <c r="P442" s="273">
        <f t="shared" si="60"/>
        <v>0.17771084337349397</v>
      </c>
      <c r="Q442" s="273">
        <f t="shared" si="63"/>
        <v>0.17771084337349397</v>
      </c>
      <c r="R442" s="274">
        <v>1</v>
      </c>
      <c r="S442" s="275">
        <v>0.25</v>
      </c>
      <c r="T442" s="275">
        <v>0.5</v>
      </c>
      <c r="U442" s="275">
        <v>0.75</v>
      </c>
      <c r="V442" s="275">
        <v>1</v>
      </c>
      <c r="W442" s="275">
        <v>0</v>
      </c>
      <c r="X442" s="275" t="s">
        <v>1811</v>
      </c>
      <c r="Y442" s="341" t="s">
        <v>53</v>
      </c>
      <c r="Z442" s="316">
        <v>0</v>
      </c>
      <c r="AA442" s="275">
        <v>0</v>
      </c>
      <c r="AB442" s="275" t="s">
        <v>1811</v>
      </c>
      <c r="AC442" s="277" t="s">
        <v>53</v>
      </c>
      <c r="AD442" s="276"/>
      <c r="AE442" s="277"/>
      <c r="AF442" s="277"/>
      <c r="AG442" s="276"/>
      <c r="AH442" s="277"/>
      <c r="AI442" s="277"/>
      <c r="AJ442" s="278"/>
    </row>
    <row r="443" spans="1:36" ht="96" hidden="1" customHeight="1" outlineLevel="1" x14ac:dyDescent="0.2">
      <c r="A443" s="637"/>
      <c r="B443" s="584"/>
      <c r="C443" s="584"/>
      <c r="D443" s="815"/>
      <c r="E443" s="706"/>
      <c r="F443" s="764"/>
      <c r="G443" s="695"/>
      <c r="H443" s="14" t="s">
        <v>1829</v>
      </c>
      <c r="I443" s="767"/>
      <c r="J443" s="12" t="s">
        <v>1786</v>
      </c>
      <c r="K443" s="326">
        <v>2500000</v>
      </c>
      <c r="L443" s="316">
        <v>0</v>
      </c>
      <c r="M443" s="289">
        <v>44593</v>
      </c>
      <c r="N443" s="289">
        <v>44925</v>
      </c>
      <c r="O443" s="272">
        <v>44652</v>
      </c>
      <c r="P443" s="273">
        <f t="shared" si="60"/>
        <v>0.17771084337349397</v>
      </c>
      <c r="Q443" s="273">
        <f t="shared" si="63"/>
        <v>0.17771084337349397</v>
      </c>
      <c r="R443" s="274">
        <v>1</v>
      </c>
      <c r="S443" s="275">
        <v>0.25</v>
      </c>
      <c r="T443" s="275">
        <v>0.5</v>
      </c>
      <c r="U443" s="275">
        <v>0.75</v>
      </c>
      <c r="V443" s="275">
        <v>1</v>
      </c>
      <c r="W443" s="275">
        <v>0</v>
      </c>
      <c r="X443" s="275" t="s">
        <v>1811</v>
      </c>
      <c r="Y443" s="341" t="s">
        <v>53</v>
      </c>
      <c r="Z443" s="316">
        <v>0</v>
      </c>
      <c r="AA443" s="275">
        <v>0</v>
      </c>
      <c r="AB443" s="275" t="s">
        <v>1811</v>
      </c>
      <c r="AC443" s="277" t="s">
        <v>53</v>
      </c>
      <c r="AD443" s="276"/>
      <c r="AE443" s="277"/>
      <c r="AF443" s="277"/>
      <c r="AG443" s="276"/>
      <c r="AH443" s="277"/>
      <c r="AI443" s="277"/>
      <c r="AJ443" s="278"/>
    </row>
    <row r="444" spans="1:36" ht="96" hidden="1" customHeight="1" outlineLevel="1" x14ac:dyDescent="0.2">
      <c r="A444" s="637"/>
      <c r="B444" s="584"/>
      <c r="C444" s="584"/>
      <c r="D444" s="815"/>
      <c r="E444" s="706"/>
      <c r="F444" s="764"/>
      <c r="G444" s="695"/>
      <c r="H444" s="14" t="s">
        <v>1830</v>
      </c>
      <c r="I444" s="767"/>
      <c r="J444" s="12" t="s">
        <v>1786</v>
      </c>
      <c r="K444" s="326">
        <v>3000000</v>
      </c>
      <c r="L444" s="326">
        <v>3000000</v>
      </c>
      <c r="M444" s="289">
        <v>44593</v>
      </c>
      <c r="N444" s="289">
        <v>44925</v>
      </c>
      <c r="O444" s="272">
        <v>44652</v>
      </c>
      <c r="P444" s="273">
        <f t="shared" si="60"/>
        <v>0.17771084337349397</v>
      </c>
      <c r="Q444" s="273">
        <f t="shared" si="63"/>
        <v>0.17771084337349397</v>
      </c>
      <c r="R444" s="274">
        <v>1</v>
      </c>
      <c r="S444" s="275">
        <v>0.25</v>
      </c>
      <c r="T444" s="275">
        <v>0.5</v>
      </c>
      <c r="U444" s="275">
        <v>0.75</v>
      </c>
      <c r="V444" s="275">
        <v>1</v>
      </c>
      <c r="W444" s="275">
        <v>0.7</v>
      </c>
      <c r="X444" s="275" t="s">
        <v>1831</v>
      </c>
      <c r="Y444" s="341" t="s">
        <v>1832</v>
      </c>
      <c r="Z444" s="316">
        <v>0</v>
      </c>
      <c r="AA444" s="275">
        <v>0</v>
      </c>
      <c r="AB444" s="275" t="s">
        <v>1811</v>
      </c>
      <c r="AC444" s="277" t="s">
        <v>53</v>
      </c>
      <c r="AD444" s="276"/>
      <c r="AE444" s="277"/>
      <c r="AF444" s="277"/>
      <c r="AG444" s="276"/>
      <c r="AH444" s="277"/>
      <c r="AI444" s="277"/>
      <c r="AJ444" s="278"/>
    </row>
    <row r="445" spans="1:36" ht="96" hidden="1" customHeight="1" outlineLevel="1" x14ac:dyDescent="0.2">
      <c r="A445" s="637"/>
      <c r="B445" s="584"/>
      <c r="C445" s="584"/>
      <c r="D445" s="815"/>
      <c r="E445" s="706"/>
      <c r="F445" s="764"/>
      <c r="G445" s="695"/>
      <c r="H445" s="14" t="s">
        <v>1833</v>
      </c>
      <c r="I445" s="767"/>
      <c r="J445" s="12" t="s">
        <v>1786</v>
      </c>
      <c r="K445" s="326">
        <v>1200000</v>
      </c>
      <c r="L445" s="316">
        <v>0</v>
      </c>
      <c r="M445" s="289">
        <v>44593</v>
      </c>
      <c r="N445" s="289">
        <v>44925</v>
      </c>
      <c r="O445" s="272">
        <v>44652</v>
      </c>
      <c r="P445" s="273">
        <f t="shared" si="60"/>
        <v>0.17771084337349397</v>
      </c>
      <c r="Q445" s="273">
        <f t="shared" si="63"/>
        <v>0.17771084337349397</v>
      </c>
      <c r="R445" s="274">
        <v>1</v>
      </c>
      <c r="S445" s="275">
        <v>0.25</v>
      </c>
      <c r="T445" s="275">
        <v>0.5</v>
      </c>
      <c r="U445" s="275">
        <v>0.75</v>
      </c>
      <c r="V445" s="275">
        <v>1</v>
      </c>
      <c r="W445" s="275">
        <v>0</v>
      </c>
      <c r="X445" s="275" t="s">
        <v>1811</v>
      </c>
      <c r="Y445" s="341" t="s">
        <v>53</v>
      </c>
      <c r="Z445" s="316">
        <v>0</v>
      </c>
      <c r="AA445" s="275">
        <v>0</v>
      </c>
      <c r="AB445" s="275" t="s">
        <v>1811</v>
      </c>
      <c r="AC445" s="277" t="s">
        <v>53</v>
      </c>
      <c r="AD445" s="276"/>
      <c r="AE445" s="277"/>
      <c r="AF445" s="277"/>
      <c r="AG445" s="276"/>
      <c r="AH445" s="277"/>
      <c r="AI445" s="277"/>
      <c r="AJ445" s="278"/>
    </row>
    <row r="446" spans="1:36" ht="96" hidden="1" customHeight="1" outlineLevel="1" x14ac:dyDescent="0.2">
      <c r="A446" s="637"/>
      <c r="B446" s="584"/>
      <c r="C446" s="584"/>
      <c r="D446" s="815"/>
      <c r="E446" s="706"/>
      <c r="F446" s="764"/>
      <c r="G446" s="695"/>
      <c r="H446" s="14" t="s">
        <v>1834</v>
      </c>
      <c r="I446" s="767"/>
      <c r="J446" s="12" t="s">
        <v>1786</v>
      </c>
      <c r="K446" s="326">
        <v>1800000</v>
      </c>
      <c r="L446" s="316">
        <v>0</v>
      </c>
      <c r="M446" s="289">
        <v>44593</v>
      </c>
      <c r="N446" s="289">
        <v>44925</v>
      </c>
      <c r="O446" s="272">
        <v>44652</v>
      </c>
      <c r="P446" s="273">
        <f t="shared" si="60"/>
        <v>0.17771084337349397</v>
      </c>
      <c r="Q446" s="273">
        <f t="shared" si="63"/>
        <v>0.17771084337349397</v>
      </c>
      <c r="R446" s="274">
        <v>1</v>
      </c>
      <c r="S446" s="275">
        <v>0.25</v>
      </c>
      <c r="T446" s="275">
        <v>0.5</v>
      </c>
      <c r="U446" s="275">
        <v>0.75</v>
      </c>
      <c r="V446" s="275">
        <v>1</v>
      </c>
      <c r="W446" s="275">
        <v>0</v>
      </c>
      <c r="X446" s="275" t="s">
        <v>1811</v>
      </c>
      <c r="Y446" s="341" t="s">
        <v>53</v>
      </c>
      <c r="Z446" s="316">
        <v>0</v>
      </c>
      <c r="AA446" s="275">
        <v>0</v>
      </c>
      <c r="AB446" s="275" t="s">
        <v>1811</v>
      </c>
      <c r="AC446" s="277" t="s">
        <v>53</v>
      </c>
      <c r="AD446" s="276"/>
      <c r="AE446" s="277"/>
      <c r="AF446" s="277"/>
      <c r="AG446" s="276"/>
      <c r="AH446" s="277"/>
      <c r="AI446" s="277"/>
      <c r="AJ446" s="278"/>
    </row>
    <row r="447" spans="1:36" ht="96" hidden="1" customHeight="1" outlineLevel="1" x14ac:dyDescent="0.2">
      <c r="A447" s="637"/>
      <c r="B447" s="584"/>
      <c r="C447" s="584"/>
      <c r="D447" s="815"/>
      <c r="E447" s="706"/>
      <c r="F447" s="764"/>
      <c r="G447" s="695"/>
      <c r="H447" s="14" t="s">
        <v>1835</v>
      </c>
      <c r="I447" s="767"/>
      <c r="J447" s="12" t="s">
        <v>1786</v>
      </c>
      <c r="K447" s="326">
        <v>2400000</v>
      </c>
      <c r="L447" s="316">
        <v>0</v>
      </c>
      <c r="M447" s="289">
        <v>44593</v>
      </c>
      <c r="N447" s="289">
        <v>44925</v>
      </c>
      <c r="O447" s="272">
        <v>44652</v>
      </c>
      <c r="P447" s="273">
        <f t="shared" si="60"/>
        <v>0.17771084337349397</v>
      </c>
      <c r="Q447" s="273">
        <f t="shared" si="63"/>
        <v>0.17771084337349397</v>
      </c>
      <c r="R447" s="274">
        <v>1</v>
      </c>
      <c r="S447" s="275">
        <v>0.25</v>
      </c>
      <c r="T447" s="275">
        <v>0.5</v>
      </c>
      <c r="U447" s="275">
        <v>0.75</v>
      </c>
      <c r="V447" s="275">
        <v>1</v>
      </c>
      <c r="W447" s="275">
        <v>0</v>
      </c>
      <c r="X447" s="275" t="s">
        <v>1811</v>
      </c>
      <c r="Y447" s="341" t="s">
        <v>53</v>
      </c>
      <c r="Z447" s="316">
        <v>0</v>
      </c>
      <c r="AA447" s="275">
        <v>0</v>
      </c>
      <c r="AB447" s="275" t="s">
        <v>1811</v>
      </c>
      <c r="AC447" s="277"/>
      <c r="AD447" s="276"/>
      <c r="AE447" s="277"/>
      <c r="AF447" s="277"/>
      <c r="AG447" s="276"/>
      <c r="AH447" s="277"/>
      <c r="AI447" s="277"/>
      <c r="AJ447" s="278"/>
    </row>
    <row r="448" spans="1:36" ht="96" hidden="1" customHeight="1" outlineLevel="1" x14ac:dyDescent="0.2">
      <c r="A448" s="637"/>
      <c r="B448" s="584"/>
      <c r="C448" s="584"/>
      <c r="D448" s="815"/>
      <c r="E448" s="706"/>
      <c r="F448" s="764"/>
      <c r="G448" s="695"/>
      <c r="H448" s="14" t="s">
        <v>1836</v>
      </c>
      <c r="I448" s="767"/>
      <c r="J448" s="12" t="s">
        <v>1786</v>
      </c>
      <c r="K448" s="326">
        <v>2500000</v>
      </c>
      <c r="L448" s="316">
        <v>0</v>
      </c>
      <c r="M448" s="289">
        <v>44593</v>
      </c>
      <c r="N448" s="289">
        <v>44925</v>
      </c>
      <c r="O448" s="272">
        <v>44652</v>
      </c>
      <c r="P448" s="273">
        <f t="shared" si="60"/>
        <v>0.17771084337349397</v>
      </c>
      <c r="Q448" s="273">
        <f t="shared" si="63"/>
        <v>0.17771084337349397</v>
      </c>
      <c r="R448" s="274">
        <v>1</v>
      </c>
      <c r="S448" s="275">
        <v>0.25</v>
      </c>
      <c r="T448" s="275">
        <v>0.5</v>
      </c>
      <c r="U448" s="275">
        <v>0.75</v>
      </c>
      <c r="V448" s="275">
        <v>1</v>
      </c>
      <c r="W448" s="275">
        <v>0</v>
      </c>
      <c r="X448" s="275" t="s">
        <v>1811</v>
      </c>
      <c r="Y448" s="341" t="s">
        <v>53</v>
      </c>
      <c r="Z448" s="316">
        <v>0</v>
      </c>
      <c r="AA448" s="275">
        <v>0</v>
      </c>
      <c r="AB448" s="275" t="s">
        <v>1811</v>
      </c>
      <c r="AC448" s="277" t="s">
        <v>53</v>
      </c>
      <c r="AD448" s="276"/>
      <c r="AE448" s="277"/>
      <c r="AF448" s="277"/>
      <c r="AG448" s="276"/>
      <c r="AH448" s="277"/>
      <c r="AI448" s="277"/>
      <c r="AJ448" s="278"/>
    </row>
    <row r="449" spans="1:36" ht="96" hidden="1" customHeight="1" outlineLevel="1" x14ac:dyDescent="0.2">
      <c r="A449" s="637"/>
      <c r="B449" s="584"/>
      <c r="C449" s="584"/>
      <c r="D449" s="815"/>
      <c r="E449" s="706"/>
      <c r="F449" s="764"/>
      <c r="G449" s="695"/>
      <c r="H449" s="14" t="s">
        <v>1837</v>
      </c>
      <c r="I449" s="767"/>
      <c r="J449" s="12" t="s">
        <v>1786</v>
      </c>
      <c r="K449" s="326">
        <v>3600000</v>
      </c>
      <c r="L449" s="316">
        <v>0</v>
      </c>
      <c r="M449" s="289">
        <v>44593</v>
      </c>
      <c r="N449" s="289">
        <v>44925</v>
      </c>
      <c r="O449" s="272">
        <v>44652</v>
      </c>
      <c r="P449" s="273">
        <f t="shared" si="60"/>
        <v>0.17771084337349397</v>
      </c>
      <c r="Q449" s="273">
        <f t="shared" si="63"/>
        <v>0.17771084337349397</v>
      </c>
      <c r="R449" s="274">
        <v>1</v>
      </c>
      <c r="S449" s="275">
        <v>0.25</v>
      </c>
      <c r="T449" s="275">
        <v>0.5</v>
      </c>
      <c r="U449" s="275">
        <v>0.75</v>
      </c>
      <c r="V449" s="275">
        <v>1</v>
      </c>
      <c r="W449" s="275">
        <v>0</v>
      </c>
      <c r="X449" s="275" t="s">
        <v>1811</v>
      </c>
      <c r="Y449" s="341" t="s">
        <v>53</v>
      </c>
      <c r="Z449" s="316">
        <v>0</v>
      </c>
      <c r="AA449" s="275">
        <v>0</v>
      </c>
      <c r="AB449" s="275" t="s">
        <v>1811</v>
      </c>
      <c r="AC449" s="277" t="s">
        <v>53</v>
      </c>
      <c r="AD449" s="276"/>
      <c r="AE449" s="277"/>
      <c r="AF449" s="277"/>
      <c r="AG449" s="276"/>
      <c r="AH449" s="277"/>
      <c r="AI449" s="277"/>
      <c r="AJ449" s="278"/>
    </row>
    <row r="450" spans="1:36" ht="123.75" hidden="1" customHeight="1" outlineLevel="1" x14ac:dyDescent="0.2">
      <c r="A450" s="637"/>
      <c r="B450" s="584"/>
      <c r="C450" s="584"/>
      <c r="D450" s="815"/>
      <c r="E450" s="706"/>
      <c r="F450" s="764"/>
      <c r="G450" s="695"/>
      <c r="H450" s="14" t="s">
        <v>1838</v>
      </c>
      <c r="I450" s="767"/>
      <c r="J450" s="12" t="s">
        <v>1786</v>
      </c>
      <c r="K450" s="326">
        <v>76550000</v>
      </c>
      <c r="L450" s="316">
        <v>0</v>
      </c>
      <c r="M450" s="289">
        <v>44593</v>
      </c>
      <c r="N450" s="289">
        <v>44925</v>
      </c>
      <c r="O450" s="272">
        <v>44652</v>
      </c>
      <c r="P450" s="273">
        <f t="shared" si="60"/>
        <v>0.17771084337349397</v>
      </c>
      <c r="Q450" s="273">
        <f t="shared" si="63"/>
        <v>0.17771084337349397</v>
      </c>
      <c r="R450" s="274">
        <v>1</v>
      </c>
      <c r="S450" s="275">
        <v>0.25</v>
      </c>
      <c r="T450" s="275">
        <v>0.5</v>
      </c>
      <c r="U450" s="275">
        <v>0.75</v>
      </c>
      <c r="V450" s="275">
        <v>1</v>
      </c>
      <c r="W450" s="275">
        <v>0</v>
      </c>
      <c r="X450" s="275" t="s">
        <v>1811</v>
      </c>
      <c r="Y450" s="341" t="s">
        <v>53</v>
      </c>
      <c r="Z450" s="316">
        <v>0</v>
      </c>
      <c r="AA450" s="275">
        <v>0</v>
      </c>
      <c r="AB450" s="275" t="s">
        <v>1811</v>
      </c>
      <c r="AC450" s="277" t="s">
        <v>53</v>
      </c>
      <c r="AD450" s="276"/>
      <c r="AE450" s="277"/>
      <c r="AF450" s="277"/>
      <c r="AG450" s="276"/>
      <c r="AH450" s="277"/>
      <c r="AI450" s="277"/>
      <c r="AJ450" s="278"/>
    </row>
    <row r="451" spans="1:36" ht="96" hidden="1" customHeight="1" outlineLevel="1" x14ac:dyDescent="0.2">
      <c r="A451" s="637"/>
      <c r="B451" s="584"/>
      <c r="C451" s="584"/>
      <c r="D451" s="815"/>
      <c r="E451" s="706"/>
      <c r="F451" s="765"/>
      <c r="G451" s="696"/>
      <c r="H451" s="14" t="s">
        <v>1839</v>
      </c>
      <c r="I451" s="767"/>
      <c r="J451" s="12" t="s">
        <v>1786</v>
      </c>
      <c r="K451" s="326">
        <v>100000000</v>
      </c>
      <c r="L451" s="316">
        <v>0</v>
      </c>
      <c r="M451" s="289">
        <v>44593</v>
      </c>
      <c r="N451" s="289">
        <v>44925</v>
      </c>
      <c r="O451" s="272">
        <v>44652</v>
      </c>
      <c r="P451" s="273">
        <f t="shared" si="60"/>
        <v>0.17771084337349397</v>
      </c>
      <c r="Q451" s="273">
        <f t="shared" si="63"/>
        <v>0.17771084337349397</v>
      </c>
      <c r="R451" s="274">
        <v>1</v>
      </c>
      <c r="S451" s="275">
        <v>0.25</v>
      </c>
      <c r="T451" s="275">
        <v>0.5</v>
      </c>
      <c r="U451" s="275">
        <v>0.75</v>
      </c>
      <c r="V451" s="275">
        <v>1</v>
      </c>
      <c r="W451" s="275">
        <v>0.25</v>
      </c>
      <c r="X451" s="275" t="s">
        <v>1840</v>
      </c>
      <c r="Y451" s="341" t="s">
        <v>1841</v>
      </c>
      <c r="Z451" s="316">
        <v>0</v>
      </c>
      <c r="AA451" s="275">
        <v>0</v>
      </c>
      <c r="AB451" s="275" t="s">
        <v>555</v>
      </c>
      <c r="AC451" s="277" t="s">
        <v>53</v>
      </c>
      <c r="AD451" s="276"/>
      <c r="AE451" s="277"/>
      <c r="AF451" s="277"/>
      <c r="AG451" s="276"/>
      <c r="AH451" s="277"/>
      <c r="AI451" s="277"/>
      <c r="AJ451" s="278"/>
    </row>
    <row r="452" spans="1:36" ht="96" hidden="1" customHeight="1" outlineLevel="1" x14ac:dyDescent="0.2">
      <c r="A452" s="637"/>
      <c r="B452" s="584"/>
      <c r="C452" s="584"/>
      <c r="D452" s="815"/>
      <c r="E452" s="706"/>
      <c r="F452" s="13" t="s">
        <v>1842</v>
      </c>
      <c r="G452" s="2" t="s">
        <v>229</v>
      </c>
      <c r="H452" s="14" t="s">
        <v>1843</v>
      </c>
      <c r="I452" s="768"/>
      <c r="J452" s="12" t="s">
        <v>1844</v>
      </c>
      <c r="K452" s="326">
        <v>41800000</v>
      </c>
      <c r="L452" s="316">
        <v>0</v>
      </c>
      <c r="M452" s="289">
        <v>44593</v>
      </c>
      <c r="N452" s="289">
        <v>44925</v>
      </c>
      <c r="O452" s="272">
        <v>44652</v>
      </c>
      <c r="P452" s="273">
        <f t="shared" si="60"/>
        <v>0.17771084337349397</v>
      </c>
      <c r="Q452" s="273">
        <f t="shared" si="63"/>
        <v>0.17771084337349397</v>
      </c>
      <c r="R452" s="274">
        <v>0.05</v>
      </c>
      <c r="S452" s="275">
        <v>0.03</v>
      </c>
      <c r="T452" s="275">
        <v>0.03</v>
      </c>
      <c r="U452" s="275">
        <v>0.04</v>
      </c>
      <c r="V452" s="275">
        <v>0.05</v>
      </c>
      <c r="W452" s="275">
        <v>0</v>
      </c>
      <c r="X452" s="275" t="s">
        <v>1754</v>
      </c>
      <c r="Y452" s="341" t="s">
        <v>53</v>
      </c>
      <c r="Z452" s="316">
        <v>0</v>
      </c>
      <c r="AA452" s="275">
        <v>0.35</v>
      </c>
      <c r="AB452" s="275" t="s">
        <v>2331</v>
      </c>
      <c r="AC452" s="277" t="s">
        <v>53</v>
      </c>
      <c r="AD452" s="276"/>
      <c r="AE452" s="277"/>
      <c r="AF452" s="277"/>
      <c r="AG452" s="276"/>
      <c r="AH452" s="277"/>
      <c r="AI452" s="277"/>
      <c r="AJ452" s="278"/>
    </row>
    <row r="453" spans="1:36" ht="130.5" hidden="1" customHeight="1" outlineLevel="1" x14ac:dyDescent="0.2">
      <c r="A453" s="637"/>
      <c r="B453" s="584"/>
      <c r="C453" s="584"/>
      <c r="D453" s="815"/>
      <c r="E453" s="706"/>
      <c r="F453" s="763" t="s">
        <v>1845</v>
      </c>
      <c r="G453" s="694" t="s">
        <v>229</v>
      </c>
      <c r="H453" s="14" t="s">
        <v>1846</v>
      </c>
      <c r="I453" s="766" t="s">
        <v>1847</v>
      </c>
      <c r="J453" s="12" t="s">
        <v>1089</v>
      </c>
      <c r="K453" s="12" t="s">
        <v>1761</v>
      </c>
      <c r="L453" s="316">
        <v>0</v>
      </c>
      <c r="M453" s="289">
        <v>44593</v>
      </c>
      <c r="N453" s="289">
        <v>44925</v>
      </c>
      <c r="O453" s="272">
        <v>44652</v>
      </c>
      <c r="P453" s="273">
        <f t="shared" si="60"/>
        <v>0.17771084337349397</v>
      </c>
      <c r="Q453" s="273">
        <f t="shared" si="63"/>
        <v>0.17771084337349397</v>
      </c>
      <c r="R453" s="274">
        <v>1</v>
      </c>
      <c r="S453" s="275">
        <v>0.25</v>
      </c>
      <c r="T453" s="275">
        <v>0.5</v>
      </c>
      <c r="U453" s="275">
        <v>0.75</v>
      </c>
      <c r="V453" s="275">
        <v>1</v>
      </c>
      <c r="W453" s="275">
        <v>0.25</v>
      </c>
      <c r="X453" s="345" t="s">
        <v>1848</v>
      </c>
      <c r="Y453" s="343" t="s">
        <v>1849</v>
      </c>
      <c r="Z453" s="316">
        <v>0</v>
      </c>
      <c r="AA453" s="275">
        <v>0.5</v>
      </c>
      <c r="AB453" s="275" t="s">
        <v>2332</v>
      </c>
      <c r="AC453" s="277" t="s">
        <v>2286</v>
      </c>
      <c r="AD453" s="276"/>
      <c r="AE453" s="277"/>
      <c r="AF453" s="277"/>
      <c r="AG453" s="276"/>
      <c r="AH453" s="277"/>
      <c r="AI453" s="277"/>
      <c r="AJ453" s="278"/>
    </row>
    <row r="454" spans="1:36" ht="117.75" hidden="1" customHeight="1" outlineLevel="1" x14ac:dyDescent="0.2">
      <c r="A454" s="637"/>
      <c r="B454" s="584"/>
      <c r="C454" s="584"/>
      <c r="D454" s="815"/>
      <c r="E454" s="706"/>
      <c r="F454" s="764"/>
      <c r="G454" s="695"/>
      <c r="H454" s="14" t="s">
        <v>1850</v>
      </c>
      <c r="I454" s="767"/>
      <c r="J454" s="12" t="s">
        <v>1851</v>
      </c>
      <c r="K454" s="326">
        <v>51700000</v>
      </c>
      <c r="L454" s="316">
        <v>0</v>
      </c>
      <c r="M454" s="289">
        <v>44593</v>
      </c>
      <c r="N454" s="289">
        <v>44925</v>
      </c>
      <c r="O454" s="272">
        <v>44652</v>
      </c>
      <c r="P454" s="273">
        <f t="shared" si="60"/>
        <v>0.17771084337349397</v>
      </c>
      <c r="Q454" s="273">
        <f t="shared" si="63"/>
        <v>0.17771084337349397</v>
      </c>
      <c r="R454" s="274">
        <v>1</v>
      </c>
      <c r="S454" s="275">
        <v>0.25</v>
      </c>
      <c r="T454" s="275">
        <v>0.5</v>
      </c>
      <c r="U454" s="275">
        <v>0.75</v>
      </c>
      <c r="V454" s="275">
        <v>1</v>
      </c>
      <c r="W454" s="275">
        <v>0.05</v>
      </c>
      <c r="X454" s="345" t="s">
        <v>1852</v>
      </c>
      <c r="Y454" s="341" t="s">
        <v>53</v>
      </c>
      <c r="Z454" s="316">
        <v>0</v>
      </c>
      <c r="AA454" s="275">
        <v>0.5</v>
      </c>
      <c r="AB454" s="275" t="s">
        <v>1853</v>
      </c>
      <c r="AC454" s="277" t="s">
        <v>1854</v>
      </c>
      <c r="AD454" s="276"/>
      <c r="AE454" s="277"/>
      <c r="AF454" s="277"/>
      <c r="AG454" s="276"/>
      <c r="AH454" s="277"/>
      <c r="AI454" s="277"/>
      <c r="AJ454" s="278"/>
    </row>
    <row r="455" spans="1:36" ht="96" hidden="1" customHeight="1" outlineLevel="1" x14ac:dyDescent="0.2">
      <c r="A455" s="637"/>
      <c r="B455" s="584"/>
      <c r="C455" s="584"/>
      <c r="D455" s="815"/>
      <c r="E455" s="707"/>
      <c r="F455" s="765"/>
      <c r="G455" s="696"/>
      <c r="H455" s="14" t="s">
        <v>1855</v>
      </c>
      <c r="I455" s="768"/>
      <c r="J455" s="12" t="s">
        <v>1856</v>
      </c>
      <c r="K455" s="326">
        <v>27500000</v>
      </c>
      <c r="L455" s="316">
        <v>0</v>
      </c>
      <c r="M455" s="289">
        <v>44593</v>
      </c>
      <c r="N455" s="289">
        <v>44925</v>
      </c>
      <c r="O455" s="272">
        <v>44652</v>
      </c>
      <c r="P455" s="273">
        <f t="shared" si="60"/>
        <v>0.17771084337349397</v>
      </c>
      <c r="Q455" s="273">
        <f t="shared" si="63"/>
        <v>0.17771084337349397</v>
      </c>
      <c r="R455" s="274">
        <v>1</v>
      </c>
      <c r="S455" s="275">
        <v>0.25</v>
      </c>
      <c r="T455" s="275">
        <v>0.5</v>
      </c>
      <c r="U455" s="275">
        <v>0.75</v>
      </c>
      <c r="V455" s="275">
        <v>1</v>
      </c>
      <c r="W455" s="275">
        <v>0.25</v>
      </c>
      <c r="X455" s="275" t="s">
        <v>1857</v>
      </c>
      <c r="Y455" s="341" t="s">
        <v>1858</v>
      </c>
      <c r="Z455" s="316">
        <v>0</v>
      </c>
      <c r="AA455" s="275">
        <v>0.5</v>
      </c>
      <c r="AB455" s="277" t="s">
        <v>1859</v>
      </c>
      <c r="AC455" s="277" t="s">
        <v>1854</v>
      </c>
      <c r="AD455" s="276"/>
      <c r="AE455" s="277"/>
      <c r="AF455" s="277"/>
      <c r="AG455" s="276"/>
      <c r="AH455" s="277"/>
      <c r="AI455" s="277"/>
      <c r="AJ455" s="278"/>
    </row>
    <row r="456" spans="1:36" ht="96" hidden="1" customHeight="1" outlineLevel="1" x14ac:dyDescent="0.2">
      <c r="A456" s="637"/>
      <c r="B456" s="585"/>
      <c r="C456" s="585"/>
      <c r="D456" s="816"/>
      <c r="E456" s="1" t="s">
        <v>1756</v>
      </c>
      <c r="F456" s="1" t="s">
        <v>1860</v>
      </c>
      <c r="G456" s="469"/>
      <c r="H456" s="14" t="s">
        <v>1861</v>
      </c>
      <c r="I456" s="296" t="s">
        <v>1415</v>
      </c>
      <c r="J456" s="12" t="s">
        <v>1862</v>
      </c>
      <c r="K456" s="12" t="s">
        <v>53</v>
      </c>
      <c r="L456" s="316">
        <v>0</v>
      </c>
      <c r="M456" s="289">
        <v>44593</v>
      </c>
      <c r="N456" s="289">
        <v>44925</v>
      </c>
      <c r="O456" s="272">
        <v>44652</v>
      </c>
      <c r="P456" s="273">
        <f>+(+_xlfn.DAYS(M456,O456))/(+_xlfn.DAYS(M456,N456))</f>
        <v>0.17771084337349397</v>
      </c>
      <c r="Q456" s="273">
        <f>+IF(P456&gt;=100,100,IF(P456&lt;=0,0,P456))</f>
        <v>0.17771084337349397</v>
      </c>
      <c r="R456" s="274">
        <v>0.5</v>
      </c>
      <c r="S456" s="275">
        <v>0.01</v>
      </c>
      <c r="T456" s="275">
        <v>0.01</v>
      </c>
      <c r="U456" s="275">
        <v>0.02</v>
      </c>
      <c r="V456" s="275">
        <v>0.02</v>
      </c>
      <c r="W456" s="275">
        <v>0.08</v>
      </c>
      <c r="X456" s="275" t="s">
        <v>1863</v>
      </c>
      <c r="Y456" s="343" t="s">
        <v>1849</v>
      </c>
      <c r="Z456" s="316">
        <v>0</v>
      </c>
      <c r="AA456" s="275">
        <v>0.6</v>
      </c>
      <c r="AB456" s="277" t="s">
        <v>1864</v>
      </c>
      <c r="AC456" s="277" t="s">
        <v>1854</v>
      </c>
      <c r="AD456" s="276"/>
      <c r="AE456" s="277"/>
      <c r="AF456" s="277"/>
      <c r="AG456" s="276"/>
      <c r="AH456" s="277"/>
      <c r="AI456" s="277"/>
      <c r="AJ456" s="278"/>
    </row>
    <row r="457" spans="1:36" ht="123" hidden="1" customHeight="1" outlineLevel="1" x14ac:dyDescent="0.2">
      <c r="A457" s="637"/>
      <c r="B457" s="583" t="s">
        <v>983</v>
      </c>
      <c r="C457" s="583" t="s">
        <v>735</v>
      </c>
      <c r="D457" s="811" t="s">
        <v>1865</v>
      </c>
      <c r="E457" s="769" t="s">
        <v>1866</v>
      </c>
      <c r="F457" s="769" t="s">
        <v>1867</v>
      </c>
      <c r="G457" s="760" t="s">
        <v>251</v>
      </c>
      <c r="H457" s="450" t="s">
        <v>1868</v>
      </c>
      <c r="I457" s="597" t="s">
        <v>1192</v>
      </c>
      <c r="J457" s="12" t="s">
        <v>205</v>
      </c>
      <c r="K457" s="326">
        <v>12000000</v>
      </c>
      <c r="L457" s="316">
        <v>0</v>
      </c>
      <c r="M457" s="289">
        <v>44593</v>
      </c>
      <c r="N457" s="289">
        <v>44925</v>
      </c>
      <c r="O457" s="272">
        <v>44652</v>
      </c>
      <c r="P457" s="273">
        <f t="shared" si="60"/>
        <v>0.17771084337349397</v>
      </c>
      <c r="Q457" s="273">
        <f t="shared" si="63"/>
        <v>0.17771084337349397</v>
      </c>
      <c r="R457" s="274">
        <v>1</v>
      </c>
      <c r="S457" s="275">
        <v>0.25</v>
      </c>
      <c r="T457" s="275">
        <v>0.5</v>
      </c>
      <c r="U457" s="275">
        <v>0.75</v>
      </c>
      <c r="V457" s="275">
        <v>1</v>
      </c>
      <c r="W457" s="275">
        <v>0.25</v>
      </c>
      <c r="X457" s="275" t="s">
        <v>1366</v>
      </c>
      <c r="Y457" s="341" t="s">
        <v>53</v>
      </c>
      <c r="Z457" s="316">
        <v>0</v>
      </c>
      <c r="AA457" s="275">
        <v>0.25</v>
      </c>
      <c r="AB457" s="277" t="s">
        <v>1772</v>
      </c>
      <c r="AC457" s="277" t="s">
        <v>53</v>
      </c>
      <c r="AD457" s="276"/>
      <c r="AE457" s="277"/>
      <c r="AF457" s="277"/>
      <c r="AG457" s="276"/>
      <c r="AH457" s="277"/>
      <c r="AI457" s="277"/>
      <c r="AJ457" s="278"/>
    </row>
    <row r="458" spans="1:36" ht="75" hidden="1" customHeight="1" outlineLevel="1" x14ac:dyDescent="0.2">
      <c r="A458" s="637"/>
      <c r="B458" s="584"/>
      <c r="C458" s="584"/>
      <c r="D458" s="811"/>
      <c r="E458" s="770"/>
      <c r="F458" s="770"/>
      <c r="G458" s="761"/>
      <c r="H458" s="295" t="s">
        <v>1869</v>
      </c>
      <c r="I458" s="598"/>
      <c r="J458" s="12" t="s">
        <v>205</v>
      </c>
      <c r="K458" s="326">
        <v>3500000</v>
      </c>
      <c r="L458" s="326">
        <v>3500000</v>
      </c>
      <c r="M458" s="289">
        <v>44593</v>
      </c>
      <c r="N458" s="289">
        <v>44925</v>
      </c>
      <c r="O458" s="272">
        <v>44652</v>
      </c>
      <c r="P458" s="273">
        <f t="shared" si="60"/>
        <v>0.17771084337349397</v>
      </c>
      <c r="Q458" s="273">
        <f t="shared" si="63"/>
        <v>0.17771084337349397</v>
      </c>
      <c r="R458" s="274">
        <v>1</v>
      </c>
      <c r="S458" s="275">
        <v>0.25</v>
      </c>
      <c r="T458" s="275">
        <v>0.5</v>
      </c>
      <c r="U458" s="275">
        <v>0.75</v>
      </c>
      <c r="V458" s="275">
        <v>1</v>
      </c>
      <c r="W458" s="275">
        <v>0.25</v>
      </c>
      <c r="X458" s="275" t="s">
        <v>1870</v>
      </c>
      <c r="Y458" s="341" t="s">
        <v>1871</v>
      </c>
      <c r="Z458" s="316">
        <v>0</v>
      </c>
      <c r="AA458" s="275">
        <v>1</v>
      </c>
      <c r="AB458" s="277" t="s">
        <v>1872</v>
      </c>
      <c r="AC458" s="277" t="s">
        <v>53</v>
      </c>
      <c r="AD458" s="276"/>
      <c r="AE458" s="277"/>
      <c r="AF458" s="277"/>
      <c r="AG458" s="276"/>
      <c r="AH458" s="277"/>
      <c r="AI458" s="277"/>
      <c r="AJ458" s="278"/>
    </row>
    <row r="459" spans="1:36" ht="75" hidden="1" customHeight="1" outlineLevel="1" x14ac:dyDescent="0.2">
      <c r="A459" s="637"/>
      <c r="B459" s="584"/>
      <c r="C459" s="584"/>
      <c r="D459" s="811"/>
      <c r="E459" s="770"/>
      <c r="F459" s="770"/>
      <c r="G459" s="761"/>
      <c r="H459" s="295" t="s">
        <v>1873</v>
      </c>
      <c r="I459" s="598"/>
      <c r="J459" s="12" t="s">
        <v>205</v>
      </c>
      <c r="K459" s="326">
        <v>4200000</v>
      </c>
      <c r="L459" s="326">
        <v>4200000</v>
      </c>
      <c r="M459" s="289">
        <v>44593</v>
      </c>
      <c r="N459" s="289">
        <v>44925</v>
      </c>
      <c r="O459" s="272">
        <v>44652</v>
      </c>
      <c r="P459" s="273">
        <f t="shared" ref="P459:P488" si="64">+(+_xlfn.DAYS(M459,O459))/(+_xlfn.DAYS(M459,N459))</f>
        <v>0.17771084337349397</v>
      </c>
      <c r="Q459" s="273">
        <f t="shared" si="63"/>
        <v>0.17771084337349397</v>
      </c>
      <c r="R459" s="274">
        <v>1</v>
      </c>
      <c r="S459" s="275">
        <v>0.25</v>
      </c>
      <c r="T459" s="275">
        <v>0.5</v>
      </c>
      <c r="U459" s="275">
        <v>0.75</v>
      </c>
      <c r="V459" s="275">
        <v>1</v>
      </c>
      <c r="W459" s="275">
        <v>0.25</v>
      </c>
      <c r="X459" s="275" t="s">
        <v>1874</v>
      </c>
      <c r="Y459" s="341" t="s">
        <v>1871</v>
      </c>
      <c r="Z459" s="316">
        <v>0</v>
      </c>
      <c r="AA459" s="275">
        <v>1</v>
      </c>
      <c r="AB459" s="277" t="s">
        <v>1872</v>
      </c>
      <c r="AC459" s="277" t="s">
        <v>53</v>
      </c>
      <c r="AD459" s="276"/>
      <c r="AE459" s="277"/>
      <c r="AF459" s="277"/>
      <c r="AG459" s="276"/>
      <c r="AH459" s="277"/>
      <c r="AI459" s="277"/>
      <c r="AJ459" s="278"/>
    </row>
    <row r="460" spans="1:36" ht="75" hidden="1" customHeight="1" outlineLevel="1" x14ac:dyDescent="0.2">
      <c r="A460" s="637"/>
      <c r="B460" s="584"/>
      <c r="C460" s="584"/>
      <c r="D460" s="811"/>
      <c r="E460" s="770"/>
      <c r="F460" s="770"/>
      <c r="G460" s="761"/>
      <c r="H460" s="295" t="s">
        <v>1875</v>
      </c>
      <c r="I460" s="598"/>
      <c r="J460" s="12" t="s">
        <v>205</v>
      </c>
      <c r="K460" s="326">
        <v>3500000</v>
      </c>
      <c r="L460" s="326">
        <v>3500000</v>
      </c>
      <c r="M460" s="289">
        <v>44593</v>
      </c>
      <c r="N460" s="289">
        <v>44925</v>
      </c>
      <c r="O460" s="272">
        <v>44652</v>
      </c>
      <c r="P460" s="273">
        <f t="shared" si="64"/>
        <v>0.17771084337349397</v>
      </c>
      <c r="Q460" s="273">
        <f t="shared" si="63"/>
        <v>0.17771084337349397</v>
      </c>
      <c r="R460" s="274">
        <v>1</v>
      </c>
      <c r="S460" s="275">
        <v>0.25</v>
      </c>
      <c r="T460" s="275">
        <v>0.5</v>
      </c>
      <c r="U460" s="275">
        <v>0.75</v>
      </c>
      <c r="V460" s="275">
        <v>1</v>
      </c>
      <c r="W460" s="275">
        <v>0.25</v>
      </c>
      <c r="X460" s="275" t="s">
        <v>1876</v>
      </c>
      <c r="Y460" s="341" t="s">
        <v>1871</v>
      </c>
      <c r="Z460" s="316">
        <v>0</v>
      </c>
      <c r="AA460" s="275">
        <v>1</v>
      </c>
      <c r="AB460" s="277" t="s">
        <v>1872</v>
      </c>
      <c r="AC460" s="277" t="s">
        <v>53</v>
      </c>
      <c r="AD460" s="276"/>
      <c r="AE460" s="277"/>
      <c r="AF460" s="277"/>
      <c r="AG460" s="276"/>
      <c r="AH460" s="277"/>
      <c r="AI460" s="277"/>
      <c r="AJ460" s="278"/>
    </row>
    <row r="461" spans="1:36" ht="75" hidden="1" customHeight="1" outlineLevel="1" x14ac:dyDescent="0.2">
      <c r="A461" s="637"/>
      <c r="B461" s="584"/>
      <c r="C461" s="584"/>
      <c r="D461" s="811"/>
      <c r="E461" s="770"/>
      <c r="F461" s="770"/>
      <c r="G461" s="761"/>
      <c r="H461" s="295" t="s">
        <v>1877</v>
      </c>
      <c r="I461" s="598"/>
      <c r="J461" s="12" t="s">
        <v>205</v>
      </c>
      <c r="K461" s="326">
        <v>3500000</v>
      </c>
      <c r="L461" s="326">
        <v>3500000</v>
      </c>
      <c r="M461" s="289">
        <v>44593</v>
      </c>
      <c r="N461" s="289">
        <v>44925</v>
      </c>
      <c r="O461" s="272">
        <v>44652</v>
      </c>
      <c r="P461" s="273">
        <f t="shared" si="64"/>
        <v>0.17771084337349397</v>
      </c>
      <c r="Q461" s="273">
        <f t="shared" si="63"/>
        <v>0.17771084337349397</v>
      </c>
      <c r="R461" s="274">
        <v>1</v>
      </c>
      <c r="S461" s="275">
        <v>0.25</v>
      </c>
      <c r="T461" s="275">
        <v>0.5</v>
      </c>
      <c r="U461" s="275">
        <v>0.75</v>
      </c>
      <c r="V461" s="275">
        <v>1</v>
      </c>
      <c r="W461" s="275">
        <v>0.25</v>
      </c>
      <c r="X461" s="275" t="s">
        <v>1878</v>
      </c>
      <c r="Y461" s="341" t="s">
        <v>1871</v>
      </c>
      <c r="Z461" s="316">
        <v>0</v>
      </c>
      <c r="AA461" s="275">
        <v>1</v>
      </c>
      <c r="AB461" s="277" t="s">
        <v>1872</v>
      </c>
      <c r="AC461" s="277" t="s">
        <v>53</v>
      </c>
      <c r="AD461" s="276"/>
      <c r="AE461" s="277"/>
      <c r="AF461" s="277"/>
      <c r="AG461" s="276"/>
      <c r="AH461" s="277"/>
      <c r="AI461" s="277"/>
      <c r="AJ461" s="278"/>
    </row>
    <row r="462" spans="1:36" ht="75" hidden="1" customHeight="1" outlineLevel="1" x14ac:dyDescent="0.2">
      <c r="A462" s="637"/>
      <c r="B462" s="584"/>
      <c r="C462" s="584"/>
      <c r="D462" s="811"/>
      <c r="E462" s="770"/>
      <c r="F462" s="770"/>
      <c r="G462" s="761"/>
      <c r="H462" s="295" t="s">
        <v>1879</v>
      </c>
      <c r="I462" s="598"/>
      <c r="J462" s="12" t="s">
        <v>205</v>
      </c>
      <c r="K462" s="326">
        <v>3500000</v>
      </c>
      <c r="L462" s="326">
        <v>3500000</v>
      </c>
      <c r="M462" s="289">
        <v>44593</v>
      </c>
      <c r="N462" s="289">
        <v>44925</v>
      </c>
      <c r="O462" s="272">
        <v>44652</v>
      </c>
      <c r="P462" s="273">
        <f t="shared" si="64"/>
        <v>0.17771084337349397</v>
      </c>
      <c r="Q462" s="273">
        <f t="shared" si="63"/>
        <v>0.17771084337349397</v>
      </c>
      <c r="R462" s="274">
        <v>1</v>
      </c>
      <c r="S462" s="275">
        <v>0.25</v>
      </c>
      <c r="T462" s="275">
        <v>0.5</v>
      </c>
      <c r="U462" s="275">
        <v>0.75</v>
      </c>
      <c r="V462" s="275">
        <v>1</v>
      </c>
      <c r="W462" s="275">
        <v>0.25</v>
      </c>
      <c r="X462" s="275" t="s">
        <v>1880</v>
      </c>
      <c r="Y462" s="341" t="s">
        <v>1871</v>
      </c>
      <c r="Z462" s="316">
        <v>0</v>
      </c>
      <c r="AA462" s="275">
        <v>1</v>
      </c>
      <c r="AB462" s="277" t="s">
        <v>1872</v>
      </c>
      <c r="AC462" s="277" t="s">
        <v>53</v>
      </c>
      <c r="AD462" s="276"/>
      <c r="AE462" s="277"/>
      <c r="AF462" s="277"/>
      <c r="AG462" s="276"/>
      <c r="AH462" s="277"/>
      <c r="AI462" s="277"/>
      <c r="AJ462" s="278"/>
    </row>
    <row r="463" spans="1:36" ht="75" hidden="1" customHeight="1" outlineLevel="1" x14ac:dyDescent="0.2">
      <c r="A463" s="637"/>
      <c r="B463" s="584"/>
      <c r="C463" s="584"/>
      <c r="D463" s="811"/>
      <c r="E463" s="770"/>
      <c r="F463" s="770"/>
      <c r="G463" s="761"/>
      <c r="H463" s="295" t="s">
        <v>1881</v>
      </c>
      <c r="I463" s="598"/>
      <c r="J463" s="12" t="s">
        <v>205</v>
      </c>
      <c r="K463" s="326">
        <v>3500000</v>
      </c>
      <c r="L463" s="326">
        <v>3500000</v>
      </c>
      <c r="M463" s="289">
        <v>44593</v>
      </c>
      <c r="N463" s="289">
        <v>44925</v>
      </c>
      <c r="O463" s="272">
        <v>44652</v>
      </c>
      <c r="P463" s="273">
        <f t="shared" si="64"/>
        <v>0.17771084337349397</v>
      </c>
      <c r="Q463" s="273">
        <f t="shared" si="63"/>
        <v>0.17771084337349397</v>
      </c>
      <c r="R463" s="274">
        <v>1</v>
      </c>
      <c r="S463" s="275">
        <v>0.25</v>
      </c>
      <c r="T463" s="275">
        <v>0.5</v>
      </c>
      <c r="U463" s="275">
        <v>0.75</v>
      </c>
      <c r="V463" s="275">
        <v>1</v>
      </c>
      <c r="W463" s="345">
        <v>0.3</v>
      </c>
      <c r="X463" s="275" t="s">
        <v>1882</v>
      </c>
      <c r="Y463" s="341" t="s">
        <v>1871</v>
      </c>
      <c r="Z463" s="316">
        <v>0</v>
      </c>
      <c r="AA463" s="275">
        <v>1</v>
      </c>
      <c r="AB463" s="277" t="s">
        <v>1872</v>
      </c>
      <c r="AC463" s="277" t="s">
        <v>53</v>
      </c>
      <c r="AD463" s="276"/>
      <c r="AE463" s="277"/>
      <c r="AF463" s="277"/>
      <c r="AG463" s="276"/>
      <c r="AH463" s="277"/>
      <c r="AI463" s="277"/>
      <c r="AJ463" s="278"/>
    </row>
    <row r="464" spans="1:36" ht="75" hidden="1" customHeight="1" outlineLevel="1" x14ac:dyDescent="0.2">
      <c r="A464" s="637"/>
      <c r="B464" s="584"/>
      <c r="C464" s="584"/>
      <c r="D464" s="811"/>
      <c r="E464" s="770"/>
      <c r="F464" s="770"/>
      <c r="G464" s="761"/>
      <c r="H464" s="295" t="s">
        <v>1883</v>
      </c>
      <c r="I464" s="598"/>
      <c r="J464" s="12" t="s">
        <v>205</v>
      </c>
      <c r="K464" s="326">
        <v>3500000</v>
      </c>
      <c r="L464" s="316">
        <v>0</v>
      </c>
      <c r="M464" s="289">
        <v>44593</v>
      </c>
      <c r="N464" s="289">
        <v>44925</v>
      </c>
      <c r="O464" s="272">
        <v>44652</v>
      </c>
      <c r="P464" s="273">
        <f t="shared" si="64"/>
        <v>0.17771084337349397</v>
      </c>
      <c r="Q464" s="273">
        <f t="shared" si="63"/>
        <v>0.17771084337349397</v>
      </c>
      <c r="R464" s="274">
        <v>1</v>
      </c>
      <c r="S464" s="275">
        <v>0.25</v>
      </c>
      <c r="T464" s="275">
        <v>0.5</v>
      </c>
      <c r="U464" s="275">
        <v>0.75</v>
      </c>
      <c r="V464" s="275">
        <v>1</v>
      </c>
      <c r="W464" s="275">
        <v>0</v>
      </c>
      <c r="X464" s="275" t="s">
        <v>1366</v>
      </c>
      <c r="Y464" s="341" t="s">
        <v>53</v>
      </c>
      <c r="Z464" s="316">
        <v>0</v>
      </c>
      <c r="AA464" s="275">
        <v>0.5</v>
      </c>
      <c r="AB464" s="277" t="s">
        <v>1884</v>
      </c>
      <c r="AC464" s="277" t="s">
        <v>53</v>
      </c>
      <c r="AD464" s="276"/>
      <c r="AE464" s="277"/>
      <c r="AF464" s="277"/>
      <c r="AG464" s="276"/>
      <c r="AH464" s="277"/>
      <c r="AI464" s="277"/>
      <c r="AJ464" s="278"/>
    </row>
    <row r="465" spans="1:36" ht="75" hidden="1" customHeight="1" outlineLevel="1" x14ac:dyDescent="0.2">
      <c r="A465" s="637"/>
      <c r="B465" s="584"/>
      <c r="C465" s="584"/>
      <c r="D465" s="811"/>
      <c r="E465" s="770"/>
      <c r="F465" s="770"/>
      <c r="G465" s="761"/>
      <c r="H465" s="295" t="s">
        <v>1885</v>
      </c>
      <c r="I465" s="598"/>
      <c r="J465" s="12" t="s">
        <v>205</v>
      </c>
      <c r="K465" s="326">
        <v>4200000</v>
      </c>
      <c r="L465" s="316">
        <v>0</v>
      </c>
      <c r="M465" s="289">
        <v>44593</v>
      </c>
      <c r="N465" s="289">
        <v>44925</v>
      </c>
      <c r="O465" s="272">
        <v>44652</v>
      </c>
      <c r="P465" s="273">
        <f t="shared" si="64"/>
        <v>0.17771084337349397</v>
      </c>
      <c r="Q465" s="273">
        <f t="shared" si="63"/>
        <v>0.17771084337349397</v>
      </c>
      <c r="R465" s="274">
        <v>1</v>
      </c>
      <c r="S465" s="275">
        <v>0.25</v>
      </c>
      <c r="T465" s="275">
        <v>0.5</v>
      </c>
      <c r="U465" s="275">
        <v>0.75</v>
      </c>
      <c r="V465" s="275">
        <v>1</v>
      </c>
      <c r="W465" s="275">
        <v>0</v>
      </c>
      <c r="X465" s="275" t="s">
        <v>1366</v>
      </c>
      <c r="Y465" s="341" t="s">
        <v>53</v>
      </c>
      <c r="Z465" s="316">
        <v>0</v>
      </c>
      <c r="AA465" s="275">
        <v>0.5</v>
      </c>
      <c r="AB465" s="277" t="s">
        <v>1884</v>
      </c>
      <c r="AC465" s="277" t="s">
        <v>53</v>
      </c>
      <c r="AD465" s="276"/>
      <c r="AE465" s="277"/>
      <c r="AF465" s="277"/>
      <c r="AG465" s="276"/>
      <c r="AH465" s="277"/>
      <c r="AI465" s="277"/>
      <c r="AJ465" s="278"/>
    </row>
    <row r="466" spans="1:36" ht="75" hidden="1" customHeight="1" outlineLevel="1" x14ac:dyDescent="0.2">
      <c r="A466" s="637"/>
      <c r="B466" s="584"/>
      <c r="C466" s="584"/>
      <c r="D466" s="811"/>
      <c r="E466" s="770"/>
      <c r="F466" s="770"/>
      <c r="G466" s="761"/>
      <c r="H466" s="295" t="s">
        <v>1886</v>
      </c>
      <c r="I466" s="598"/>
      <c r="J466" s="12" t="s">
        <v>205</v>
      </c>
      <c r="K466" s="326">
        <v>3500000</v>
      </c>
      <c r="L466" s="316">
        <v>0</v>
      </c>
      <c r="M466" s="289">
        <v>44593</v>
      </c>
      <c r="N466" s="289">
        <v>44925</v>
      </c>
      <c r="O466" s="272">
        <v>44652</v>
      </c>
      <c r="P466" s="273">
        <f t="shared" si="64"/>
        <v>0.17771084337349397</v>
      </c>
      <c r="Q466" s="273">
        <f t="shared" si="63"/>
        <v>0.17771084337349397</v>
      </c>
      <c r="R466" s="274">
        <v>1</v>
      </c>
      <c r="S466" s="275">
        <v>0.25</v>
      </c>
      <c r="T466" s="275">
        <v>0.5</v>
      </c>
      <c r="U466" s="275">
        <v>0.75</v>
      </c>
      <c r="V466" s="275">
        <v>1</v>
      </c>
      <c r="W466" s="275">
        <v>0</v>
      </c>
      <c r="X466" s="275" t="s">
        <v>1366</v>
      </c>
      <c r="Y466" s="341" t="s">
        <v>53</v>
      </c>
      <c r="Z466" s="316">
        <v>0</v>
      </c>
      <c r="AA466" s="275">
        <v>0.5</v>
      </c>
      <c r="AB466" s="277" t="s">
        <v>1884</v>
      </c>
      <c r="AC466" s="277" t="s">
        <v>53</v>
      </c>
      <c r="AD466" s="276"/>
      <c r="AE466" s="277"/>
      <c r="AF466" s="277"/>
      <c r="AG466" s="276"/>
      <c r="AH466" s="277"/>
      <c r="AI466" s="277"/>
      <c r="AJ466" s="278"/>
    </row>
    <row r="467" spans="1:36" ht="75" hidden="1" customHeight="1" outlineLevel="1" x14ac:dyDescent="0.2">
      <c r="A467" s="637"/>
      <c r="B467" s="584"/>
      <c r="C467" s="584"/>
      <c r="D467" s="811"/>
      <c r="E467" s="770"/>
      <c r="F467" s="770"/>
      <c r="G467" s="761"/>
      <c r="H467" s="295" t="s">
        <v>1887</v>
      </c>
      <c r="I467" s="598"/>
      <c r="J467" s="12" t="s">
        <v>205</v>
      </c>
      <c r="K467" s="326">
        <v>3500000</v>
      </c>
      <c r="L467" s="316">
        <v>0</v>
      </c>
      <c r="M467" s="289">
        <v>44593</v>
      </c>
      <c r="N467" s="289">
        <v>44925</v>
      </c>
      <c r="O467" s="272">
        <v>44652</v>
      </c>
      <c r="P467" s="273">
        <f t="shared" si="64"/>
        <v>0.17771084337349397</v>
      </c>
      <c r="Q467" s="273">
        <f t="shared" si="63"/>
        <v>0.17771084337349397</v>
      </c>
      <c r="R467" s="274">
        <v>1</v>
      </c>
      <c r="S467" s="275">
        <v>0.25</v>
      </c>
      <c r="T467" s="275">
        <v>0.5</v>
      </c>
      <c r="U467" s="275">
        <v>0.75</v>
      </c>
      <c r="V467" s="275">
        <v>1</v>
      </c>
      <c r="W467" s="275">
        <v>0</v>
      </c>
      <c r="X467" s="275" t="s">
        <v>1366</v>
      </c>
      <c r="Y467" s="341" t="s">
        <v>53</v>
      </c>
      <c r="Z467" s="316">
        <v>0</v>
      </c>
      <c r="AA467" s="275">
        <v>0.5</v>
      </c>
      <c r="AB467" s="277" t="s">
        <v>1884</v>
      </c>
      <c r="AC467" s="277" t="s">
        <v>53</v>
      </c>
      <c r="AD467" s="276"/>
      <c r="AE467" s="277"/>
      <c r="AF467" s="277"/>
      <c r="AG467" s="276"/>
      <c r="AH467" s="277"/>
      <c r="AI467" s="277"/>
      <c r="AJ467" s="278"/>
    </row>
    <row r="468" spans="1:36" ht="75" hidden="1" customHeight="1" outlineLevel="1" x14ac:dyDescent="0.2">
      <c r="A468" s="637"/>
      <c r="B468" s="584"/>
      <c r="C468" s="584"/>
      <c r="D468" s="811"/>
      <c r="E468" s="770"/>
      <c r="F468" s="770"/>
      <c r="G468" s="761"/>
      <c r="H468" s="295" t="s">
        <v>1888</v>
      </c>
      <c r="I468" s="598"/>
      <c r="J468" s="12" t="s">
        <v>205</v>
      </c>
      <c r="K468" s="326">
        <v>3500000</v>
      </c>
      <c r="L468" s="316">
        <v>0</v>
      </c>
      <c r="M468" s="289">
        <v>44593</v>
      </c>
      <c r="N468" s="289">
        <v>44925</v>
      </c>
      <c r="O468" s="272">
        <v>44652</v>
      </c>
      <c r="P468" s="273">
        <f t="shared" si="64"/>
        <v>0.17771084337349397</v>
      </c>
      <c r="Q468" s="273">
        <f t="shared" si="63"/>
        <v>0.17771084337349397</v>
      </c>
      <c r="R468" s="274">
        <v>1</v>
      </c>
      <c r="S468" s="275">
        <v>0.25</v>
      </c>
      <c r="T468" s="275">
        <v>0.5</v>
      </c>
      <c r="U468" s="275">
        <v>0.75</v>
      </c>
      <c r="V468" s="275">
        <v>1</v>
      </c>
      <c r="W468" s="275">
        <v>0</v>
      </c>
      <c r="X468" s="275" t="s">
        <v>1366</v>
      </c>
      <c r="Y468" s="341" t="s">
        <v>53</v>
      </c>
      <c r="Z468" s="316">
        <v>0</v>
      </c>
      <c r="AA468" s="275">
        <v>0.5</v>
      </c>
      <c r="AB468" s="277" t="s">
        <v>1884</v>
      </c>
      <c r="AC468" s="277" t="s">
        <v>53</v>
      </c>
      <c r="AD468" s="276"/>
      <c r="AE468" s="277"/>
      <c r="AF468" s="277"/>
      <c r="AG468" s="276"/>
      <c r="AH468" s="277"/>
      <c r="AI468" s="277"/>
      <c r="AJ468" s="278"/>
    </row>
    <row r="469" spans="1:36" ht="75" hidden="1" customHeight="1" outlineLevel="1" x14ac:dyDescent="0.2">
      <c r="A469" s="637"/>
      <c r="B469" s="584"/>
      <c r="C469" s="584"/>
      <c r="D469" s="811"/>
      <c r="E469" s="770"/>
      <c r="F469" s="770"/>
      <c r="G469" s="761"/>
      <c r="H469" s="295" t="s">
        <v>1889</v>
      </c>
      <c r="I469" s="598"/>
      <c r="J469" s="12" t="s">
        <v>205</v>
      </c>
      <c r="K469" s="326">
        <v>3500000</v>
      </c>
      <c r="L469" s="350"/>
      <c r="M469" s="289">
        <v>44593</v>
      </c>
      <c r="N469" s="289">
        <v>44925</v>
      </c>
      <c r="O469" s="272">
        <v>44652</v>
      </c>
      <c r="P469" s="273">
        <f t="shared" si="64"/>
        <v>0.17771084337349397</v>
      </c>
      <c r="Q469" s="273">
        <f t="shared" si="63"/>
        <v>0.17771084337349397</v>
      </c>
      <c r="R469" s="274">
        <v>1</v>
      </c>
      <c r="S469" s="275">
        <v>0.25</v>
      </c>
      <c r="T469" s="275">
        <v>0.5</v>
      </c>
      <c r="U469" s="275">
        <v>0.75</v>
      </c>
      <c r="V469" s="275">
        <v>1</v>
      </c>
      <c r="W469" s="275">
        <v>0</v>
      </c>
      <c r="X469" s="275" t="s">
        <v>1366</v>
      </c>
      <c r="Y469" s="341" t="s">
        <v>53</v>
      </c>
      <c r="Z469" s="316">
        <v>0</v>
      </c>
      <c r="AA469" s="275">
        <v>0.5</v>
      </c>
      <c r="AB469" s="277" t="s">
        <v>1884</v>
      </c>
      <c r="AC469" s="277" t="s">
        <v>53</v>
      </c>
      <c r="AD469" s="276"/>
      <c r="AE469" s="277"/>
      <c r="AF469" s="277"/>
      <c r="AG469" s="276"/>
      <c r="AH469" s="277"/>
      <c r="AI469" s="277"/>
      <c r="AJ469" s="278"/>
    </row>
    <row r="470" spans="1:36" ht="93.75" hidden="1" customHeight="1" outlineLevel="1" x14ac:dyDescent="0.2">
      <c r="A470" s="637"/>
      <c r="B470" s="584"/>
      <c r="C470" s="584"/>
      <c r="D470" s="811"/>
      <c r="E470" s="770"/>
      <c r="F470" s="770"/>
      <c r="G470" s="761"/>
      <c r="H470" s="295" t="s">
        <v>1890</v>
      </c>
      <c r="I470" s="598"/>
      <c r="J470" s="12" t="s">
        <v>205</v>
      </c>
      <c r="K470" s="326">
        <v>3500000</v>
      </c>
      <c r="L470" s="316">
        <v>0</v>
      </c>
      <c r="M470" s="289">
        <v>44593</v>
      </c>
      <c r="N470" s="289">
        <v>44925</v>
      </c>
      <c r="O470" s="272">
        <v>44652</v>
      </c>
      <c r="P470" s="273">
        <f t="shared" si="64"/>
        <v>0.17771084337349397</v>
      </c>
      <c r="Q470" s="273">
        <f t="shared" si="63"/>
        <v>0.17771084337349397</v>
      </c>
      <c r="R470" s="274">
        <v>1</v>
      </c>
      <c r="S470" s="275">
        <v>0.25</v>
      </c>
      <c r="T470" s="275">
        <v>0.5</v>
      </c>
      <c r="U470" s="275">
        <v>0.75</v>
      </c>
      <c r="V470" s="275">
        <v>1</v>
      </c>
      <c r="W470" s="275">
        <v>0</v>
      </c>
      <c r="X470" s="275" t="s">
        <v>1891</v>
      </c>
      <c r="Y470" s="341" t="s">
        <v>53</v>
      </c>
      <c r="Z470" s="316">
        <v>0</v>
      </c>
      <c r="AA470" s="275">
        <v>0.5</v>
      </c>
      <c r="AB470" s="277" t="s">
        <v>1884</v>
      </c>
      <c r="AC470" s="277" t="s">
        <v>53</v>
      </c>
      <c r="AD470" s="276"/>
      <c r="AE470" s="277"/>
      <c r="AF470" s="277"/>
      <c r="AG470" s="276"/>
      <c r="AH470" s="277"/>
      <c r="AI470" s="277"/>
      <c r="AJ470" s="278"/>
    </row>
    <row r="471" spans="1:36" ht="75" hidden="1" customHeight="1" outlineLevel="1" x14ac:dyDescent="0.2">
      <c r="A471" s="637"/>
      <c r="B471" s="584"/>
      <c r="C471" s="584"/>
      <c r="D471" s="811"/>
      <c r="E471" s="770"/>
      <c r="F471" s="770"/>
      <c r="G471" s="761"/>
      <c r="H471" s="295" t="s">
        <v>1892</v>
      </c>
      <c r="I471" s="598"/>
      <c r="J471" s="12" t="s">
        <v>205</v>
      </c>
      <c r="K471" s="326">
        <v>4200000</v>
      </c>
      <c r="L471" s="316">
        <v>0</v>
      </c>
      <c r="M471" s="289">
        <v>44593</v>
      </c>
      <c r="N471" s="289">
        <v>44925</v>
      </c>
      <c r="O471" s="272">
        <v>44652</v>
      </c>
      <c r="P471" s="273">
        <f t="shared" si="64"/>
        <v>0.17771084337349397</v>
      </c>
      <c r="Q471" s="273">
        <f t="shared" si="63"/>
        <v>0.17771084337349397</v>
      </c>
      <c r="R471" s="274">
        <v>1</v>
      </c>
      <c r="S471" s="275">
        <v>0.25</v>
      </c>
      <c r="T471" s="275">
        <v>0.5</v>
      </c>
      <c r="U471" s="275">
        <v>0.75</v>
      </c>
      <c r="V471" s="275">
        <v>1</v>
      </c>
      <c r="W471" s="275">
        <v>0</v>
      </c>
      <c r="X471" s="275" t="s">
        <v>1891</v>
      </c>
      <c r="Y471" s="341" t="s">
        <v>53</v>
      </c>
      <c r="Z471" s="316">
        <v>0</v>
      </c>
      <c r="AA471" s="275">
        <v>0.5</v>
      </c>
      <c r="AB471" s="277" t="s">
        <v>1884</v>
      </c>
      <c r="AC471" s="277" t="s">
        <v>53</v>
      </c>
      <c r="AD471" s="276"/>
      <c r="AE471" s="277"/>
      <c r="AF471" s="277"/>
      <c r="AG471" s="276"/>
      <c r="AH471" s="277"/>
      <c r="AI471" s="277"/>
      <c r="AJ471" s="278"/>
    </row>
    <row r="472" spans="1:36" ht="75" hidden="1" customHeight="1" outlineLevel="1" x14ac:dyDescent="0.2">
      <c r="A472" s="637"/>
      <c r="B472" s="584"/>
      <c r="C472" s="584"/>
      <c r="D472" s="811"/>
      <c r="E472" s="770"/>
      <c r="F472" s="770"/>
      <c r="G472" s="761"/>
      <c r="H472" s="295" t="s">
        <v>1893</v>
      </c>
      <c r="I472" s="598"/>
      <c r="J472" s="12" t="s">
        <v>205</v>
      </c>
      <c r="K472" s="326">
        <v>3500000</v>
      </c>
      <c r="L472" s="316">
        <v>0</v>
      </c>
      <c r="M472" s="289">
        <v>44593</v>
      </c>
      <c r="N472" s="289">
        <v>44925</v>
      </c>
      <c r="O472" s="272">
        <v>44652</v>
      </c>
      <c r="P472" s="273">
        <f t="shared" si="64"/>
        <v>0.17771084337349397</v>
      </c>
      <c r="Q472" s="273">
        <f t="shared" si="63"/>
        <v>0.17771084337349397</v>
      </c>
      <c r="R472" s="274">
        <v>1</v>
      </c>
      <c r="S472" s="275">
        <v>0.25</v>
      </c>
      <c r="T472" s="275">
        <v>0.5</v>
      </c>
      <c r="U472" s="275">
        <v>0.75</v>
      </c>
      <c r="V472" s="275">
        <v>1</v>
      </c>
      <c r="W472" s="275">
        <v>0</v>
      </c>
      <c r="X472" s="275" t="s">
        <v>1366</v>
      </c>
      <c r="Y472" s="341" t="s">
        <v>53</v>
      </c>
      <c r="Z472" s="316">
        <v>0</v>
      </c>
      <c r="AA472" s="275">
        <v>0.5</v>
      </c>
      <c r="AB472" s="277" t="s">
        <v>1884</v>
      </c>
      <c r="AC472" s="277" t="s">
        <v>53</v>
      </c>
      <c r="AD472" s="276"/>
      <c r="AE472" s="277"/>
      <c r="AF472" s="277"/>
      <c r="AG472" s="276"/>
      <c r="AH472" s="277"/>
      <c r="AI472" s="277"/>
      <c r="AJ472" s="278"/>
    </row>
    <row r="473" spans="1:36" ht="75" hidden="1" customHeight="1" outlineLevel="1" x14ac:dyDescent="0.2">
      <c r="A473" s="637"/>
      <c r="B473" s="584"/>
      <c r="C473" s="584"/>
      <c r="D473" s="811"/>
      <c r="E473" s="770"/>
      <c r="F473" s="770"/>
      <c r="G473" s="761"/>
      <c r="H473" s="295" t="s">
        <v>1894</v>
      </c>
      <c r="I473" s="598"/>
      <c r="J473" s="12" t="s">
        <v>205</v>
      </c>
      <c r="K473" s="326">
        <v>4200000</v>
      </c>
      <c r="L473" s="316">
        <v>0</v>
      </c>
      <c r="M473" s="289">
        <v>44593</v>
      </c>
      <c r="N473" s="289">
        <v>44925</v>
      </c>
      <c r="O473" s="272">
        <v>44652</v>
      </c>
      <c r="P473" s="273">
        <f t="shared" si="64"/>
        <v>0.17771084337349397</v>
      </c>
      <c r="Q473" s="273">
        <f t="shared" si="63"/>
        <v>0.17771084337349397</v>
      </c>
      <c r="R473" s="274">
        <v>1</v>
      </c>
      <c r="S473" s="275">
        <v>0.25</v>
      </c>
      <c r="T473" s="275">
        <v>0.5</v>
      </c>
      <c r="U473" s="275">
        <v>0.75</v>
      </c>
      <c r="V473" s="275">
        <v>1</v>
      </c>
      <c r="W473" s="275">
        <v>0</v>
      </c>
      <c r="X473" s="275" t="s">
        <v>1366</v>
      </c>
      <c r="Y473" s="341" t="s">
        <v>53</v>
      </c>
      <c r="Z473" s="316">
        <v>0</v>
      </c>
      <c r="AA473" s="275">
        <v>0.5</v>
      </c>
      <c r="AB473" s="277" t="s">
        <v>1884</v>
      </c>
      <c r="AC473" s="277" t="s">
        <v>53</v>
      </c>
      <c r="AD473" s="276"/>
      <c r="AE473" s="277"/>
      <c r="AF473" s="277"/>
      <c r="AG473" s="276"/>
      <c r="AH473" s="277"/>
      <c r="AI473" s="277"/>
      <c r="AJ473" s="278"/>
    </row>
    <row r="474" spans="1:36" ht="72" hidden="1" customHeight="1" outlineLevel="1" x14ac:dyDescent="0.2">
      <c r="A474" s="637"/>
      <c r="B474" s="584"/>
      <c r="C474" s="584"/>
      <c r="D474" s="811"/>
      <c r="E474" s="770"/>
      <c r="F474" s="770"/>
      <c r="G474" s="761"/>
      <c r="H474" s="295" t="s">
        <v>1895</v>
      </c>
      <c r="I474" s="598"/>
      <c r="J474" s="12" t="s">
        <v>205</v>
      </c>
      <c r="K474" s="326">
        <v>1750000</v>
      </c>
      <c r="L474" s="316">
        <v>0</v>
      </c>
      <c r="M474" s="289">
        <v>44593</v>
      </c>
      <c r="N474" s="289">
        <v>44925</v>
      </c>
      <c r="O474" s="272">
        <v>44652</v>
      </c>
      <c r="P474" s="273">
        <f t="shared" si="64"/>
        <v>0.17771084337349397</v>
      </c>
      <c r="Q474" s="273">
        <f t="shared" si="63"/>
        <v>0.17771084337349397</v>
      </c>
      <c r="R474" s="274">
        <v>1</v>
      </c>
      <c r="S474" s="275">
        <v>0.25</v>
      </c>
      <c r="T474" s="275">
        <v>0.5</v>
      </c>
      <c r="U474" s="275">
        <v>0.75</v>
      </c>
      <c r="V474" s="275">
        <v>1</v>
      </c>
      <c r="W474" s="275">
        <v>0</v>
      </c>
      <c r="X474" s="275" t="s">
        <v>1891</v>
      </c>
      <c r="Y474" s="341" t="s">
        <v>53</v>
      </c>
      <c r="Z474" s="316">
        <v>0</v>
      </c>
      <c r="AA474" s="275">
        <v>0.5</v>
      </c>
      <c r="AB474" s="277" t="s">
        <v>1884</v>
      </c>
      <c r="AC474" s="277" t="s">
        <v>53</v>
      </c>
      <c r="AD474" s="276"/>
      <c r="AE474" s="277"/>
      <c r="AF474" s="277"/>
      <c r="AG474" s="276"/>
      <c r="AH474" s="277"/>
      <c r="AI474" s="277"/>
      <c r="AJ474" s="278"/>
    </row>
    <row r="475" spans="1:36" ht="56.25" hidden="1" customHeight="1" outlineLevel="1" x14ac:dyDescent="0.2">
      <c r="A475" s="637"/>
      <c r="B475" s="584"/>
      <c r="C475" s="584"/>
      <c r="D475" s="811"/>
      <c r="E475" s="770"/>
      <c r="F475" s="770"/>
      <c r="G475" s="761"/>
      <c r="H475" s="295" t="s">
        <v>1895</v>
      </c>
      <c r="I475" s="598"/>
      <c r="J475" s="12" t="s">
        <v>205</v>
      </c>
      <c r="K475" s="326">
        <v>1750000</v>
      </c>
      <c r="L475" s="316">
        <v>0</v>
      </c>
      <c r="M475" s="289">
        <v>44593</v>
      </c>
      <c r="N475" s="289">
        <v>44925</v>
      </c>
      <c r="O475" s="272">
        <v>44652</v>
      </c>
      <c r="P475" s="273">
        <f t="shared" si="64"/>
        <v>0.17771084337349397</v>
      </c>
      <c r="Q475" s="273">
        <f t="shared" si="63"/>
        <v>0.17771084337349397</v>
      </c>
      <c r="R475" s="274">
        <v>1</v>
      </c>
      <c r="S475" s="275">
        <v>0.25</v>
      </c>
      <c r="T475" s="275">
        <v>0.5</v>
      </c>
      <c r="U475" s="275">
        <v>0.75</v>
      </c>
      <c r="V475" s="275">
        <v>1</v>
      </c>
      <c r="W475" s="275">
        <v>0</v>
      </c>
      <c r="X475" s="275" t="s">
        <v>1891</v>
      </c>
      <c r="Y475" s="341" t="s">
        <v>53</v>
      </c>
      <c r="Z475" s="316">
        <v>0</v>
      </c>
      <c r="AA475" s="275">
        <v>0.5</v>
      </c>
      <c r="AB475" s="277" t="s">
        <v>1884</v>
      </c>
      <c r="AC475" s="277" t="s">
        <v>53</v>
      </c>
      <c r="AD475" s="276"/>
      <c r="AE475" s="277"/>
      <c r="AF475" s="277"/>
      <c r="AG475" s="276"/>
      <c r="AH475" s="277"/>
      <c r="AI475" s="277"/>
      <c r="AJ475" s="278"/>
    </row>
    <row r="476" spans="1:36" ht="56.25" hidden="1" customHeight="1" outlineLevel="1" x14ac:dyDescent="0.2">
      <c r="A476" s="637"/>
      <c r="B476" s="584"/>
      <c r="C476" s="584"/>
      <c r="D476" s="811"/>
      <c r="E476" s="770"/>
      <c r="F476" s="770"/>
      <c r="G476" s="761"/>
      <c r="H476" s="295" t="s">
        <v>1896</v>
      </c>
      <c r="I476" s="598"/>
      <c r="J476" s="12" t="s">
        <v>205</v>
      </c>
      <c r="K476" s="326">
        <v>1750000</v>
      </c>
      <c r="L476" s="316">
        <v>0</v>
      </c>
      <c r="M476" s="289">
        <v>44593</v>
      </c>
      <c r="N476" s="289">
        <v>44925</v>
      </c>
      <c r="O476" s="272">
        <v>44652</v>
      </c>
      <c r="P476" s="273">
        <f t="shared" si="64"/>
        <v>0.17771084337349397</v>
      </c>
      <c r="Q476" s="273">
        <f t="shared" si="63"/>
        <v>0.17771084337349397</v>
      </c>
      <c r="R476" s="274">
        <v>1</v>
      </c>
      <c r="S476" s="275">
        <v>0.25</v>
      </c>
      <c r="T476" s="275">
        <v>0.5</v>
      </c>
      <c r="U476" s="275">
        <v>0.75</v>
      </c>
      <c r="V476" s="275">
        <v>1</v>
      </c>
      <c r="W476" s="275">
        <v>0</v>
      </c>
      <c r="X476" s="275" t="s">
        <v>1891</v>
      </c>
      <c r="Y476" s="341" t="s">
        <v>53</v>
      </c>
      <c r="Z476" s="316">
        <v>0</v>
      </c>
      <c r="AA476" s="275">
        <v>0.5</v>
      </c>
      <c r="AB476" s="277" t="s">
        <v>1884</v>
      </c>
      <c r="AC476" s="277" t="s">
        <v>53</v>
      </c>
      <c r="AD476" s="276"/>
      <c r="AE476" s="277"/>
      <c r="AF476" s="277"/>
      <c r="AG476" s="276"/>
      <c r="AH476" s="277"/>
      <c r="AI476" s="277"/>
      <c r="AJ476" s="278"/>
    </row>
    <row r="477" spans="1:36" ht="75" hidden="1" customHeight="1" outlineLevel="1" x14ac:dyDescent="0.2">
      <c r="A477" s="637"/>
      <c r="B477" s="584"/>
      <c r="C477" s="584"/>
      <c r="D477" s="811"/>
      <c r="E477" s="770"/>
      <c r="F477" s="770"/>
      <c r="G477" s="761"/>
      <c r="H477" s="295" t="s">
        <v>1897</v>
      </c>
      <c r="I477" s="598"/>
      <c r="J477" s="12" t="s">
        <v>205</v>
      </c>
      <c r="K477" s="326">
        <v>1750000</v>
      </c>
      <c r="L477" s="316">
        <v>0</v>
      </c>
      <c r="M477" s="289">
        <v>44593</v>
      </c>
      <c r="N477" s="289">
        <v>44925</v>
      </c>
      <c r="O477" s="272">
        <v>44652</v>
      </c>
      <c r="P477" s="273">
        <f t="shared" si="64"/>
        <v>0.17771084337349397</v>
      </c>
      <c r="Q477" s="273">
        <f t="shared" ref="Q477:Q478" si="65">+IF(P477&gt;=100,100,IF(P477&lt;=0,0,P477))</f>
        <v>0.17771084337349397</v>
      </c>
      <c r="R477" s="274">
        <v>1</v>
      </c>
      <c r="S477" s="275">
        <v>0.25</v>
      </c>
      <c r="T477" s="275">
        <v>0.5</v>
      </c>
      <c r="U477" s="275">
        <v>0.75</v>
      </c>
      <c r="V477" s="275">
        <v>1</v>
      </c>
      <c r="W477" s="275">
        <v>0</v>
      </c>
      <c r="X477" s="275" t="s">
        <v>1891</v>
      </c>
      <c r="Y477" s="341" t="s">
        <v>53</v>
      </c>
      <c r="Z477" s="316">
        <v>0</v>
      </c>
      <c r="AA477" s="275">
        <v>0.5</v>
      </c>
      <c r="AB477" s="277" t="s">
        <v>1884</v>
      </c>
      <c r="AC477" s="277" t="s">
        <v>53</v>
      </c>
      <c r="AD477" s="276"/>
      <c r="AE477" s="277"/>
      <c r="AF477" s="277"/>
      <c r="AG477" s="276"/>
      <c r="AH477" s="277"/>
      <c r="AI477" s="277"/>
      <c r="AJ477" s="278"/>
    </row>
    <row r="478" spans="1:36" ht="46.5" hidden="1" customHeight="1" outlineLevel="1" x14ac:dyDescent="0.2">
      <c r="A478" s="637"/>
      <c r="B478" s="584"/>
      <c r="C478" s="584"/>
      <c r="D478" s="811"/>
      <c r="E478" s="770"/>
      <c r="F478" s="770"/>
      <c r="G478" s="762"/>
      <c r="H478" s="450" t="s">
        <v>1898</v>
      </c>
      <c r="I478" s="599"/>
      <c r="J478" s="12" t="s">
        <v>1899</v>
      </c>
      <c r="K478" s="326">
        <v>10000000</v>
      </c>
      <c r="L478" s="350"/>
      <c r="M478" s="289">
        <v>44593</v>
      </c>
      <c r="N478" s="289">
        <v>44925</v>
      </c>
      <c r="O478" s="272">
        <v>44652</v>
      </c>
      <c r="P478" s="273">
        <f t="shared" si="64"/>
        <v>0.17771084337349397</v>
      </c>
      <c r="Q478" s="273">
        <f t="shared" si="65"/>
        <v>0.17771084337349397</v>
      </c>
      <c r="R478" s="274">
        <v>1</v>
      </c>
      <c r="S478" s="275">
        <v>0.25</v>
      </c>
      <c r="T478" s="275">
        <v>0.5</v>
      </c>
      <c r="U478" s="275">
        <v>0.75</v>
      </c>
      <c r="V478" s="275">
        <v>1</v>
      </c>
      <c r="W478" s="275">
        <v>0</v>
      </c>
      <c r="X478" s="275" t="s">
        <v>1891</v>
      </c>
      <c r="Y478" s="341" t="s">
        <v>53</v>
      </c>
      <c r="Z478" s="316">
        <v>0</v>
      </c>
      <c r="AA478" s="275">
        <v>0</v>
      </c>
      <c r="AB478" s="277" t="s">
        <v>1900</v>
      </c>
      <c r="AC478" s="277" t="s">
        <v>53</v>
      </c>
      <c r="AD478" s="276"/>
      <c r="AE478" s="277"/>
      <c r="AF478" s="277"/>
      <c r="AG478" s="276"/>
      <c r="AH478" s="277"/>
      <c r="AI478" s="277"/>
      <c r="AJ478" s="278"/>
    </row>
    <row r="479" spans="1:36" ht="46.5" hidden="1" customHeight="1" outlineLevel="1" x14ac:dyDescent="0.2">
      <c r="A479" s="637"/>
      <c r="B479" s="584"/>
      <c r="C479" s="584"/>
      <c r="D479" s="811"/>
      <c r="E479" s="770"/>
      <c r="F479" s="770"/>
      <c r="G479" s="470"/>
      <c r="H479" s="450" t="s">
        <v>1901</v>
      </c>
      <c r="I479" s="427"/>
      <c r="J479" s="12" t="s">
        <v>1902</v>
      </c>
      <c r="K479" s="326">
        <v>50000000</v>
      </c>
      <c r="L479" s="316">
        <v>0</v>
      </c>
      <c r="M479" s="289"/>
      <c r="N479" s="289"/>
      <c r="O479" s="272"/>
      <c r="P479" s="273"/>
      <c r="Q479" s="273"/>
      <c r="R479" s="274"/>
      <c r="S479" s="275"/>
      <c r="T479" s="275"/>
      <c r="U479" s="275"/>
      <c r="V479" s="275"/>
      <c r="W479" s="275">
        <v>0</v>
      </c>
      <c r="X479" s="275" t="s">
        <v>1891</v>
      </c>
      <c r="Y479" s="341" t="s">
        <v>53</v>
      </c>
      <c r="Z479" s="316">
        <v>0</v>
      </c>
      <c r="AA479" s="275">
        <v>0.5</v>
      </c>
      <c r="AB479" s="277" t="s">
        <v>1903</v>
      </c>
      <c r="AC479" s="277" t="s">
        <v>417</v>
      </c>
      <c r="AD479" s="276"/>
      <c r="AE479" s="277"/>
      <c r="AF479" s="277"/>
      <c r="AG479" s="276"/>
      <c r="AH479" s="277"/>
      <c r="AI479" s="277"/>
      <c r="AJ479" s="278"/>
    </row>
    <row r="480" spans="1:36" ht="46.5" hidden="1" customHeight="1" outlineLevel="1" x14ac:dyDescent="0.2">
      <c r="A480" s="637"/>
      <c r="B480" s="584"/>
      <c r="C480" s="584"/>
      <c r="D480" s="811"/>
      <c r="E480" s="770"/>
      <c r="F480" s="770"/>
      <c r="G480" s="470"/>
      <c r="H480" s="450" t="s">
        <v>1904</v>
      </c>
      <c r="I480" s="427"/>
      <c r="J480" s="12" t="s">
        <v>1902</v>
      </c>
      <c r="K480" s="326">
        <v>50000000</v>
      </c>
      <c r="L480" s="316">
        <v>0</v>
      </c>
      <c r="M480" s="289"/>
      <c r="N480" s="289"/>
      <c r="O480" s="272"/>
      <c r="P480" s="273"/>
      <c r="Q480" s="273"/>
      <c r="R480" s="274"/>
      <c r="S480" s="275"/>
      <c r="T480" s="275"/>
      <c r="U480" s="275"/>
      <c r="V480" s="275"/>
      <c r="W480" s="275">
        <v>0</v>
      </c>
      <c r="X480" s="275" t="s">
        <v>1891</v>
      </c>
      <c r="Y480" s="341" t="s">
        <v>53</v>
      </c>
      <c r="Z480" s="316">
        <v>0</v>
      </c>
      <c r="AA480" s="275">
        <v>0.5</v>
      </c>
      <c r="AB480" s="277" t="s">
        <v>1903</v>
      </c>
      <c r="AC480" s="277" t="s">
        <v>417</v>
      </c>
      <c r="AD480" s="276"/>
      <c r="AE480" s="277"/>
      <c r="AF480" s="277"/>
      <c r="AG480" s="276"/>
      <c r="AH480" s="277"/>
      <c r="AI480" s="277"/>
      <c r="AJ480" s="278"/>
    </row>
    <row r="481" spans="1:36" ht="46.5" hidden="1" customHeight="1" outlineLevel="1" x14ac:dyDescent="0.2">
      <c r="A481" s="637"/>
      <c r="B481" s="585"/>
      <c r="C481" s="585"/>
      <c r="D481" s="811"/>
      <c r="E481" s="771"/>
      <c r="F481" s="771"/>
      <c r="G481" s="470"/>
      <c r="H481" s="450" t="s">
        <v>1905</v>
      </c>
      <c r="I481" s="427"/>
      <c r="J481" s="12"/>
      <c r="K481" s="326">
        <v>240000000</v>
      </c>
      <c r="L481" s="316">
        <v>0</v>
      </c>
      <c r="M481" s="289"/>
      <c r="N481" s="289"/>
      <c r="O481" s="272"/>
      <c r="P481" s="273"/>
      <c r="Q481" s="273"/>
      <c r="R481" s="274"/>
      <c r="S481" s="275"/>
      <c r="T481" s="275"/>
      <c r="U481" s="275"/>
      <c r="V481" s="275"/>
      <c r="W481" s="275">
        <v>0</v>
      </c>
      <c r="X481" s="275" t="s">
        <v>1891</v>
      </c>
      <c r="Y481" s="341" t="s">
        <v>53</v>
      </c>
      <c r="Z481" s="316">
        <v>0</v>
      </c>
      <c r="AA481" s="275">
        <v>0</v>
      </c>
      <c r="AB481" s="277" t="s">
        <v>1900</v>
      </c>
      <c r="AC481" s="277" t="s">
        <v>53</v>
      </c>
      <c r="AD481" s="276"/>
      <c r="AE481" s="277"/>
      <c r="AF481" s="277"/>
      <c r="AG481" s="276"/>
      <c r="AH481" s="277"/>
      <c r="AI481" s="277"/>
      <c r="AJ481" s="278"/>
    </row>
    <row r="482" spans="1:36" ht="138.75" hidden="1" customHeight="1" outlineLevel="1" x14ac:dyDescent="0.2">
      <c r="A482" s="637"/>
      <c r="B482" s="546" t="s">
        <v>1575</v>
      </c>
      <c r="C482" s="546" t="s">
        <v>41</v>
      </c>
      <c r="D482" s="812" t="s">
        <v>1906</v>
      </c>
      <c r="E482" s="588" t="s">
        <v>1277</v>
      </c>
      <c r="F482" s="588" t="s">
        <v>1343</v>
      </c>
      <c r="G482" s="594" t="s">
        <v>251</v>
      </c>
      <c r="H482" s="296" t="s">
        <v>1907</v>
      </c>
      <c r="I482" s="594" t="s">
        <v>1280</v>
      </c>
      <c r="J482" s="12" t="s">
        <v>1116</v>
      </c>
      <c r="K482" s="12" t="s">
        <v>53</v>
      </c>
      <c r="L482" s="316">
        <v>0</v>
      </c>
      <c r="M482" s="289">
        <v>44593</v>
      </c>
      <c r="N482" s="289">
        <v>44925</v>
      </c>
      <c r="O482" s="272">
        <v>44652</v>
      </c>
      <c r="P482" s="273">
        <f t="shared" si="64"/>
        <v>0.17771084337349397</v>
      </c>
      <c r="Q482" s="273">
        <f t="shared" si="63"/>
        <v>0.17771084337349397</v>
      </c>
      <c r="R482" s="274" t="s">
        <v>53</v>
      </c>
      <c r="S482" s="275" t="s">
        <v>53</v>
      </c>
      <c r="T482" s="275" t="s">
        <v>53</v>
      </c>
      <c r="U482" s="275" t="s">
        <v>53</v>
      </c>
      <c r="V482" s="275" t="s">
        <v>53</v>
      </c>
      <c r="W482" s="275">
        <v>0.25</v>
      </c>
      <c r="X482" s="275" t="s">
        <v>1908</v>
      </c>
      <c r="Y482" s="341" t="s">
        <v>267</v>
      </c>
      <c r="Z482" s="316">
        <v>0</v>
      </c>
      <c r="AA482" s="275">
        <v>0.5</v>
      </c>
      <c r="AB482" s="277" t="s">
        <v>1909</v>
      </c>
      <c r="AC482" s="277" t="s">
        <v>1478</v>
      </c>
      <c r="AD482" s="276"/>
      <c r="AE482" s="277"/>
      <c r="AF482" s="277"/>
      <c r="AG482" s="276"/>
      <c r="AH482" s="277"/>
      <c r="AI482" s="277"/>
      <c r="AJ482" s="278"/>
    </row>
    <row r="483" spans="1:36" ht="94.5" hidden="1" customHeight="1" outlineLevel="1" x14ac:dyDescent="0.2">
      <c r="A483" s="637"/>
      <c r="B483" s="581"/>
      <c r="C483" s="581"/>
      <c r="D483" s="812"/>
      <c r="E483" s="589"/>
      <c r="F483" s="589"/>
      <c r="G483" s="595"/>
      <c r="H483" s="296" t="s">
        <v>1910</v>
      </c>
      <c r="I483" s="595"/>
      <c r="J483" s="12" t="s">
        <v>205</v>
      </c>
      <c r="K483" s="326">
        <v>19000000</v>
      </c>
      <c r="L483" s="316">
        <v>0</v>
      </c>
      <c r="M483" s="289">
        <v>44593</v>
      </c>
      <c r="N483" s="289">
        <v>44925</v>
      </c>
      <c r="O483" s="272">
        <v>44652</v>
      </c>
      <c r="P483" s="273">
        <f t="shared" si="64"/>
        <v>0.17771084337349397</v>
      </c>
      <c r="Q483" s="273">
        <f t="shared" ref="Q483:Q488" si="66">+IF(P483&gt;=100,100,IF(P483&lt;=0,0,P483))</f>
        <v>0.17771084337349397</v>
      </c>
      <c r="R483" s="274">
        <v>1</v>
      </c>
      <c r="S483" s="275">
        <v>0.25</v>
      </c>
      <c r="T483" s="275">
        <v>0.5</v>
      </c>
      <c r="U483" s="275">
        <v>0.75</v>
      </c>
      <c r="V483" s="275">
        <v>1</v>
      </c>
      <c r="W483" s="275">
        <v>0</v>
      </c>
      <c r="X483" s="275" t="s">
        <v>1366</v>
      </c>
      <c r="Y483" s="341" t="s">
        <v>53</v>
      </c>
      <c r="Z483" s="316">
        <v>0</v>
      </c>
      <c r="AA483" s="275">
        <v>0</v>
      </c>
      <c r="AB483" s="277" t="s">
        <v>1911</v>
      </c>
      <c r="AC483" s="341" t="s">
        <v>53</v>
      </c>
      <c r="AD483" s="276"/>
      <c r="AE483" s="277"/>
      <c r="AF483" s="277"/>
      <c r="AG483" s="276"/>
      <c r="AH483" s="277"/>
      <c r="AI483" s="277"/>
      <c r="AJ483" s="278"/>
    </row>
    <row r="484" spans="1:36" ht="63" hidden="1" customHeight="1" outlineLevel="1" x14ac:dyDescent="0.2">
      <c r="A484" s="637"/>
      <c r="B484" s="581"/>
      <c r="C484" s="581"/>
      <c r="D484" s="812"/>
      <c r="E484" s="589"/>
      <c r="F484" s="589"/>
      <c r="G484" s="595"/>
      <c r="H484" s="296" t="s">
        <v>1912</v>
      </c>
      <c r="I484" s="595"/>
      <c r="J484" s="12" t="s">
        <v>1913</v>
      </c>
      <c r="K484" s="326">
        <v>6000000</v>
      </c>
      <c r="L484" s="316">
        <v>0</v>
      </c>
      <c r="M484" s="289">
        <v>44593</v>
      </c>
      <c r="N484" s="289">
        <v>44925</v>
      </c>
      <c r="O484" s="272">
        <v>44652</v>
      </c>
      <c r="P484" s="273">
        <f t="shared" si="64"/>
        <v>0.17771084337349397</v>
      </c>
      <c r="Q484" s="273">
        <f t="shared" si="66"/>
        <v>0.17771084337349397</v>
      </c>
      <c r="R484" s="274">
        <v>1</v>
      </c>
      <c r="S484" s="275">
        <v>0.25</v>
      </c>
      <c r="T484" s="275">
        <v>0.5</v>
      </c>
      <c r="U484" s="275">
        <v>0.75</v>
      </c>
      <c r="V484" s="275">
        <v>1</v>
      </c>
      <c r="W484" s="275">
        <v>0</v>
      </c>
      <c r="X484" s="275" t="s">
        <v>1914</v>
      </c>
      <c r="Y484" s="341" t="s">
        <v>53</v>
      </c>
      <c r="Z484" s="316">
        <v>2000000</v>
      </c>
      <c r="AA484" s="275">
        <v>0.5</v>
      </c>
      <c r="AB484" s="277" t="s">
        <v>1915</v>
      </c>
      <c r="AC484" s="341" t="s">
        <v>53</v>
      </c>
      <c r="AD484" s="276"/>
      <c r="AE484" s="277"/>
      <c r="AF484" s="277"/>
      <c r="AG484" s="276"/>
      <c r="AH484" s="277"/>
      <c r="AI484" s="277"/>
      <c r="AJ484" s="278"/>
    </row>
    <row r="485" spans="1:36" ht="72" hidden="1" customHeight="1" outlineLevel="1" x14ac:dyDescent="0.2">
      <c r="A485" s="637"/>
      <c r="B485" s="581"/>
      <c r="C485" s="581"/>
      <c r="D485" s="812"/>
      <c r="E485" s="589"/>
      <c r="F485" s="589"/>
      <c r="G485" s="595"/>
      <c r="H485" s="296" t="s">
        <v>1916</v>
      </c>
      <c r="I485" s="595"/>
      <c r="J485" s="12" t="s">
        <v>205</v>
      </c>
      <c r="K485" s="326">
        <v>4000000</v>
      </c>
      <c r="L485" s="316">
        <v>0</v>
      </c>
      <c r="M485" s="289">
        <v>44593</v>
      </c>
      <c r="N485" s="289">
        <v>44925</v>
      </c>
      <c r="O485" s="272">
        <v>44652</v>
      </c>
      <c r="P485" s="273">
        <f t="shared" si="64"/>
        <v>0.17771084337349397</v>
      </c>
      <c r="Q485" s="273">
        <f t="shared" si="66"/>
        <v>0.17771084337349397</v>
      </c>
      <c r="R485" s="274">
        <v>1</v>
      </c>
      <c r="S485" s="275">
        <v>0.25</v>
      </c>
      <c r="T485" s="275">
        <v>0.5</v>
      </c>
      <c r="U485" s="275">
        <v>0.75</v>
      </c>
      <c r="V485" s="275">
        <v>1</v>
      </c>
      <c r="W485" s="275">
        <v>0</v>
      </c>
      <c r="X485" s="275" t="s">
        <v>1891</v>
      </c>
      <c r="Y485" s="341" t="s">
        <v>53</v>
      </c>
      <c r="Z485" s="316">
        <v>0</v>
      </c>
      <c r="AA485" s="275">
        <v>0</v>
      </c>
      <c r="AB485" s="275" t="s">
        <v>1891</v>
      </c>
      <c r="AC485" s="341" t="s">
        <v>53</v>
      </c>
      <c r="AD485" s="276"/>
      <c r="AE485" s="277"/>
      <c r="AF485" s="277"/>
      <c r="AG485" s="276"/>
      <c r="AH485" s="277"/>
      <c r="AI485" s="277"/>
      <c r="AJ485" s="278"/>
    </row>
    <row r="486" spans="1:36" ht="46.5" hidden="1" customHeight="1" outlineLevel="1" x14ac:dyDescent="0.2">
      <c r="A486" s="637"/>
      <c r="B486" s="581"/>
      <c r="C486" s="581"/>
      <c r="D486" s="812"/>
      <c r="E486" s="589"/>
      <c r="F486" s="589"/>
      <c r="G486" s="595"/>
      <c r="H486" s="296" t="s">
        <v>1917</v>
      </c>
      <c r="I486" s="595"/>
      <c r="J486" s="12" t="s">
        <v>205</v>
      </c>
      <c r="K486" s="326">
        <v>6000000</v>
      </c>
      <c r="L486" s="316">
        <v>0</v>
      </c>
      <c r="M486" s="289">
        <v>44593</v>
      </c>
      <c r="N486" s="289">
        <v>44925</v>
      </c>
      <c r="O486" s="272">
        <v>44652</v>
      </c>
      <c r="P486" s="273">
        <f t="shared" si="64"/>
        <v>0.17771084337349397</v>
      </c>
      <c r="Q486" s="273">
        <f t="shared" si="66"/>
        <v>0.17771084337349397</v>
      </c>
      <c r="R486" s="274">
        <v>1</v>
      </c>
      <c r="S486" s="275">
        <v>0.25</v>
      </c>
      <c r="T486" s="275">
        <v>0.5</v>
      </c>
      <c r="U486" s="275">
        <v>0.75</v>
      </c>
      <c r="V486" s="275">
        <v>1</v>
      </c>
      <c r="W486" s="275">
        <v>0.3</v>
      </c>
      <c r="X486" s="275" t="s">
        <v>1918</v>
      </c>
      <c r="Y486" s="341" t="s">
        <v>53</v>
      </c>
      <c r="Z486" s="316">
        <v>0</v>
      </c>
      <c r="AA486" s="275">
        <v>0.3</v>
      </c>
      <c r="AB486" s="275" t="s">
        <v>1919</v>
      </c>
      <c r="AC486" s="341" t="s">
        <v>53</v>
      </c>
      <c r="AD486" s="276"/>
      <c r="AE486" s="277"/>
      <c r="AF486" s="277"/>
      <c r="AG486" s="276"/>
      <c r="AH486" s="277"/>
      <c r="AI486" s="277"/>
      <c r="AJ486" s="278"/>
    </row>
    <row r="487" spans="1:36" ht="161.25" hidden="1" customHeight="1" outlineLevel="1" x14ac:dyDescent="0.2">
      <c r="A487" s="637"/>
      <c r="B487" s="581"/>
      <c r="C487" s="581"/>
      <c r="D487" s="812"/>
      <c r="E487" s="589"/>
      <c r="F487" s="589"/>
      <c r="G487" s="595"/>
      <c r="H487" s="296" t="s">
        <v>1920</v>
      </c>
      <c r="I487" s="595"/>
      <c r="J487" s="12" t="s">
        <v>205</v>
      </c>
      <c r="K487" s="326">
        <v>20000000</v>
      </c>
      <c r="L487" s="316">
        <v>0</v>
      </c>
      <c r="M487" s="289">
        <v>44593</v>
      </c>
      <c r="N487" s="289">
        <v>44925</v>
      </c>
      <c r="O487" s="272">
        <v>44652</v>
      </c>
      <c r="P487" s="273">
        <f t="shared" si="64"/>
        <v>0.17771084337349397</v>
      </c>
      <c r="Q487" s="273">
        <f t="shared" si="66"/>
        <v>0.17771084337349397</v>
      </c>
      <c r="R487" s="274">
        <v>1</v>
      </c>
      <c r="S487" s="275">
        <v>0.25</v>
      </c>
      <c r="T487" s="275">
        <v>0.5</v>
      </c>
      <c r="U487" s="275">
        <v>0.75</v>
      </c>
      <c r="V487" s="275">
        <v>1</v>
      </c>
      <c r="W487" s="275">
        <v>0</v>
      </c>
      <c r="X487" s="275" t="s">
        <v>1811</v>
      </c>
      <c r="Y487" s="341" t="s">
        <v>53</v>
      </c>
      <c r="Z487" s="316">
        <v>0</v>
      </c>
      <c r="AA487" s="275">
        <v>0</v>
      </c>
      <c r="AB487" s="275" t="s">
        <v>1811</v>
      </c>
      <c r="AC487" s="341" t="s">
        <v>53</v>
      </c>
      <c r="AD487" s="276"/>
      <c r="AE487" s="277"/>
      <c r="AF487" s="277"/>
      <c r="AG487" s="276"/>
      <c r="AH487" s="277"/>
      <c r="AI487" s="277"/>
      <c r="AJ487" s="278"/>
    </row>
    <row r="488" spans="1:36" ht="56.25" hidden="1" customHeight="1" outlineLevel="1" x14ac:dyDescent="0.2">
      <c r="A488" s="637"/>
      <c r="B488" s="581"/>
      <c r="C488" s="581"/>
      <c r="D488" s="812"/>
      <c r="E488" s="590"/>
      <c r="F488" s="590"/>
      <c r="G488" s="596"/>
      <c r="H488" s="296" t="s">
        <v>1921</v>
      </c>
      <c r="I488" s="596"/>
      <c r="J488" s="12" t="s">
        <v>1922</v>
      </c>
      <c r="K488" s="326">
        <v>25000000</v>
      </c>
      <c r="L488" s="316">
        <v>0</v>
      </c>
      <c r="M488" s="289">
        <v>44593</v>
      </c>
      <c r="N488" s="289">
        <v>44925</v>
      </c>
      <c r="O488" s="272">
        <v>44652</v>
      </c>
      <c r="P488" s="273">
        <f t="shared" si="64"/>
        <v>0.17771084337349397</v>
      </c>
      <c r="Q488" s="273">
        <f t="shared" si="66"/>
        <v>0.17771084337349397</v>
      </c>
      <c r="R488" s="274">
        <v>1</v>
      </c>
      <c r="S488" s="275">
        <v>0.25</v>
      </c>
      <c r="T488" s="275">
        <v>0.5</v>
      </c>
      <c r="U488" s="275">
        <v>0.75</v>
      </c>
      <c r="V488" s="275">
        <v>1</v>
      </c>
      <c r="W488" s="275">
        <v>0</v>
      </c>
      <c r="X488" s="275" t="s">
        <v>1366</v>
      </c>
      <c r="Y488" s="341" t="s">
        <v>53</v>
      </c>
      <c r="Z488" s="316">
        <v>0</v>
      </c>
      <c r="AA488" s="275">
        <v>0</v>
      </c>
      <c r="AB488" s="277" t="s">
        <v>1923</v>
      </c>
      <c r="AC488" s="341" t="s">
        <v>53</v>
      </c>
      <c r="AD488" s="276"/>
      <c r="AE488" s="277"/>
      <c r="AF488" s="277"/>
      <c r="AG488" s="276"/>
      <c r="AH488" s="277"/>
      <c r="AI488" s="277"/>
      <c r="AJ488" s="278"/>
    </row>
    <row r="489" spans="1:36" ht="57" customHeight="1" collapsed="1" thickBot="1" x14ac:dyDescent="0.25">
      <c r="A489" s="642" t="s">
        <v>1924</v>
      </c>
      <c r="B489" s="643"/>
      <c r="C489" s="643"/>
      <c r="D489" s="643"/>
      <c r="E489" s="643"/>
      <c r="F489" s="643"/>
      <c r="G489" s="643"/>
      <c r="H489" s="643"/>
      <c r="I489" s="643"/>
      <c r="J489" s="643"/>
      <c r="K489" s="643"/>
      <c r="L489" s="643"/>
      <c r="M489" s="643"/>
      <c r="N489" s="644"/>
      <c r="O489" s="327">
        <v>44652</v>
      </c>
      <c r="P489" s="273"/>
      <c r="Q489" s="382">
        <f>+AVERAGE((Q383:Q488))</f>
        <v>0.17771084337349352</v>
      </c>
      <c r="R489" s="285">
        <v>100</v>
      </c>
      <c r="S489" s="610"/>
      <c r="T489" s="611"/>
      <c r="U489" s="611"/>
      <c r="V489" s="612"/>
      <c r="W489" s="381">
        <f>AVERAGE(W383:W488)</f>
        <v>0.14361904761904762</v>
      </c>
      <c r="X489" s="340"/>
      <c r="Y489" s="342"/>
      <c r="Z489" s="316"/>
      <c r="AA489" s="381">
        <f>AVERAGE(AA383:AA488)</f>
        <v>0.40209523809523806</v>
      </c>
      <c r="AB489" s="290"/>
      <c r="AC489" s="290"/>
      <c r="AD489" s="291"/>
      <c r="AE489" s="290"/>
      <c r="AF489" s="290"/>
      <c r="AG489" s="291"/>
      <c r="AH489" s="290"/>
      <c r="AI489" s="290"/>
      <c r="AJ489" s="278"/>
    </row>
    <row r="490" spans="1:36" ht="18" customHeight="1" x14ac:dyDescent="0.2">
      <c r="A490" s="278"/>
      <c r="B490" s="278"/>
      <c r="C490" s="278"/>
      <c r="D490" s="278"/>
      <c r="E490" s="292"/>
      <c r="F490" s="292"/>
      <c r="G490" s="278"/>
      <c r="H490" s="278"/>
      <c r="I490" s="278"/>
      <c r="J490" s="293" t="s">
        <v>1925</v>
      </c>
      <c r="K490" s="293"/>
      <c r="L490" s="293"/>
      <c r="M490" s="278"/>
      <c r="N490" s="278"/>
      <c r="O490" s="328"/>
      <c r="P490" s="278"/>
      <c r="Q490" s="278"/>
      <c r="R490" s="278"/>
      <c r="S490" s="278"/>
      <c r="T490" s="278"/>
      <c r="U490" s="278"/>
      <c r="V490" s="278"/>
      <c r="W490" s="279"/>
      <c r="X490" s="278"/>
      <c r="Y490" s="278"/>
      <c r="Z490" s="278"/>
      <c r="AA490" s="294"/>
      <c r="AB490" s="278"/>
      <c r="AC490" s="278"/>
      <c r="AD490" s="294"/>
      <c r="AE490" s="278"/>
      <c r="AF490" s="278"/>
      <c r="AG490" s="294"/>
      <c r="AH490" s="278"/>
      <c r="AI490" s="278"/>
      <c r="AJ490" s="278"/>
    </row>
    <row r="491" spans="1:36" ht="45" thickBot="1" x14ac:dyDescent="0.25">
      <c r="F491" s="258"/>
    </row>
    <row r="492" spans="1:36" ht="13.9" customHeight="1" thickTop="1" x14ac:dyDescent="0.2">
      <c r="A492" s="619" t="s">
        <v>1926</v>
      </c>
      <c r="B492" s="620"/>
      <c r="C492" s="620"/>
      <c r="D492" s="620"/>
      <c r="E492" s="620"/>
      <c r="F492" s="620"/>
      <c r="G492" s="620"/>
      <c r="H492" s="620"/>
      <c r="I492" s="621"/>
      <c r="J492" s="638" t="s">
        <v>1927</v>
      </c>
      <c r="K492" s="645"/>
      <c r="L492" s="645"/>
      <c r="M492" s="645"/>
      <c r="N492" s="645"/>
      <c r="O492" s="645"/>
      <c r="P492" s="645"/>
      <c r="Q492" s="645"/>
      <c r="R492" s="646"/>
      <c r="S492" s="638" t="s">
        <v>1928</v>
      </c>
      <c r="T492" s="639"/>
      <c r="U492" s="619" t="s">
        <v>1929</v>
      </c>
      <c r="V492" s="620"/>
      <c r="W492" s="620"/>
      <c r="X492" s="652"/>
      <c r="Y492" s="616">
        <v>1</v>
      </c>
      <c r="Z492" s="472"/>
    </row>
    <row r="493" spans="1:36" ht="13.15" customHeight="1" thickBot="1" x14ac:dyDescent="0.25">
      <c r="A493" s="622"/>
      <c r="B493" s="623"/>
      <c r="C493" s="623"/>
      <c r="D493" s="623"/>
      <c r="E493" s="623"/>
      <c r="F493" s="623"/>
      <c r="G493" s="623"/>
      <c r="H493" s="623"/>
      <c r="I493" s="624"/>
      <c r="J493" s="640"/>
      <c r="K493" s="647"/>
      <c r="L493" s="647"/>
      <c r="M493" s="647"/>
      <c r="N493" s="647"/>
      <c r="O493" s="647"/>
      <c r="P493" s="647"/>
      <c r="Q493" s="647"/>
      <c r="R493" s="648"/>
      <c r="S493" s="640"/>
      <c r="T493" s="641"/>
      <c r="U493" s="622"/>
      <c r="V493" s="623"/>
      <c r="W493" s="623"/>
      <c r="X493" s="653"/>
      <c r="Y493" s="617"/>
      <c r="Z493" s="472"/>
    </row>
    <row r="494" spans="1:36" ht="1.9" customHeight="1" x14ac:dyDescent="0.2">
      <c r="F494" s="258"/>
    </row>
    <row r="495" spans="1:36" x14ac:dyDescent="0.2">
      <c r="F495" s="258"/>
    </row>
    <row r="496" spans="1:36" x14ac:dyDescent="0.2">
      <c r="F496" s="258"/>
    </row>
    <row r="497" spans="1:6" x14ac:dyDescent="0.2">
      <c r="A497" s="8"/>
      <c r="F497" s="258"/>
    </row>
    <row r="498" spans="1:6" ht="50.25" customHeight="1" x14ac:dyDescent="0.2">
      <c r="A498" s="8"/>
      <c r="F498" s="258"/>
    </row>
    <row r="499" spans="1:6" x14ac:dyDescent="0.2">
      <c r="A499" s="8"/>
      <c r="F499" s="258"/>
    </row>
    <row r="500" spans="1:6" x14ac:dyDescent="0.2">
      <c r="A500" s="8"/>
      <c r="F500" s="258"/>
    </row>
    <row r="501" spans="1:6" x14ac:dyDescent="0.2">
      <c r="A501" s="8"/>
      <c r="F501" s="258"/>
    </row>
    <row r="502" spans="1:6" x14ac:dyDescent="0.2">
      <c r="A502" s="8"/>
      <c r="F502" s="258"/>
    </row>
    <row r="503" spans="1:6" x14ac:dyDescent="0.2">
      <c r="A503" s="8"/>
      <c r="F503" s="258"/>
    </row>
    <row r="504" spans="1:6" x14ac:dyDescent="0.2">
      <c r="A504" s="8"/>
      <c r="F504" s="258"/>
    </row>
    <row r="505" spans="1:6" x14ac:dyDescent="0.2">
      <c r="F505" s="258"/>
    </row>
    <row r="506" spans="1:6" x14ac:dyDescent="0.2">
      <c r="F506" s="258"/>
    </row>
    <row r="507" spans="1:6" x14ac:dyDescent="0.2">
      <c r="F507" s="258"/>
    </row>
    <row r="508" spans="1:6" x14ac:dyDescent="0.2">
      <c r="F508" s="258"/>
    </row>
    <row r="509" spans="1:6" x14ac:dyDescent="0.2">
      <c r="F509" s="258"/>
    </row>
    <row r="510" spans="1:6" x14ac:dyDescent="0.2">
      <c r="F510" s="258"/>
    </row>
    <row r="511" spans="1:6" x14ac:dyDescent="0.2">
      <c r="F511" s="258"/>
    </row>
    <row r="512" spans="1:6" x14ac:dyDescent="0.2">
      <c r="F512" s="258"/>
    </row>
    <row r="513" spans="6:6" x14ac:dyDescent="0.2">
      <c r="F513" s="258"/>
    </row>
    <row r="514" spans="6:6" x14ac:dyDescent="0.2">
      <c r="F514" s="258"/>
    </row>
    <row r="515" spans="6:6" x14ac:dyDescent="0.2">
      <c r="F515" s="258"/>
    </row>
    <row r="516" spans="6:6" x14ac:dyDescent="0.2">
      <c r="F516" s="258"/>
    </row>
    <row r="517" spans="6:6" x14ac:dyDescent="0.2">
      <c r="F517" s="258"/>
    </row>
    <row r="518" spans="6:6" x14ac:dyDescent="0.2">
      <c r="F518" s="258"/>
    </row>
    <row r="519" spans="6:6" x14ac:dyDescent="0.2">
      <c r="F519" s="258"/>
    </row>
    <row r="520" spans="6:6" x14ac:dyDescent="0.2">
      <c r="F520" s="258"/>
    </row>
    <row r="521" spans="6:6" x14ac:dyDescent="0.2">
      <c r="F521" s="258"/>
    </row>
    <row r="522" spans="6:6" x14ac:dyDescent="0.2">
      <c r="F522" s="258"/>
    </row>
    <row r="523" spans="6:6" x14ac:dyDescent="0.2">
      <c r="F523" s="258"/>
    </row>
    <row r="524" spans="6:6" x14ac:dyDescent="0.2">
      <c r="F524" s="258"/>
    </row>
    <row r="525" spans="6:6" x14ac:dyDescent="0.2">
      <c r="F525" s="258"/>
    </row>
    <row r="526" spans="6:6" x14ac:dyDescent="0.2">
      <c r="F526" s="258"/>
    </row>
    <row r="527" spans="6:6" x14ac:dyDescent="0.2">
      <c r="F527" s="258"/>
    </row>
    <row r="528" spans="6:6" x14ac:dyDescent="0.2">
      <c r="F528" s="258"/>
    </row>
    <row r="529" spans="6:6" x14ac:dyDescent="0.2">
      <c r="F529" s="258"/>
    </row>
    <row r="530" spans="6:6" x14ac:dyDescent="0.2">
      <c r="F530" s="258"/>
    </row>
    <row r="531" spans="6:6" x14ac:dyDescent="0.2">
      <c r="F531" s="258"/>
    </row>
    <row r="532" spans="6:6" x14ac:dyDescent="0.2">
      <c r="F532" s="258"/>
    </row>
    <row r="533" spans="6:6" x14ac:dyDescent="0.2">
      <c r="F533" s="258"/>
    </row>
    <row r="534" spans="6:6" x14ac:dyDescent="0.2">
      <c r="F534" s="258"/>
    </row>
    <row r="535" spans="6:6" x14ac:dyDescent="0.2">
      <c r="F535" s="258"/>
    </row>
    <row r="536" spans="6:6" x14ac:dyDescent="0.2">
      <c r="F536" s="258"/>
    </row>
    <row r="537" spans="6:6" x14ac:dyDescent="0.2">
      <c r="F537" s="258"/>
    </row>
    <row r="538" spans="6:6" x14ac:dyDescent="0.2">
      <c r="F538" s="258"/>
    </row>
    <row r="539" spans="6:6" x14ac:dyDescent="0.2">
      <c r="F539" s="258"/>
    </row>
    <row r="540" spans="6:6" x14ac:dyDescent="0.2">
      <c r="F540" s="258"/>
    </row>
    <row r="541" spans="6:6" x14ac:dyDescent="0.2">
      <c r="F541" s="258"/>
    </row>
    <row r="542" spans="6:6" x14ac:dyDescent="0.2">
      <c r="F542" s="258"/>
    </row>
    <row r="543" spans="6:6" x14ac:dyDescent="0.2">
      <c r="F543" s="258"/>
    </row>
    <row r="544" spans="6:6" x14ac:dyDescent="0.2">
      <c r="F544" s="258"/>
    </row>
    <row r="545" spans="6:6" x14ac:dyDescent="0.2">
      <c r="F545" s="258"/>
    </row>
    <row r="546" spans="6:6" x14ac:dyDescent="0.2">
      <c r="F546" s="258"/>
    </row>
    <row r="547" spans="6:6" x14ac:dyDescent="0.2">
      <c r="F547" s="258"/>
    </row>
    <row r="548" spans="6:6" x14ac:dyDescent="0.2">
      <c r="F548" s="258"/>
    </row>
    <row r="549" spans="6:6" x14ac:dyDescent="0.2">
      <c r="F549" s="258"/>
    </row>
    <row r="550" spans="6:6" x14ac:dyDescent="0.2">
      <c r="F550" s="258"/>
    </row>
    <row r="551" spans="6:6" x14ac:dyDescent="0.2">
      <c r="F551" s="258"/>
    </row>
    <row r="552" spans="6:6" x14ac:dyDescent="0.2">
      <c r="F552" s="258"/>
    </row>
    <row r="553" spans="6:6" x14ac:dyDescent="0.2">
      <c r="F553" s="258"/>
    </row>
    <row r="554" spans="6:6" x14ac:dyDescent="0.2">
      <c r="F554" s="258"/>
    </row>
    <row r="555" spans="6:6" x14ac:dyDescent="0.2">
      <c r="F555" s="258"/>
    </row>
    <row r="556" spans="6:6" x14ac:dyDescent="0.2">
      <c r="F556" s="258"/>
    </row>
    <row r="557" spans="6:6" x14ac:dyDescent="0.2">
      <c r="F557" s="258"/>
    </row>
    <row r="558" spans="6:6" x14ac:dyDescent="0.2">
      <c r="F558" s="258"/>
    </row>
    <row r="559" spans="6:6" x14ac:dyDescent="0.2">
      <c r="F559" s="258"/>
    </row>
    <row r="560" spans="6:6" x14ac:dyDescent="0.2">
      <c r="F560" s="258"/>
    </row>
    <row r="561" spans="6:6" x14ac:dyDescent="0.2">
      <c r="F561" s="258"/>
    </row>
    <row r="562" spans="6:6" x14ac:dyDescent="0.2">
      <c r="F562" s="258"/>
    </row>
    <row r="563" spans="6:6" x14ac:dyDescent="0.2">
      <c r="F563" s="258"/>
    </row>
    <row r="564" spans="6:6" x14ac:dyDescent="0.2">
      <c r="F564" s="258"/>
    </row>
    <row r="565" spans="6:6" x14ac:dyDescent="0.2">
      <c r="F565" s="258"/>
    </row>
    <row r="566" spans="6:6" x14ac:dyDescent="0.2">
      <c r="F566" s="258"/>
    </row>
    <row r="567" spans="6:6" x14ac:dyDescent="0.2">
      <c r="F567" s="258"/>
    </row>
    <row r="568" spans="6:6" x14ac:dyDescent="0.2">
      <c r="F568" s="258"/>
    </row>
    <row r="569" spans="6:6" x14ac:dyDescent="0.2">
      <c r="F569" s="258"/>
    </row>
    <row r="570" spans="6:6" x14ac:dyDescent="0.2">
      <c r="F570" s="258"/>
    </row>
    <row r="571" spans="6:6" x14ac:dyDescent="0.2">
      <c r="F571" s="258"/>
    </row>
    <row r="572" spans="6:6" x14ac:dyDescent="0.2">
      <c r="F572" s="258"/>
    </row>
    <row r="573" spans="6:6" x14ac:dyDescent="0.2">
      <c r="F573" s="258"/>
    </row>
    <row r="574" spans="6:6" x14ac:dyDescent="0.2">
      <c r="F574" s="258"/>
    </row>
    <row r="575" spans="6:6" x14ac:dyDescent="0.2">
      <c r="F575" s="258"/>
    </row>
    <row r="576" spans="6:6" x14ac:dyDescent="0.2">
      <c r="F576" s="258"/>
    </row>
    <row r="577" spans="6:6" x14ac:dyDescent="0.2">
      <c r="F577" s="258"/>
    </row>
    <row r="578" spans="6:6" x14ac:dyDescent="0.2">
      <c r="F578" s="258"/>
    </row>
    <row r="579" spans="6:6" x14ac:dyDescent="0.2">
      <c r="F579" s="258"/>
    </row>
    <row r="580" spans="6:6" x14ac:dyDescent="0.2">
      <c r="F580" s="258"/>
    </row>
    <row r="581" spans="6:6" x14ac:dyDescent="0.2">
      <c r="F581" s="258"/>
    </row>
    <row r="582" spans="6:6" x14ac:dyDescent="0.2">
      <c r="F582" s="258"/>
    </row>
    <row r="583" spans="6:6" x14ac:dyDescent="0.2">
      <c r="F583" s="258"/>
    </row>
    <row r="584" spans="6:6" x14ac:dyDescent="0.2">
      <c r="F584" s="258"/>
    </row>
    <row r="585" spans="6:6" x14ac:dyDescent="0.2">
      <c r="F585" s="258"/>
    </row>
    <row r="586" spans="6:6" x14ac:dyDescent="0.2">
      <c r="F586" s="258"/>
    </row>
    <row r="587" spans="6:6" x14ac:dyDescent="0.2">
      <c r="F587" s="258"/>
    </row>
    <row r="588" spans="6:6" x14ac:dyDescent="0.2">
      <c r="F588" s="258"/>
    </row>
    <row r="589" spans="6:6" x14ac:dyDescent="0.2">
      <c r="F589" s="258"/>
    </row>
    <row r="590" spans="6:6" x14ac:dyDescent="0.2">
      <c r="F590" s="258"/>
    </row>
    <row r="591" spans="6:6" x14ac:dyDescent="0.2">
      <c r="F591" s="258"/>
    </row>
    <row r="592" spans="6:6" x14ac:dyDescent="0.2">
      <c r="F592" s="258"/>
    </row>
    <row r="593" spans="6:6" x14ac:dyDescent="0.2">
      <c r="F593" s="258"/>
    </row>
    <row r="594" spans="6:6" x14ac:dyDescent="0.2">
      <c r="F594" s="258"/>
    </row>
    <row r="595" spans="6:6" x14ac:dyDescent="0.2">
      <c r="F595" s="258"/>
    </row>
    <row r="596" spans="6:6" x14ac:dyDescent="0.2">
      <c r="F596" s="258"/>
    </row>
    <row r="597" spans="6:6" x14ac:dyDescent="0.2">
      <c r="F597" s="258"/>
    </row>
    <row r="598" spans="6:6" x14ac:dyDescent="0.2">
      <c r="F598" s="258"/>
    </row>
    <row r="599" spans="6:6" x14ac:dyDescent="0.2">
      <c r="F599" s="258"/>
    </row>
    <row r="600" spans="6:6" x14ac:dyDescent="0.2">
      <c r="F600" s="258"/>
    </row>
    <row r="601" spans="6:6" x14ac:dyDescent="0.2">
      <c r="F601" s="258"/>
    </row>
    <row r="602" spans="6:6" x14ac:dyDescent="0.2">
      <c r="F602" s="258"/>
    </row>
    <row r="603" spans="6:6" x14ac:dyDescent="0.2">
      <c r="F603" s="258"/>
    </row>
    <row r="604" spans="6:6" x14ac:dyDescent="0.2">
      <c r="F604" s="258"/>
    </row>
    <row r="605" spans="6:6" x14ac:dyDescent="0.2">
      <c r="F605" s="258"/>
    </row>
    <row r="606" spans="6:6" x14ac:dyDescent="0.2">
      <c r="F606" s="258"/>
    </row>
    <row r="607" spans="6:6" x14ac:dyDescent="0.2">
      <c r="F607" s="258"/>
    </row>
    <row r="608" spans="6:6" x14ac:dyDescent="0.2">
      <c r="F608" s="258"/>
    </row>
    <row r="609" spans="6:6" x14ac:dyDescent="0.2">
      <c r="F609" s="258"/>
    </row>
    <row r="610" spans="6:6" x14ac:dyDescent="0.2">
      <c r="F610" s="258"/>
    </row>
    <row r="611" spans="6:6" x14ac:dyDescent="0.2">
      <c r="F611" s="258"/>
    </row>
    <row r="612" spans="6:6" x14ac:dyDescent="0.2">
      <c r="F612" s="258"/>
    </row>
    <row r="613" spans="6:6" x14ac:dyDescent="0.2">
      <c r="F613" s="258"/>
    </row>
    <row r="614" spans="6:6" x14ac:dyDescent="0.2">
      <c r="F614" s="258"/>
    </row>
    <row r="615" spans="6:6" x14ac:dyDescent="0.2">
      <c r="F615" s="258"/>
    </row>
    <row r="616" spans="6:6" x14ac:dyDescent="0.2">
      <c r="F616" s="258"/>
    </row>
    <row r="617" spans="6:6" x14ac:dyDescent="0.2">
      <c r="F617" s="258"/>
    </row>
    <row r="618" spans="6:6" x14ac:dyDescent="0.2">
      <c r="F618" s="258"/>
    </row>
    <row r="619" spans="6:6" x14ac:dyDescent="0.2">
      <c r="F619" s="258"/>
    </row>
    <row r="620" spans="6:6" x14ac:dyDescent="0.2">
      <c r="F620" s="258"/>
    </row>
    <row r="621" spans="6:6" x14ac:dyDescent="0.2">
      <c r="F621" s="258"/>
    </row>
    <row r="622" spans="6:6" x14ac:dyDescent="0.2">
      <c r="F622" s="258"/>
    </row>
    <row r="623" spans="6:6" x14ac:dyDescent="0.2">
      <c r="F623" s="258"/>
    </row>
    <row r="624" spans="6:6" x14ac:dyDescent="0.2">
      <c r="F624" s="258"/>
    </row>
    <row r="625" spans="6:6" x14ac:dyDescent="0.2">
      <c r="F625" s="258"/>
    </row>
    <row r="626" spans="6:6" x14ac:dyDescent="0.2">
      <c r="F626" s="258"/>
    </row>
    <row r="627" spans="6:6" x14ac:dyDescent="0.2">
      <c r="F627" s="258"/>
    </row>
    <row r="628" spans="6:6" x14ac:dyDescent="0.2">
      <c r="F628" s="258"/>
    </row>
    <row r="629" spans="6:6" x14ac:dyDescent="0.2">
      <c r="F629" s="258"/>
    </row>
    <row r="630" spans="6:6" x14ac:dyDescent="0.2">
      <c r="F630" s="258"/>
    </row>
    <row r="631" spans="6:6" x14ac:dyDescent="0.2">
      <c r="F631" s="258"/>
    </row>
    <row r="632" spans="6:6" x14ac:dyDescent="0.2">
      <c r="F632" s="258"/>
    </row>
    <row r="633" spans="6:6" x14ac:dyDescent="0.2">
      <c r="F633" s="258"/>
    </row>
    <row r="634" spans="6:6" x14ac:dyDescent="0.2">
      <c r="F634" s="258"/>
    </row>
    <row r="635" spans="6:6" x14ac:dyDescent="0.2">
      <c r="F635" s="258"/>
    </row>
    <row r="636" spans="6:6" x14ac:dyDescent="0.2">
      <c r="F636" s="258"/>
    </row>
    <row r="637" spans="6:6" x14ac:dyDescent="0.2">
      <c r="F637" s="258"/>
    </row>
    <row r="638" spans="6:6" x14ac:dyDescent="0.2">
      <c r="F638" s="258"/>
    </row>
    <row r="639" spans="6:6" x14ac:dyDescent="0.2">
      <c r="F639" s="258"/>
    </row>
    <row r="640" spans="6:6" x14ac:dyDescent="0.2">
      <c r="F640" s="258"/>
    </row>
    <row r="641" spans="6:6" x14ac:dyDescent="0.2">
      <c r="F641" s="258"/>
    </row>
    <row r="642" spans="6:6" x14ac:dyDescent="0.2">
      <c r="F642" s="258"/>
    </row>
    <row r="643" spans="6:6" x14ac:dyDescent="0.2">
      <c r="F643" s="258"/>
    </row>
    <row r="644" spans="6:6" x14ac:dyDescent="0.2">
      <c r="F644" s="258"/>
    </row>
    <row r="645" spans="6:6" x14ac:dyDescent="0.2">
      <c r="F645" s="258"/>
    </row>
    <row r="646" spans="6:6" x14ac:dyDescent="0.2">
      <c r="F646" s="258"/>
    </row>
    <row r="647" spans="6:6" x14ac:dyDescent="0.2">
      <c r="F647" s="258"/>
    </row>
    <row r="648" spans="6:6" x14ac:dyDescent="0.2">
      <c r="F648" s="258"/>
    </row>
    <row r="649" spans="6:6" x14ac:dyDescent="0.2">
      <c r="F649" s="258"/>
    </row>
    <row r="650" spans="6:6" x14ac:dyDescent="0.2">
      <c r="F650" s="258"/>
    </row>
    <row r="651" spans="6:6" x14ac:dyDescent="0.2">
      <c r="F651" s="258"/>
    </row>
    <row r="652" spans="6:6" x14ac:dyDescent="0.2">
      <c r="F652" s="258"/>
    </row>
    <row r="653" spans="6:6" x14ac:dyDescent="0.2">
      <c r="F653" s="258"/>
    </row>
    <row r="654" spans="6:6" x14ac:dyDescent="0.2">
      <c r="F654" s="258"/>
    </row>
    <row r="655" spans="6:6" x14ac:dyDescent="0.2">
      <c r="F655" s="258"/>
    </row>
    <row r="656" spans="6:6" x14ac:dyDescent="0.2">
      <c r="F656" s="258"/>
    </row>
    <row r="657" spans="6:6" x14ac:dyDescent="0.2">
      <c r="F657" s="258"/>
    </row>
    <row r="658" spans="6:6" x14ac:dyDescent="0.2">
      <c r="F658" s="258"/>
    </row>
    <row r="659" spans="6:6" x14ac:dyDescent="0.2">
      <c r="F659" s="258"/>
    </row>
    <row r="660" spans="6:6" x14ac:dyDescent="0.2">
      <c r="F660" s="258"/>
    </row>
    <row r="661" spans="6:6" x14ac:dyDescent="0.2">
      <c r="F661" s="258"/>
    </row>
    <row r="662" spans="6:6" x14ac:dyDescent="0.2">
      <c r="F662" s="258"/>
    </row>
    <row r="663" spans="6:6" x14ac:dyDescent="0.2">
      <c r="F663" s="258"/>
    </row>
    <row r="664" spans="6:6" x14ac:dyDescent="0.2">
      <c r="F664" s="258"/>
    </row>
    <row r="665" spans="6:6" x14ac:dyDescent="0.2">
      <c r="F665" s="258"/>
    </row>
    <row r="666" spans="6:6" x14ac:dyDescent="0.2">
      <c r="F666" s="258"/>
    </row>
    <row r="667" spans="6:6" x14ac:dyDescent="0.2">
      <c r="F667" s="258"/>
    </row>
    <row r="668" spans="6:6" x14ac:dyDescent="0.2">
      <c r="F668" s="258"/>
    </row>
    <row r="669" spans="6:6" x14ac:dyDescent="0.2">
      <c r="F669" s="258"/>
    </row>
    <row r="670" spans="6:6" x14ac:dyDescent="0.2">
      <c r="F670" s="258"/>
    </row>
    <row r="671" spans="6:6" x14ac:dyDescent="0.2">
      <c r="F671" s="258"/>
    </row>
    <row r="672" spans="6:6" x14ac:dyDescent="0.2">
      <c r="F672" s="258"/>
    </row>
    <row r="673" spans="6:6" x14ac:dyDescent="0.2">
      <c r="F673" s="258"/>
    </row>
    <row r="674" spans="6:6" x14ac:dyDescent="0.2">
      <c r="F674" s="258"/>
    </row>
    <row r="675" spans="6:6" x14ac:dyDescent="0.2">
      <c r="F675" s="258"/>
    </row>
    <row r="676" spans="6:6" x14ac:dyDescent="0.2">
      <c r="F676" s="258"/>
    </row>
    <row r="677" spans="6:6" x14ac:dyDescent="0.2">
      <c r="F677" s="258"/>
    </row>
    <row r="678" spans="6:6" x14ac:dyDescent="0.2">
      <c r="F678" s="258"/>
    </row>
    <row r="679" spans="6:6" x14ac:dyDescent="0.2">
      <c r="F679" s="258"/>
    </row>
    <row r="680" spans="6:6" x14ac:dyDescent="0.2">
      <c r="F680" s="258"/>
    </row>
    <row r="681" spans="6:6" x14ac:dyDescent="0.2">
      <c r="F681" s="258"/>
    </row>
    <row r="682" spans="6:6" x14ac:dyDescent="0.2">
      <c r="F682" s="258"/>
    </row>
    <row r="683" spans="6:6" x14ac:dyDescent="0.2">
      <c r="F683" s="258"/>
    </row>
    <row r="684" spans="6:6" x14ac:dyDescent="0.2">
      <c r="F684" s="258"/>
    </row>
    <row r="685" spans="6:6" x14ac:dyDescent="0.2">
      <c r="F685" s="258"/>
    </row>
    <row r="686" spans="6:6" x14ac:dyDescent="0.2">
      <c r="F686" s="258"/>
    </row>
    <row r="687" spans="6:6" x14ac:dyDescent="0.2">
      <c r="F687" s="258"/>
    </row>
    <row r="688" spans="6:6" x14ac:dyDescent="0.2">
      <c r="F688" s="258"/>
    </row>
    <row r="689" spans="6:6" x14ac:dyDescent="0.2">
      <c r="F689" s="258"/>
    </row>
    <row r="690" spans="6:6" x14ac:dyDescent="0.2">
      <c r="F690" s="258"/>
    </row>
    <row r="691" spans="6:6" x14ac:dyDescent="0.2">
      <c r="F691" s="258"/>
    </row>
    <row r="692" spans="6:6" x14ac:dyDescent="0.2">
      <c r="F692" s="258"/>
    </row>
    <row r="693" spans="6:6" x14ac:dyDescent="0.2">
      <c r="F693" s="258"/>
    </row>
    <row r="694" spans="6:6" x14ac:dyDescent="0.2">
      <c r="F694" s="258"/>
    </row>
    <row r="695" spans="6:6" x14ac:dyDescent="0.2">
      <c r="F695" s="258"/>
    </row>
    <row r="696" spans="6:6" x14ac:dyDescent="0.2">
      <c r="F696" s="258"/>
    </row>
    <row r="697" spans="6:6" x14ac:dyDescent="0.2">
      <c r="F697" s="258"/>
    </row>
    <row r="698" spans="6:6" x14ac:dyDescent="0.2">
      <c r="F698" s="258"/>
    </row>
    <row r="699" spans="6:6" x14ac:dyDescent="0.2">
      <c r="F699" s="258"/>
    </row>
    <row r="700" spans="6:6" x14ac:dyDescent="0.2">
      <c r="F700" s="258"/>
    </row>
    <row r="701" spans="6:6" x14ac:dyDescent="0.2">
      <c r="F701" s="258"/>
    </row>
    <row r="702" spans="6:6" x14ac:dyDescent="0.2">
      <c r="F702" s="258"/>
    </row>
    <row r="703" spans="6:6" x14ac:dyDescent="0.2">
      <c r="F703" s="258"/>
    </row>
    <row r="704" spans="6:6" x14ac:dyDescent="0.2">
      <c r="F704" s="258"/>
    </row>
    <row r="705" spans="6:6" x14ac:dyDescent="0.2">
      <c r="F705" s="258"/>
    </row>
    <row r="706" spans="6:6" x14ac:dyDescent="0.2">
      <c r="F706" s="258"/>
    </row>
    <row r="707" spans="6:6" x14ac:dyDescent="0.2">
      <c r="F707" s="258"/>
    </row>
    <row r="708" spans="6:6" x14ac:dyDescent="0.2">
      <c r="F708" s="258"/>
    </row>
    <row r="709" spans="6:6" x14ac:dyDescent="0.2">
      <c r="F709" s="258"/>
    </row>
    <row r="710" spans="6:6" x14ac:dyDescent="0.2">
      <c r="F710" s="258"/>
    </row>
    <row r="711" spans="6:6" x14ac:dyDescent="0.2">
      <c r="F711" s="258"/>
    </row>
    <row r="712" spans="6:6" x14ac:dyDescent="0.2">
      <c r="F712" s="258"/>
    </row>
    <row r="713" spans="6:6" x14ac:dyDescent="0.2">
      <c r="F713" s="258"/>
    </row>
    <row r="714" spans="6:6" x14ac:dyDescent="0.2">
      <c r="F714" s="258"/>
    </row>
    <row r="715" spans="6:6" x14ac:dyDescent="0.2">
      <c r="F715" s="258"/>
    </row>
    <row r="716" spans="6:6" x14ac:dyDescent="0.2">
      <c r="F716" s="258"/>
    </row>
    <row r="717" spans="6:6" x14ac:dyDescent="0.2">
      <c r="F717" s="258"/>
    </row>
    <row r="718" spans="6:6" x14ac:dyDescent="0.2">
      <c r="F718" s="258"/>
    </row>
    <row r="719" spans="6:6" x14ac:dyDescent="0.2">
      <c r="F719" s="258"/>
    </row>
    <row r="720" spans="6:6" x14ac:dyDescent="0.2">
      <c r="F720" s="258"/>
    </row>
    <row r="721" spans="6:6" x14ac:dyDescent="0.2">
      <c r="F721" s="258"/>
    </row>
    <row r="722" spans="6:6" x14ac:dyDescent="0.2">
      <c r="F722" s="258"/>
    </row>
    <row r="723" spans="6:6" x14ac:dyDescent="0.2">
      <c r="F723" s="258"/>
    </row>
    <row r="724" spans="6:6" x14ac:dyDescent="0.2">
      <c r="F724" s="258"/>
    </row>
    <row r="725" spans="6:6" x14ac:dyDescent="0.2">
      <c r="F725" s="258"/>
    </row>
    <row r="726" spans="6:6" x14ac:dyDescent="0.2">
      <c r="F726" s="258"/>
    </row>
    <row r="727" spans="6:6" x14ac:dyDescent="0.2">
      <c r="F727" s="258"/>
    </row>
    <row r="728" spans="6:6" x14ac:dyDescent="0.2">
      <c r="F728" s="258"/>
    </row>
    <row r="729" spans="6:6" x14ac:dyDescent="0.2">
      <c r="F729" s="258"/>
    </row>
    <row r="730" spans="6:6" x14ac:dyDescent="0.2">
      <c r="F730" s="258"/>
    </row>
    <row r="731" spans="6:6" x14ac:dyDescent="0.2">
      <c r="F731" s="258"/>
    </row>
    <row r="732" spans="6:6" x14ac:dyDescent="0.2">
      <c r="F732" s="258"/>
    </row>
    <row r="733" spans="6:6" x14ac:dyDescent="0.2">
      <c r="F733" s="258"/>
    </row>
    <row r="734" spans="6:6" x14ac:dyDescent="0.2">
      <c r="F734" s="258"/>
    </row>
    <row r="735" spans="6:6" x14ac:dyDescent="0.2">
      <c r="F735" s="258"/>
    </row>
    <row r="736" spans="6:6" x14ac:dyDescent="0.2">
      <c r="F736" s="258"/>
    </row>
    <row r="737" spans="6:6" x14ac:dyDescent="0.2">
      <c r="F737" s="258"/>
    </row>
    <row r="738" spans="6:6" x14ac:dyDescent="0.2">
      <c r="F738" s="258"/>
    </row>
    <row r="739" spans="6:6" x14ac:dyDescent="0.2">
      <c r="F739" s="258"/>
    </row>
    <row r="740" spans="6:6" x14ac:dyDescent="0.2">
      <c r="F740" s="258"/>
    </row>
    <row r="741" spans="6:6" x14ac:dyDescent="0.2">
      <c r="F741" s="258"/>
    </row>
    <row r="742" spans="6:6" x14ac:dyDescent="0.2">
      <c r="F742" s="258"/>
    </row>
    <row r="743" spans="6:6" x14ac:dyDescent="0.2">
      <c r="F743" s="258"/>
    </row>
    <row r="744" spans="6:6" x14ac:dyDescent="0.2">
      <c r="F744" s="258"/>
    </row>
    <row r="745" spans="6:6" x14ac:dyDescent="0.2">
      <c r="F745" s="258"/>
    </row>
    <row r="746" spans="6:6" x14ac:dyDescent="0.2">
      <c r="F746" s="258"/>
    </row>
    <row r="747" spans="6:6" x14ac:dyDescent="0.2">
      <c r="F747" s="258"/>
    </row>
    <row r="748" spans="6:6" x14ac:dyDescent="0.2">
      <c r="F748" s="258"/>
    </row>
    <row r="749" spans="6:6" x14ac:dyDescent="0.2">
      <c r="F749" s="258"/>
    </row>
    <row r="750" spans="6:6" x14ac:dyDescent="0.2">
      <c r="F750" s="258"/>
    </row>
    <row r="751" spans="6:6" x14ac:dyDescent="0.2">
      <c r="F751" s="258"/>
    </row>
    <row r="752" spans="6:6" x14ac:dyDescent="0.2">
      <c r="F752" s="258"/>
    </row>
    <row r="753" spans="6:6" x14ac:dyDescent="0.2">
      <c r="F753" s="258"/>
    </row>
    <row r="754" spans="6:6" x14ac:dyDescent="0.2">
      <c r="F754" s="258"/>
    </row>
    <row r="755" spans="6:6" x14ac:dyDescent="0.2">
      <c r="F755" s="258"/>
    </row>
    <row r="756" spans="6:6" x14ac:dyDescent="0.2">
      <c r="F756" s="258"/>
    </row>
    <row r="757" spans="6:6" x14ac:dyDescent="0.2">
      <c r="F757" s="258"/>
    </row>
    <row r="758" spans="6:6" x14ac:dyDescent="0.2">
      <c r="F758" s="258"/>
    </row>
    <row r="759" spans="6:6" x14ac:dyDescent="0.2">
      <c r="F759" s="258"/>
    </row>
    <row r="760" spans="6:6" x14ac:dyDescent="0.2">
      <c r="F760" s="258"/>
    </row>
    <row r="761" spans="6:6" x14ac:dyDescent="0.2">
      <c r="F761" s="258"/>
    </row>
    <row r="762" spans="6:6" x14ac:dyDescent="0.2">
      <c r="F762" s="258"/>
    </row>
    <row r="763" spans="6:6" x14ac:dyDescent="0.2">
      <c r="F763" s="258"/>
    </row>
    <row r="764" spans="6:6" x14ac:dyDescent="0.2">
      <c r="F764" s="258"/>
    </row>
    <row r="765" spans="6:6" x14ac:dyDescent="0.2">
      <c r="F765" s="258"/>
    </row>
    <row r="766" spans="6:6" x14ac:dyDescent="0.2">
      <c r="F766" s="258"/>
    </row>
    <row r="767" spans="6:6" x14ac:dyDescent="0.2">
      <c r="F767" s="258"/>
    </row>
    <row r="768" spans="6:6" x14ac:dyDescent="0.2">
      <c r="F768" s="258"/>
    </row>
    <row r="769" spans="6:6" x14ac:dyDescent="0.2">
      <c r="F769" s="258"/>
    </row>
    <row r="770" spans="6:6" x14ac:dyDescent="0.2">
      <c r="F770" s="258"/>
    </row>
    <row r="771" spans="6:6" x14ac:dyDescent="0.2">
      <c r="F771" s="258"/>
    </row>
    <row r="772" spans="6:6" x14ac:dyDescent="0.2">
      <c r="F772" s="258"/>
    </row>
    <row r="773" spans="6:6" x14ac:dyDescent="0.2">
      <c r="F773" s="258"/>
    </row>
    <row r="774" spans="6:6" x14ac:dyDescent="0.2">
      <c r="F774" s="258"/>
    </row>
    <row r="775" spans="6:6" x14ac:dyDescent="0.2">
      <c r="F775" s="258"/>
    </row>
    <row r="776" spans="6:6" x14ac:dyDescent="0.2">
      <c r="F776" s="258"/>
    </row>
    <row r="777" spans="6:6" x14ac:dyDescent="0.2">
      <c r="F777" s="258"/>
    </row>
    <row r="778" spans="6:6" x14ac:dyDescent="0.2">
      <c r="F778" s="258"/>
    </row>
    <row r="779" spans="6:6" x14ac:dyDescent="0.2">
      <c r="F779" s="258"/>
    </row>
    <row r="780" spans="6:6" x14ac:dyDescent="0.2">
      <c r="F780" s="258"/>
    </row>
    <row r="781" spans="6:6" x14ac:dyDescent="0.2">
      <c r="F781" s="258"/>
    </row>
    <row r="782" spans="6:6" x14ac:dyDescent="0.2">
      <c r="F782" s="258"/>
    </row>
    <row r="783" spans="6:6" x14ac:dyDescent="0.2">
      <c r="F783" s="258"/>
    </row>
    <row r="784" spans="6:6" x14ac:dyDescent="0.2">
      <c r="F784" s="258"/>
    </row>
    <row r="785" spans="6:6" x14ac:dyDescent="0.2">
      <c r="F785" s="258"/>
    </row>
    <row r="786" spans="6:6" x14ac:dyDescent="0.2">
      <c r="F786" s="258"/>
    </row>
    <row r="787" spans="6:6" x14ac:dyDescent="0.2">
      <c r="F787" s="258"/>
    </row>
    <row r="788" spans="6:6" x14ac:dyDescent="0.2">
      <c r="F788" s="258"/>
    </row>
    <row r="789" spans="6:6" x14ac:dyDescent="0.2">
      <c r="F789" s="258"/>
    </row>
    <row r="790" spans="6:6" x14ac:dyDescent="0.2">
      <c r="F790" s="258"/>
    </row>
    <row r="791" spans="6:6" x14ac:dyDescent="0.2">
      <c r="F791" s="258"/>
    </row>
    <row r="792" spans="6:6" x14ac:dyDescent="0.2">
      <c r="F792" s="258"/>
    </row>
    <row r="793" spans="6:6" x14ac:dyDescent="0.2">
      <c r="F793" s="258"/>
    </row>
    <row r="794" spans="6:6" x14ac:dyDescent="0.2">
      <c r="F794" s="258"/>
    </row>
    <row r="795" spans="6:6" x14ac:dyDescent="0.2">
      <c r="F795" s="258"/>
    </row>
    <row r="796" spans="6:6" x14ac:dyDescent="0.2">
      <c r="F796" s="258"/>
    </row>
    <row r="797" spans="6:6" x14ac:dyDescent="0.2">
      <c r="F797" s="258"/>
    </row>
    <row r="798" spans="6:6" x14ac:dyDescent="0.2">
      <c r="F798" s="258"/>
    </row>
    <row r="799" spans="6:6" x14ac:dyDescent="0.2">
      <c r="F799" s="258"/>
    </row>
    <row r="800" spans="6:6" x14ac:dyDescent="0.2">
      <c r="F800" s="258"/>
    </row>
    <row r="801" spans="6:6" x14ac:dyDescent="0.2">
      <c r="F801" s="258"/>
    </row>
    <row r="802" spans="6:6" x14ac:dyDescent="0.2">
      <c r="F802" s="258"/>
    </row>
    <row r="803" spans="6:6" x14ac:dyDescent="0.2">
      <c r="F803" s="258"/>
    </row>
    <row r="804" spans="6:6" x14ac:dyDescent="0.2">
      <c r="F804" s="258"/>
    </row>
    <row r="805" spans="6:6" x14ac:dyDescent="0.2">
      <c r="F805" s="258"/>
    </row>
    <row r="806" spans="6:6" x14ac:dyDescent="0.2">
      <c r="F806" s="258"/>
    </row>
    <row r="807" spans="6:6" x14ac:dyDescent="0.2">
      <c r="F807" s="258"/>
    </row>
    <row r="808" spans="6:6" x14ac:dyDescent="0.2">
      <c r="F808" s="258"/>
    </row>
    <row r="809" spans="6:6" x14ac:dyDescent="0.2">
      <c r="F809" s="258"/>
    </row>
    <row r="810" spans="6:6" x14ac:dyDescent="0.2">
      <c r="F810" s="258"/>
    </row>
    <row r="811" spans="6:6" x14ac:dyDescent="0.2">
      <c r="F811" s="258"/>
    </row>
    <row r="812" spans="6:6" x14ac:dyDescent="0.2">
      <c r="F812" s="258"/>
    </row>
    <row r="813" spans="6:6" x14ac:dyDescent="0.2">
      <c r="F813" s="258"/>
    </row>
    <row r="814" spans="6:6" x14ac:dyDescent="0.2">
      <c r="F814" s="258"/>
    </row>
    <row r="815" spans="6:6" x14ac:dyDescent="0.2">
      <c r="F815" s="258"/>
    </row>
    <row r="816" spans="6:6" x14ac:dyDescent="0.2">
      <c r="F816" s="258"/>
    </row>
    <row r="817" spans="6:6" x14ac:dyDescent="0.2">
      <c r="F817" s="258"/>
    </row>
    <row r="818" spans="6:6" x14ac:dyDescent="0.2">
      <c r="F818" s="258"/>
    </row>
    <row r="819" spans="6:6" x14ac:dyDescent="0.2">
      <c r="F819" s="258"/>
    </row>
    <row r="820" spans="6:6" x14ac:dyDescent="0.2">
      <c r="F820" s="258"/>
    </row>
    <row r="821" spans="6:6" x14ac:dyDescent="0.2">
      <c r="F821" s="258"/>
    </row>
    <row r="822" spans="6:6" x14ac:dyDescent="0.2">
      <c r="F822" s="258"/>
    </row>
    <row r="823" spans="6:6" x14ac:dyDescent="0.2">
      <c r="F823" s="258"/>
    </row>
    <row r="824" spans="6:6" x14ac:dyDescent="0.2">
      <c r="F824" s="258"/>
    </row>
    <row r="825" spans="6:6" x14ac:dyDescent="0.2">
      <c r="F825" s="258"/>
    </row>
    <row r="826" spans="6:6" x14ac:dyDescent="0.2">
      <c r="F826" s="258"/>
    </row>
    <row r="827" spans="6:6" x14ac:dyDescent="0.2">
      <c r="F827" s="258"/>
    </row>
    <row r="828" spans="6:6" x14ac:dyDescent="0.2">
      <c r="F828" s="258"/>
    </row>
    <row r="829" spans="6:6" x14ac:dyDescent="0.2">
      <c r="F829" s="258"/>
    </row>
    <row r="830" spans="6:6" x14ac:dyDescent="0.2">
      <c r="F830" s="258"/>
    </row>
    <row r="831" spans="6:6" x14ac:dyDescent="0.2">
      <c r="F831" s="258"/>
    </row>
    <row r="832" spans="6:6" x14ac:dyDescent="0.2">
      <c r="F832" s="258"/>
    </row>
    <row r="833" spans="6:6" x14ac:dyDescent="0.2">
      <c r="F833" s="258"/>
    </row>
    <row r="834" spans="6:6" x14ac:dyDescent="0.2">
      <c r="F834" s="258"/>
    </row>
    <row r="835" spans="6:6" x14ac:dyDescent="0.2">
      <c r="F835" s="258"/>
    </row>
    <row r="836" spans="6:6" x14ac:dyDescent="0.2">
      <c r="F836" s="258"/>
    </row>
    <row r="837" spans="6:6" x14ac:dyDescent="0.2">
      <c r="F837" s="258"/>
    </row>
    <row r="838" spans="6:6" x14ac:dyDescent="0.2">
      <c r="F838" s="258"/>
    </row>
    <row r="839" spans="6:6" x14ac:dyDescent="0.2">
      <c r="F839" s="258"/>
    </row>
    <row r="840" spans="6:6" x14ac:dyDescent="0.2">
      <c r="F840" s="258"/>
    </row>
    <row r="841" spans="6:6" x14ac:dyDescent="0.2">
      <c r="F841" s="258"/>
    </row>
    <row r="842" spans="6:6" x14ac:dyDescent="0.2">
      <c r="F842" s="258"/>
    </row>
    <row r="843" spans="6:6" x14ac:dyDescent="0.2">
      <c r="F843" s="258"/>
    </row>
    <row r="844" spans="6:6" x14ac:dyDescent="0.2">
      <c r="F844" s="258"/>
    </row>
    <row r="845" spans="6:6" x14ac:dyDescent="0.2">
      <c r="F845" s="258"/>
    </row>
    <row r="846" spans="6:6" x14ac:dyDescent="0.2">
      <c r="F846" s="258"/>
    </row>
    <row r="847" spans="6:6" x14ac:dyDescent="0.2">
      <c r="F847" s="258"/>
    </row>
    <row r="848" spans="6:6" x14ac:dyDescent="0.2">
      <c r="F848" s="258"/>
    </row>
    <row r="849" spans="6:6" x14ac:dyDescent="0.2">
      <c r="F849" s="258"/>
    </row>
    <row r="850" spans="6:6" x14ac:dyDescent="0.2">
      <c r="F850" s="258"/>
    </row>
    <row r="851" spans="6:6" x14ac:dyDescent="0.2">
      <c r="F851" s="258"/>
    </row>
    <row r="852" spans="6:6" x14ac:dyDescent="0.2">
      <c r="F852" s="258"/>
    </row>
    <row r="853" spans="6:6" x14ac:dyDescent="0.2">
      <c r="F853" s="258"/>
    </row>
    <row r="854" spans="6:6" x14ac:dyDescent="0.2">
      <c r="F854" s="258"/>
    </row>
    <row r="855" spans="6:6" x14ac:dyDescent="0.2">
      <c r="F855" s="258"/>
    </row>
    <row r="856" spans="6:6" x14ac:dyDescent="0.2">
      <c r="F856" s="258"/>
    </row>
    <row r="857" spans="6:6" x14ac:dyDescent="0.2">
      <c r="F857" s="258"/>
    </row>
    <row r="858" spans="6:6" x14ac:dyDescent="0.2">
      <c r="F858" s="258"/>
    </row>
    <row r="859" spans="6:6" x14ac:dyDescent="0.2">
      <c r="F859" s="258"/>
    </row>
    <row r="860" spans="6:6" x14ac:dyDescent="0.2">
      <c r="F860" s="258"/>
    </row>
    <row r="861" spans="6:6" x14ac:dyDescent="0.2">
      <c r="F861" s="258"/>
    </row>
    <row r="862" spans="6:6" x14ac:dyDescent="0.2">
      <c r="F862" s="258"/>
    </row>
    <row r="863" spans="6:6" x14ac:dyDescent="0.2">
      <c r="F863" s="258"/>
    </row>
    <row r="864" spans="6:6" x14ac:dyDescent="0.2">
      <c r="F864" s="258"/>
    </row>
    <row r="865" spans="6:6" x14ac:dyDescent="0.2">
      <c r="F865" s="258"/>
    </row>
    <row r="866" spans="6:6" x14ac:dyDescent="0.2">
      <c r="F866" s="258"/>
    </row>
    <row r="867" spans="6:6" x14ac:dyDescent="0.2">
      <c r="F867" s="258"/>
    </row>
    <row r="868" spans="6:6" x14ac:dyDescent="0.2">
      <c r="F868" s="258"/>
    </row>
    <row r="869" spans="6:6" x14ac:dyDescent="0.2">
      <c r="F869" s="258"/>
    </row>
    <row r="870" spans="6:6" x14ac:dyDescent="0.2">
      <c r="F870" s="258"/>
    </row>
    <row r="871" spans="6:6" x14ac:dyDescent="0.2">
      <c r="F871" s="258"/>
    </row>
    <row r="872" spans="6:6" x14ac:dyDescent="0.2">
      <c r="F872" s="258"/>
    </row>
    <row r="873" spans="6:6" x14ac:dyDescent="0.2">
      <c r="F873" s="258"/>
    </row>
    <row r="874" spans="6:6" x14ac:dyDescent="0.2">
      <c r="F874" s="258"/>
    </row>
    <row r="875" spans="6:6" x14ac:dyDescent="0.2">
      <c r="F875" s="258"/>
    </row>
    <row r="876" spans="6:6" x14ac:dyDescent="0.2">
      <c r="F876" s="258"/>
    </row>
    <row r="877" spans="6:6" x14ac:dyDescent="0.2">
      <c r="F877" s="258"/>
    </row>
    <row r="878" spans="6:6" x14ac:dyDescent="0.2">
      <c r="F878" s="258"/>
    </row>
    <row r="879" spans="6:6" x14ac:dyDescent="0.2">
      <c r="F879" s="258"/>
    </row>
    <row r="880" spans="6:6" x14ac:dyDescent="0.2">
      <c r="F880" s="258"/>
    </row>
    <row r="881" spans="6:6" x14ac:dyDescent="0.2">
      <c r="F881" s="258"/>
    </row>
    <row r="882" spans="6:6" x14ac:dyDescent="0.2">
      <c r="F882" s="258"/>
    </row>
    <row r="883" spans="6:6" x14ac:dyDescent="0.2">
      <c r="F883" s="258"/>
    </row>
    <row r="884" spans="6:6" x14ac:dyDescent="0.2">
      <c r="F884" s="258"/>
    </row>
    <row r="885" spans="6:6" x14ac:dyDescent="0.2">
      <c r="F885" s="258"/>
    </row>
    <row r="886" spans="6:6" x14ac:dyDescent="0.2">
      <c r="F886" s="258"/>
    </row>
    <row r="887" spans="6:6" x14ac:dyDescent="0.2">
      <c r="F887" s="258"/>
    </row>
    <row r="888" spans="6:6" x14ac:dyDescent="0.2">
      <c r="F888" s="258"/>
    </row>
    <row r="889" spans="6:6" x14ac:dyDescent="0.2">
      <c r="F889" s="258"/>
    </row>
    <row r="890" spans="6:6" x14ac:dyDescent="0.2">
      <c r="F890" s="258"/>
    </row>
    <row r="891" spans="6:6" x14ac:dyDescent="0.2">
      <c r="F891" s="258"/>
    </row>
    <row r="892" spans="6:6" x14ac:dyDescent="0.2">
      <c r="F892" s="258"/>
    </row>
    <row r="893" spans="6:6" x14ac:dyDescent="0.2">
      <c r="F893" s="258"/>
    </row>
    <row r="894" spans="6:6" x14ac:dyDescent="0.2">
      <c r="F894" s="258"/>
    </row>
    <row r="895" spans="6:6" x14ac:dyDescent="0.2">
      <c r="F895" s="258"/>
    </row>
    <row r="896" spans="6:6" x14ac:dyDescent="0.2">
      <c r="F896" s="258"/>
    </row>
    <row r="897" spans="6:6" x14ac:dyDescent="0.2">
      <c r="F897" s="258"/>
    </row>
    <row r="898" spans="6:6" x14ac:dyDescent="0.2">
      <c r="F898" s="258"/>
    </row>
    <row r="899" spans="6:6" x14ac:dyDescent="0.2">
      <c r="F899" s="258"/>
    </row>
    <row r="900" spans="6:6" x14ac:dyDescent="0.2">
      <c r="F900" s="258"/>
    </row>
    <row r="901" spans="6:6" x14ac:dyDescent="0.2">
      <c r="F901" s="258"/>
    </row>
    <row r="902" spans="6:6" x14ac:dyDescent="0.2">
      <c r="F902" s="258"/>
    </row>
    <row r="903" spans="6:6" x14ac:dyDescent="0.2">
      <c r="F903" s="258"/>
    </row>
    <row r="904" spans="6:6" x14ac:dyDescent="0.2">
      <c r="F904" s="258"/>
    </row>
    <row r="905" spans="6:6" x14ac:dyDescent="0.2">
      <c r="F905" s="258"/>
    </row>
    <row r="906" spans="6:6" x14ac:dyDescent="0.2">
      <c r="F906" s="258"/>
    </row>
    <row r="907" spans="6:6" x14ac:dyDescent="0.2">
      <c r="F907" s="258"/>
    </row>
    <row r="908" spans="6:6" x14ac:dyDescent="0.2">
      <c r="F908" s="258"/>
    </row>
    <row r="909" spans="6:6" x14ac:dyDescent="0.2">
      <c r="F909" s="258"/>
    </row>
    <row r="910" spans="6:6" x14ac:dyDescent="0.2">
      <c r="F910" s="258"/>
    </row>
    <row r="911" spans="6:6" x14ac:dyDescent="0.2">
      <c r="F911" s="258"/>
    </row>
    <row r="912" spans="6:6" x14ac:dyDescent="0.2">
      <c r="F912" s="258"/>
    </row>
    <row r="913" spans="6:6" x14ac:dyDescent="0.2">
      <c r="F913" s="258"/>
    </row>
    <row r="914" spans="6:6" x14ac:dyDescent="0.2">
      <c r="F914" s="258"/>
    </row>
    <row r="915" spans="6:6" x14ac:dyDescent="0.2">
      <c r="F915" s="258"/>
    </row>
    <row r="916" spans="6:6" x14ac:dyDescent="0.2">
      <c r="F916" s="258"/>
    </row>
    <row r="917" spans="6:6" x14ac:dyDescent="0.2">
      <c r="F917" s="258"/>
    </row>
    <row r="918" spans="6:6" x14ac:dyDescent="0.2">
      <c r="F918" s="258"/>
    </row>
    <row r="919" spans="6:6" x14ac:dyDescent="0.2">
      <c r="F919" s="258"/>
    </row>
    <row r="920" spans="6:6" x14ac:dyDescent="0.2">
      <c r="F920" s="258"/>
    </row>
    <row r="921" spans="6:6" x14ac:dyDescent="0.2">
      <c r="F921" s="258"/>
    </row>
    <row r="922" spans="6:6" x14ac:dyDescent="0.2">
      <c r="F922" s="258"/>
    </row>
    <row r="923" spans="6:6" x14ac:dyDescent="0.2">
      <c r="F923" s="258"/>
    </row>
    <row r="924" spans="6:6" x14ac:dyDescent="0.2">
      <c r="F924" s="258"/>
    </row>
    <row r="925" spans="6:6" x14ac:dyDescent="0.2">
      <c r="F925" s="258"/>
    </row>
    <row r="926" spans="6:6" x14ac:dyDescent="0.2">
      <c r="F926" s="258"/>
    </row>
    <row r="927" spans="6:6" x14ac:dyDescent="0.2">
      <c r="F927" s="258"/>
    </row>
    <row r="928" spans="6:6" x14ac:dyDescent="0.2">
      <c r="F928" s="258"/>
    </row>
    <row r="929" spans="6:6" x14ac:dyDescent="0.2">
      <c r="F929" s="258"/>
    </row>
    <row r="930" spans="6:6" x14ac:dyDescent="0.2">
      <c r="F930" s="258"/>
    </row>
    <row r="931" spans="6:6" x14ac:dyDescent="0.2">
      <c r="F931" s="258"/>
    </row>
    <row r="932" spans="6:6" x14ac:dyDescent="0.2">
      <c r="F932" s="258"/>
    </row>
    <row r="933" spans="6:6" x14ac:dyDescent="0.2">
      <c r="F933" s="258"/>
    </row>
    <row r="934" spans="6:6" x14ac:dyDescent="0.2">
      <c r="F934" s="258"/>
    </row>
    <row r="935" spans="6:6" x14ac:dyDescent="0.2">
      <c r="F935" s="258"/>
    </row>
    <row r="936" spans="6:6" x14ac:dyDescent="0.2">
      <c r="F936" s="258"/>
    </row>
    <row r="937" spans="6:6" x14ac:dyDescent="0.2">
      <c r="F937" s="258"/>
    </row>
    <row r="938" spans="6:6" x14ac:dyDescent="0.2">
      <c r="F938" s="258"/>
    </row>
    <row r="939" spans="6:6" x14ac:dyDescent="0.2">
      <c r="F939" s="258"/>
    </row>
    <row r="940" spans="6:6" x14ac:dyDescent="0.2">
      <c r="F940" s="258"/>
    </row>
    <row r="941" spans="6:6" x14ac:dyDescent="0.2">
      <c r="F941" s="258"/>
    </row>
    <row r="942" spans="6:6" x14ac:dyDescent="0.2">
      <c r="F942" s="258"/>
    </row>
    <row r="943" spans="6:6" x14ac:dyDescent="0.2">
      <c r="F943" s="258"/>
    </row>
    <row r="944" spans="6:6" x14ac:dyDescent="0.2">
      <c r="F944" s="258"/>
    </row>
    <row r="945" spans="6:6" x14ac:dyDescent="0.2">
      <c r="F945" s="258"/>
    </row>
    <row r="946" spans="6:6" x14ac:dyDescent="0.2">
      <c r="F946" s="258"/>
    </row>
    <row r="947" spans="6:6" x14ac:dyDescent="0.2">
      <c r="F947" s="258"/>
    </row>
    <row r="948" spans="6:6" x14ac:dyDescent="0.2">
      <c r="F948" s="258"/>
    </row>
    <row r="949" spans="6:6" x14ac:dyDescent="0.2">
      <c r="F949" s="258"/>
    </row>
    <row r="950" spans="6:6" x14ac:dyDescent="0.2">
      <c r="F950" s="258"/>
    </row>
    <row r="951" spans="6:6" x14ac:dyDescent="0.2">
      <c r="F951" s="258"/>
    </row>
    <row r="952" spans="6:6" x14ac:dyDescent="0.2">
      <c r="F952" s="258"/>
    </row>
    <row r="953" spans="6:6" x14ac:dyDescent="0.2">
      <c r="F953" s="258"/>
    </row>
    <row r="954" spans="6:6" x14ac:dyDescent="0.2">
      <c r="F954" s="258"/>
    </row>
    <row r="955" spans="6:6" x14ac:dyDescent="0.2">
      <c r="F955" s="258"/>
    </row>
    <row r="956" spans="6:6" x14ac:dyDescent="0.2">
      <c r="F956" s="258"/>
    </row>
    <row r="957" spans="6:6" x14ac:dyDescent="0.2">
      <c r="F957" s="258"/>
    </row>
    <row r="958" spans="6:6" x14ac:dyDescent="0.2">
      <c r="F958" s="258"/>
    </row>
    <row r="959" spans="6:6" x14ac:dyDescent="0.2">
      <c r="F959" s="258"/>
    </row>
    <row r="960" spans="6:6" x14ac:dyDescent="0.2">
      <c r="F960" s="258"/>
    </row>
    <row r="961" spans="6:6" x14ac:dyDescent="0.2">
      <c r="F961" s="258"/>
    </row>
    <row r="962" spans="6:6" x14ac:dyDescent="0.2">
      <c r="F962" s="258"/>
    </row>
    <row r="963" spans="6:6" x14ac:dyDescent="0.2">
      <c r="F963" s="258"/>
    </row>
    <row r="964" spans="6:6" x14ac:dyDescent="0.2">
      <c r="F964" s="258"/>
    </row>
    <row r="965" spans="6:6" x14ac:dyDescent="0.2">
      <c r="F965" s="258"/>
    </row>
    <row r="966" spans="6:6" x14ac:dyDescent="0.2">
      <c r="F966" s="258"/>
    </row>
    <row r="967" spans="6:6" x14ac:dyDescent="0.2">
      <c r="F967" s="258"/>
    </row>
    <row r="968" spans="6:6" x14ac:dyDescent="0.2">
      <c r="F968" s="258"/>
    </row>
    <row r="969" spans="6:6" x14ac:dyDescent="0.2">
      <c r="F969" s="258"/>
    </row>
    <row r="970" spans="6:6" x14ac:dyDescent="0.2">
      <c r="F970" s="258"/>
    </row>
    <row r="971" spans="6:6" x14ac:dyDescent="0.2">
      <c r="F971" s="258"/>
    </row>
    <row r="972" spans="6:6" x14ac:dyDescent="0.2">
      <c r="F972" s="258"/>
    </row>
    <row r="973" spans="6:6" x14ac:dyDescent="0.2">
      <c r="F973" s="258"/>
    </row>
    <row r="974" spans="6:6" x14ac:dyDescent="0.2">
      <c r="F974" s="258"/>
    </row>
    <row r="975" spans="6:6" x14ac:dyDescent="0.2">
      <c r="F975" s="258"/>
    </row>
    <row r="976" spans="6:6" x14ac:dyDescent="0.2">
      <c r="F976" s="258"/>
    </row>
    <row r="977" spans="6:6" x14ac:dyDescent="0.2">
      <c r="F977" s="258"/>
    </row>
    <row r="978" spans="6:6" x14ac:dyDescent="0.2">
      <c r="F978" s="258"/>
    </row>
    <row r="979" spans="6:6" x14ac:dyDescent="0.2">
      <c r="F979" s="258"/>
    </row>
    <row r="980" spans="6:6" x14ac:dyDescent="0.2">
      <c r="F980" s="258"/>
    </row>
    <row r="981" spans="6:6" x14ac:dyDescent="0.2">
      <c r="F981" s="258"/>
    </row>
    <row r="982" spans="6:6" x14ac:dyDescent="0.2">
      <c r="F982" s="258"/>
    </row>
    <row r="983" spans="6:6" x14ac:dyDescent="0.2">
      <c r="F983" s="258"/>
    </row>
    <row r="984" spans="6:6" x14ac:dyDescent="0.2">
      <c r="F984" s="258"/>
    </row>
    <row r="985" spans="6:6" x14ac:dyDescent="0.2">
      <c r="F985" s="258"/>
    </row>
    <row r="986" spans="6:6" x14ac:dyDescent="0.2">
      <c r="F986" s="258"/>
    </row>
    <row r="987" spans="6:6" x14ac:dyDescent="0.2">
      <c r="F987" s="258"/>
    </row>
    <row r="988" spans="6:6" x14ac:dyDescent="0.2">
      <c r="F988" s="258"/>
    </row>
    <row r="989" spans="6:6" x14ac:dyDescent="0.2">
      <c r="F989" s="258"/>
    </row>
    <row r="990" spans="6:6" x14ac:dyDescent="0.2">
      <c r="F990" s="258"/>
    </row>
    <row r="991" spans="6:6" x14ac:dyDescent="0.2">
      <c r="F991" s="258"/>
    </row>
    <row r="992" spans="6:6" x14ac:dyDescent="0.2">
      <c r="F992" s="258"/>
    </row>
    <row r="993" spans="6:6" x14ac:dyDescent="0.2">
      <c r="F993" s="258"/>
    </row>
    <row r="994" spans="6:6" x14ac:dyDescent="0.2">
      <c r="F994" s="258"/>
    </row>
    <row r="995" spans="6:6" x14ac:dyDescent="0.2">
      <c r="F995" s="258"/>
    </row>
    <row r="996" spans="6:6" x14ac:dyDescent="0.2">
      <c r="F996" s="258"/>
    </row>
    <row r="997" spans="6:6" x14ac:dyDescent="0.2">
      <c r="F997" s="258"/>
    </row>
    <row r="998" spans="6:6" x14ac:dyDescent="0.2">
      <c r="F998" s="258"/>
    </row>
    <row r="999" spans="6:6" x14ac:dyDescent="0.2">
      <c r="F999" s="258"/>
    </row>
    <row r="1000" spans="6:6" x14ac:dyDescent="0.2">
      <c r="F1000" s="258"/>
    </row>
    <row r="1001" spans="6:6" x14ac:dyDescent="0.2">
      <c r="F1001" s="258"/>
    </row>
    <row r="1002" spans="6:6" x14ac:dyDescent="0.2">
      <c r="F1002" s="258"/>
    </row>
    <row r="1003" spans="6:6" x14ac:dyDescent="0.2">
      <c r="F1003" s="258"/>
    </row>
    <row r="1004" spans="6:6" x14ac:dyDescent="0.2">
      <c r="F1004" s="258"/>
    </row>
    <row r="1005" spans="6:6" x14ac:dyDescent="0.2">
      <c r="F1005" s="258"/>
    </row>
    <row r="1006" spans="6:6" x14ac:dyDescent="0.2">
      <c r="F1006" s="258"/>
    </row>
    <row r="1007" spans="6:6" x14ac:dyDescent="0.2">
      <c r="F1007" s="258"/>
    </row>
    <row r="1008" spans="6:6" x14ac:dyDescent="0.2">
      <c r="F1008" s="258"/>
    </row>
    <row r="1009" spans="6:6" x14ac:dyDescent="0.2">
      <c r="F1009" s="258"/>
    </row>
    <row r="1010" spans="6:6" x14ac:dyDescent="0.2">
      <c r="F1010" s="258"/>
    </row>
    <row r="1011" spans="6:6" x14ac:dyDescent="0.2">
      <c r="F1011" s="258"/>
    </row>
    <row r="1012" spans="6:6" x14ac:dyDescent="0.2">
      <c r="F1012" s="258"/>
    </row>
    <row r="1013" spans="6:6" x14ac:dyDescent="0.2">
      <c r="F1013" s="258"/>
    </row>
    <row r="1014" spans="6:6" x14ac:dyDescent="0.2">
      <c r="F1014" s="258"/>
    </row>
    <row r="1015" spans="6:6" x14ac:dyDescent="0.2">
      <c r="F1015" s="258"/>
    </row>
    <row r="1016" spans="6:6" x14ac:dyDescent="0.2">
      <c r="F1016" s="258"/>
    </row>
    <row r="1017" spans="6:6" x14ac:dyDescent="0.2">
      <c r="F1017" s="258"/>
    </row>
    <row r="1018" spans="6:6" x14ac:dyDescent="0.2">
      <c r="F1018" s="258"/>
    </row>
    <row r="1019" spans="6:6" x14ac:dyDescent="0.2">
      <c r="F1019" s="258"/>
    </row>
    <row r="1020" spans="6:6" x14ac:dyDescent="0.2">
      <c r="F1020" s="258"/>
    </row>
    <row r="1021" spans="6:6" x14ac:dyDescent="0.2">
      <c r="F1021" s="258"/>
    </row>
    <row r="1022" spans="6:6" x14ac:dyDescent="0.2">
      <c r="F1022" s="258"/>
    </row>
    <row r="1023" spans="6:6" x14ac:dyDescent="0.2">
      <c r="F1023" s="258"/>
    </row>
    <row r="1024" spans="6:6" x14ac:dyDescent="0.2">
      <c r="F1024" s="258"/>
    </row>
    <row r="1025" spans="6:6" x14ac:dyDescent="0.2">
      <c r="F1025" s="258"/>
    </row>
    <row r="1026" spans="6:6" x14ac:dyDescent="0.2">
      <c r="F1026" s="258"/>
    </row>
    <row r="1027" spans="6:6" x14ac:dyDescent="0.2">
      <c r="F1027" s="258"/>
    </row>
    <row r="1028" spans="6:6" x14ac:dyDescent="0.2">
      <c r="F1028" s="258"/>
    </row>
    <row r="1029" spans="6:6" x14ac:dyDescent="0.2">
      <c r="F1029" s="258"/>
    </row>
    <row r="1030" spans="6:6" x14ac:dyDescent="0.2">
      <c r="F1030" s="258"/>
    </row>
    <row r="1031" spans="6:6" x14ac:dyDescent="0.2">
      <c r="F1031" s="258"/>
    </row>
    <row r="1032" spans="6:6" x14ac:dyDescent="0.2">
      <c r="F1032" s="258"/>
    </row>
    <row r="1033" spans="6:6" x14ac:dyDescent="0.2">
      <c r="F1033" s="258"/>
    </row>
    <row r="1034" spans="6:6" x14ac:dyDescent="0.2">
      <c r="F1034" s="258"/>
    </row>
    <row r="1035" spans="6:6" x14ac:dyDescent="0.2">
      <c r="F1035" s="258"/>
    </row>
    <row r="1036" spans="6:6" x14ac:dyDescent="0.2">
      <c r="F1036" s="258"/>
    </row>
    <row r="1037" spans="6:6" x14ac:dyDescent="0.2">
      <c r="F1037" s="258"/>
    </row>
    <row r="1038" spans="6:6" x14ac:dyDescent="0.2">
      <c r="F1038" s="258"/>
    </row>
    <row r="1039" spans="6:6" x14ac:dyDescent="0.2">
      <c r="F1039" s="258"/>
    </row>
    <row r="1040" spans="6:6" x14ac:dyDescent="0.2">
      <c r="F1040" s="258"/>
    </row>
    <row r="1041" spans="6:6" x14ac:dyDescent="0.2">
      <c r="F1041" s="258"/>
    </row>
    <row r="1042" spans="6:6" x14ac:dyDescent="0.2">
      <c r="F1042" s="258"/>
    </row>
    <row r="1043" spans="6:6" x14ac:dyDescent="0.2">
      <c r="F1043" s="258"/>
    </row>
    <row r="1044" spans="6:6" x14ac:dyDescent="0.2">
      <c r="F1044" s="258"/>
    </row>
    <row r="1045" spans="6:6" x14ac:dyDescent="0.2">
      <c r="F1045" s="258"/>
    </row>
    <row r="1046" spans="6:6" x14ac:dyDescent="0.2">
      <c r="F1046" s="258"/>
    </row>
    <row r="1047" spans="6:6" x14ac:dyDescent="0.2">
      <c r="F1047" s="258"/>
    </row>
    <row r="1048" spans="6:6" x14ac:dyDescent="0.2">
      <c r="F1048" s="258"/>
    </row>
    <row r="1049" spans="6:6" x14ac:dyDescent="0.2">
      <c r="F1049" s="258"/>
    </row>
    <row r="1050" spans="6:6" x14ac:dyDescent="0.2">
      <c r="F1050" s="258"/>
    </row>
    <row r="1051" spans="6:6" x14ac:dyDescent="0.2">
      <c r="F1051" s="258"/>
    </row>
    <row r="1052" spans="6:6" x14ac:dyDescent="0.2">
      <c r="F1052" s="258"/>
    </row>
    <row r="1053" spans="6:6" x14ac:dyDescent="0.2">
      <c r="F1053" s="258"/>
    </row>
    <row r="1054" spans="6:6" x14ac:dyDescent="0.2">
      <c r="F1054" s="258"/>
    </row>
    <row r="1055" spans="6:6" x14ac:dyDescent="0.2">
      <c r="F1055" s="258"/>
    </row>
    <row r="1056" spans="6:6" x14ac:dyDescent="0.2">
      <c r="F1056" s="258"/>
    </row>
    <row r="1057" spans="6:6" x14ac:dyDescent="0.2">
      <c r="F1057" s="258"/>
    </row>
    <row r="1058" spans="6:6" x14ac:dyDescent="0.2">
      <c r="F1058" s="258"/>
    </row>
    <row r="1059" spans="6:6" x14ac:dyDescent="0.2">
      <c r="F1059" s="258"/>
    </row>
    <row r="1060" spans="6:6" x14ac:dyDescent="0.2">
      <c r="F1060" s="258"/>
    </row>
    <row r="1061" spans="6:6" x14ac:dyDescent="0.2">
      <c r="F1061" s="258"/>
    </row>
    <row r="1062" spans="6:6" x14ac:dyDescent="0.2">
      <c r="F1062" s="258"/>
    </row>
    <row r="1063" spans="6:6" x14ac:dyDescent="0.2">
      <c r="F1063" s="258"/>
    </row>
    <row r="1064" spans="6:6" x14ac:dyDescent="0.2">
      <c r="F1064" s="258"/>
    </row>
    <row r="1065" spans="6:6" x14ac:dyDescent="0.2">
      <c r="F1065" s="258"/>
    </row>
    <row r="1066" spans="6:6" x14ac:dyDescent="0.2">
      <c r="F1066" s="258"/>
    </row>
    <row r="1067" spans="6:6" x14ac:dyDescent="0.2">
      <c r="F1067" s="258"/>
    </row>
    <row r="1068" spans="6:6" x14ac:dyDescent="0.2">
      <c r="F1068" s="258"/>
    </row>
    <row r="1069" spans="6:6" x14ac:dyDescent="0.2">
      <c r="F1069" s="258"/>
    </row>
    <row r="1070" spans="6:6" x14ac:dyDescent="0.2">
      <c r="F1070" s="258"/>
    </row>
    <row r="1071" spans="6:6" x14ac:dyDescent="0.2">
      <c r="F1071" s="258"/>
    </row>
    <row r="1072" spans="6:6" x14ac:dyDescent="0.2">
      <c r="F1072" s="258"/>
    </row>
    <row r="1073" spans="6:6" x14ac:dyDescent="0.2">
      <c r="F1073" s="258"/>
    </row>
    <row r="1074" spans="6:6" x14ac:dyDescent="0.2">
      <c r="F1074" s="258"/>
    </row>
    <row r="1075" spans="6:6" x14ac:dyDescent="0.2">
      <c r="F1075" s="258"/>
    </row>
    <row r="1076" spans="6:6" x14ac:dyDescent="0.2">
      <c r="F1076" s="258"/>
    </row>
    <row r="1077" spans="6:6" x14ac:dyDescent="0.2">
      <c r="F1077" s="258"/>
    </row>
    <row r="1078" spans="6:6" x14ac:dyDescent="0.2">
      <c r="F1078" s="258"/>
    </row>
    <row r="1079" spans="6:6" x14ac:dyDescent="0.2">
      <c r="F1079" s="258"/>
    </row>
    <row r="1080" spans="6:6" x14ac:dyDescent="0.2">
      <c r="F1080" s="258"/>
    </row>
    <row r="1081" spans="6:6" x14ac:dyDescent="0.2">
      <c r="F1081" s="258"/>
    </row>
    <row r="1082" spans="6:6" x14ac:dyDescent="0.2">
      <c r="F1082" s="258"/>
    </row>
    <row r="1083" spans="6:6" x14ac:dyDescent="0.2">
      <c r="F1083" s="258"/>
    </row>
    <row r="1084" spans="6:6" x14ac:dyDescent="0.2">
      <c r="F1084" s="258"/>
    </row>
    <row r="1085" spans="6:6" x14ac:dyDescent="0.2">
      <c r="F1085" s="258"/>
    </row>
    <row r="1086" spans="6:6" x14ac:dyDescent="0.2">
      <c r="F1086" s="258"/>
    </row>
    <row r="1087" spans="6:6" x14ac:dyDescent="0.2">
      <c r="F1087" s="258"/>
    </row>
    <row r="1088" spans="6:6" x14ac:dyDescent="0.2">
      <c r="F1088" s="258"/>
    </row>
    <row r="1089" spans="6:6" x14ac:dyDescent="0.2">
      <c r="F1089" s="258"/>
    </row>
    <row r="1090" spans="6:6" x14ac:dyDescent="0.2">
      <c r="F1090" s="258"/>
    </row>
    <row r="1091" spans="6:6" x14ac:dyDescent="0.2">
      <c r="F1091" s="258"/>
    </row>
    <row r="1092" spans="6:6" x14ac:dyDescent="0.2">
      <c r="F1092" s="258"/>
    </row>
    <row r="1093" spans="6:6" x14ac:dyDescent="0.2">
      <c r="F1093" s="258"/>
    </row>
    <row r="1094" spans="6:6" x14ac:dyDescent="0.2">
      <c r="F1094" s="258"/>
    </row>
    <row r="1095" spans="6:6" x14ac:dyDescent="0.2">
      <c r="F1095" s="258"/>
    </row>
    <row r="1096" spans="6:6" x14ac:dyDescent="0.2">
      <c r="F1096" s="258"/>
    </row>
    <row r="1097" spans="6:6" x14ac:dyDescent="0.2">
      <c r="F1097" s="258"/>
    </row>
    <row r="1098" spans="6:6" x14ac:dyDescent="0.2">
      <c r="F1098" s="258"/>
    </row>
    <row r="1099" spans="6:6" x14ac:dyDescent="0.2">
      <c r="F1099" s="258"/>
    </row>
    <row r="1100" spans="6:6" x14ac:dyDescent="0.2">
      <c r="F1100" s="258"/>
    </row>
    <row r="1101" spans="6:6" x14ac:dyDescent="0.2">
      <c r="F1101" s="258"/>
    </row>
    <row r="1102" spans="6:6" x14ac:dyDescent="0.2">
      <c r="F1102" s="258"/>
    </row>
    <row r="1103" spans="6:6" x14ac:dyDescent="0.2">
      <c r="F1103" s="258"/>
    </row>
    <row r="1104" spans="6:6" x14ac:dyDescent="0.2">
      <c r="F1104" s="258"/>
    </row>
    <row r="1105" spans="6:6" x14ac:dyDescent="0.2">
      <c r="F1105" s="258"/>
    </row>
    <row r="1106" spans="6:6" x14ac:dyDescent="0.2">
      <c r="F1106" s="258"/>
    </row>
    <row r="1107" spans="6:6" x14ac:dyDescent="0.2">
      <c r="F1107" s="258"/>
    </row>
    <row r="1108" spans="6:6" x14ac:dyDescent="0.2">
      <c r="F1108" s="258"/>
    </row>
    <row r="1109" spans="6:6" x14ac:dyDescent="0.2">
      <c r="F1109" s="258"/>
    </row>
    <row r="1110" spans="6:6" x14ac:dyDescent="0.2">
      <c r="F1110" s="258"/>
    </row>
    <row r="1111" spans="6:6" x14ac:dyDescent="0.2">
      <c r="F1111" s="258"/>
    </row>
    <row r="1112" spans="6:6" x14ac:dyDescent="0.2">
      <c r="F1112" s="258"/>
    </row>
    <row r="1113" spans="6:6" x14ac:dyDescent="0.2">
      <c r="F1113" s="258"/>
    </row>
    <row r="1114" spans="6:6" x14ac:dyDescent="0.2">
      <c r="F1114" s="258"/>
    </row>
    <row r="1115" spans="6:6" x14ac:dyDescent="0.2">
      <c r="F1115" s="258"/>
    </row>
    <row r="1116" spans="6:6" x14ac:dyDescent="0.2">
      <c r="F1116" s="258"/>
    </row>
    <row r="1117" spans="6:6" x14ac:dyDescent="0.2">
      <c r="F1117" s="258"/>
    </row>
    <row r="1118" spans="6:6" x14ac:dyDescent="0.2">
      <c r="F1118" s="258"/>
    </row>
    <row r="1119" spans="6:6" x14ac:dyDescent="0.2">
      <c r="F1119" s="258"/>
    </row>
    <row r="1120" spans="6:6" x14ac:dyDescent="0.2">
      <c r="F1120" s="258"/>
    </row>
    <row r="1121" spans="6:6" x14ac:dyDescent="0.2">
      <c r="F1121" s="258"/>
    </row>
    <row r="1122" spans="6:6" x14ac:dyDescent="0.2">
      <c r="F1122" s="258"/>
    </row>
    <row r="1123" spans="6:6" x14ac:dyDescent="0.2">
      <c r="F1123" s="258"/>
    </row>
    <row r="1124" spans="6:6" x14ac:dyDescent="0.2">
      <c r="F1124" s="258"/>
    </row>
    <row r="1125" spans="6:6" x14ac:dyDescent="0.2">
      <c r="F1125" s="258"/>
    </row>
    <row r="1126" spans="6:6" x14ac:dyDescent="0.2">
      <c r="F1126" s="258"/>
    </row>
    <row r="1127" spans="6:6" x14ac:dyDescent="0.2">
      <c r="F1127" s="258"/>
    </row>
    <row r="1128" spans="6:6" x14ac:dyDescent="0.2">
      <c r="F1128" s="258"/>
    </row>
    <row r="1129" spans="6:6" x14ac:dyDescent="0.2">
      <c r="F1129" s="258"/>
    </row>
    <row r="1130" spans="6:6" x14ac:dyDescent="0.2">
      <c r="F1130" s="258"/>
    </row>
    <row r="1131" spans="6:6" x14ac:dyDescent="0.2">
      <c r="F1131" s="258"/>
    </row>
    <row r="1132" spans="6:6" x14ac:dyDescent="0.2">
      <c r="F1132" s="258"/>
    </row>
    <row r="1133" spans="6:6" x14ac:dyDescent="0.2">
      <c r="F1133" s="258"/>
    </row>
    <row r="1134" spans="6:6" x14ac:dyDescent="0.2">
      <c r="F1134" s="258"/>
    </row>
    <row r="1135" spans="6:6" x14ac:dyDescent="0.2">
      <c r="F1135" s="258"/>
    </row>
    <row r="1136" spans="6:6" x14ac:dyDescent="0.2">
      <c r="F1136" s="258"/>
    </row>
    <row r="1137" spans="6:6" x14ac:dyDescent="0.2">
      <c r="F1137" s="258"/>
    </row>
    <row r="1138" spans="6:6" x14ac:dyDescent="0.2">
      <c r="F1138" s="258"/>
    </row>
    <row r="1139" spans="6:6" x14ac:dyDescent="0.2">
      <c r="F1139" s="258"/>
    </row>
    <row r="1140" spans="6:6" x14ac:dyDescent="0.2">
      <c r="F1140" s="258"/>
    </row>
    <row r="1141" spans="6:6" x14ac:dyDescent="0.2">
      <c r="F1141" s="258"/>
    </row>
    <row r="1142" spans="6:6" x14ac:dyDescent="0.2">
      <c r="F1142" s="258"/>
    </row>
    <row r="1143" spans="6:6" x14ac:dyDescent="0.2">
      <c r="F1143" s="258"/>
    </row>
    <row r="1144" spans="6:6" x14ac:dyDescent="0.2">
      <c r="F1144" s="258"/>
    </row>
    <row r="1145" spans="6:6" x14ac:dyDescent="0.2">
      <c r="F1145" s="258"/>
    </row>
    <row r="1146" spans="6:6" x14ac:dyDescent="0.2">
      <c r="F1146" s="258"/>
    </row>
    <row r="1147" spans="6:6" x14ac:dyDescent="0.2">
      <c r="F1147" s="258"/>
    </row>
    <row r="1148" spans="6:6" x14ac:dyDescent="0.2">
      <c r="F1148" s="258"/>
    </row>
    <row r="1149" spans="6:6" x14ac:dyDescent="0.2">
      <c r="F1149" s="258"/>
    </row>
    <row r="1150" spans="6:6" x14ac:dyDescent="0.2">
      <c r="F1150" s="258"/>
    </row>
    <row r="1151" spans="6:6" x14ac:dyDescent="0.2">
      <c r="F1151" s="258"/>
    </row>
    <row r="1152" spans="6:6" x14ac:dyDescent="0.2">
      <c r="F1152" s="258"/>
    </row>
    <row r="1153" spans="6:6" x14ac:dyDescent="0.2">
      <c r="F1153" s="258"/>
    </row>
    <row r="1154" spans="6:6" x14ac:dyDescent="0.2">
      <c r="F1154" s="258"/>
    </row>
    <row r="1155" spans="6:6" x14ac:dyDescent="0.2">
      <c r="F1155" s="258"/>
    </row>
    <row r="1156" spans="6:6" x14ac:dyDescent="0.2">
      <c r="F1156" s="258"/>
    </row>
    <row r="1157" spans="6:6" x14ac:dyDescent="0.2">
      <c r="F1157" s="258"/>
    </row>
    <row r="1158" spans="6:6" x14ac:dyDescent="0.2">
      <c r="F1158" s="258"/>
    </row>
    <row r="1159" spans="6:6" x14ac:dyDescent="0.2">
      <c r="F1159" s="258"/>
    </row>
    <row r="1160" spans="6:6" x14ac:dyDescent="0.2">
      <c r="F1160" s="258"/>
    </row>
    <row r="1161" spans="6:6" x14ac:dyDescent="0.2">
      <c r="F1161" s="258"/>
    </row>
    <row r="1162" spans="6:6" x14ac:dyDescent="0.2">
      <c r="F1162" s="258"/>
    </row>
    <row r="1163" spans="6:6" x14ac:dyDescent="0.2">
      <c r="F1163" s="258"/>
    </row>
    <row r="1164" spans="6:6" x14ac:dyDescent="0.2">
      <c r="F1164" s="258"/>
    </row>
    <row r="1165" spans="6:6" x14ac:dyDescent="0.2">
      <c r="F1165" s="258"/>
    </row>
    <row r="1166" spans="6:6" x14ac:dyDescent="0.2">
      <c r="F1166" s="258"/>
    </row>
    <row r="1167" spans="6:6" x14ac:dyDescent="0.2">
      <c r="F1167" s="258"/>
    </row>
    <row r="1168" spans="6:6" x14ac:dyDescent="0.2">
      <c r="F1168" s="258"/>
    </row>
    <row r="1169" spans="6:6" x14ac:dyDescent="0.2">
      <c r="F1169" s="258"/>
    </row>
    <row r="1170" spans="6:6" x14ac:dyDescent="0.2">
      <c r="F1170" s="258"/>
    </row>
    <row r="1171" spans="6:6" x14ac:dyDescent="0.2">
      <c r="F1171" s="258"/>
    </row>
    <row r="1172" spans="6:6" x14ac:dyDescent="0.2">
      <c r="F1172" s="258"/>
    </row>
    <row r="1173" spans="6:6" x14ac:dyDescent="0.2">
      <c r="F1173" s="258"/>
    </row>
    <row r="1174" spans="6:6" x14ac:dyDescent="0.2">
      <c r="F1174" s="258"/>
    </row>
    <row r="1175" spans="6:6" x14ac:dyDescent="0.2">
      <c r="F1175" s="258"/>
    </row>
    <row r="1176" spans="6:6" x14ac:dyDescent="0.2">
      <c r="F1176" s="258"/>
    </row>
    <row r="1177" spans="6:6" x14ac:dyDescent="0.2">
      <c r="F1177" s="258"/>
    </row>
    <row r="1178" spans="6:6" x14ac:dyDescent="0.2">
      <c r="F1178" s="258"/>
    </row>
    <row r="1179" spans="6:6" x14ac:dyDescent="0.2">
      <c r="F1179" s="258"/>
    </row>
    <row r="1180" spans="6:6" x14ac:dyDescent="0.2">
      <c r="F1180" s="258"/>
    </row>
    <row r="1181" spans="6:6" x14ac:dyDescent="0.2">
      <c r="F1181" s="258"/>
    </row>
    <row r="1182" spans="6:6" x14ac:dyDescent="0.2">
      <c r="F1182" s="258"/>
    </row>
    <row r="1183" spans="6:6" x14ac:dyDescent="0.2">
      <c r="F1183" s="258"/>
    </row>
    <row r="1184" spans="6:6" x14ac:dyDescent="0.2">
      <c r="F1184" s="258"/>
    </row>
    <row r="1185" spans="6:6" x14ac:dyDescent="0.2">
      <c r="F1185" s="258"/>
    </row>
    <row r="1186" spans="6:6" x14ac:dyDescent="0.2">
      <c r="F1186" s="258"/>
    </row>
    <row r="1187" spans="6:6" x14ac:dyDescent="0.2">
      <c r="F1187" s="258"/>
    </row>
    <row r="1188" spans="6:6" x14ac:dyDescent="0.2">
      <c r="F1188" s="258"/>
    </row>
    <row r="1189" spans="6:6" x14ac:dyDescent="0.2">
      <c r="F1189" s="258"/>
    </row>
    <row r="1190" spans="6:6" x14ac:dyDescent="0.2">
      <c r="F1190" s="258"/>
    </row>
    <row r="1191" spans="6:6" x14ac:dyDescent="0.2">
      <c r="F1191" s="258"/>
    </row>
    <row r="1192" spans="6:6" x14ac:dyDescent="0.2">
      <c r="F1192" s="258"/>
    </row>
    <row r="1193" spans="6:6" x14ac:dyDescent="0.2">
      <c r="F1193" s="258"/>
    </row>
    <row r="1194" spans="6:6" x14ac:dyDescent="0.2">
      <c r="F1194" s="258"/>
    </row>
    <row r="1195" spans="6:6" x14ac:dyDescent="0.2">
      <c r="F1195" s="258"/>
    </row>
    <row r="1196" spans="6:6" x14ac:dyDescent="0.2">
      <c r="F1196" s="258"/>
    </row>
    <row r="1197" spans="6:6" x14ac:dyDescent="0.2">
      <c r="F1197" s="258"/>
    </row>
    <row r="1198" spans="6:6" x14ac:dyDescent="0.2">
      <c r="F1198" s="258"/>
    </row>
    <row r="1199" spans="6:6" x14ac:dyDescent="0.2">
      <c r="F1199" s="258"/>
    </row>
    <row r="1200" spans="6:6" x14ac:dyDescent="0.2">
      <c r="F1200" s="258"/>
    </row>
    <row r="1201" spans="6:6" x14ac:dyDescent="0.2">
      <c r="F1201" s="258"/>
    </row>
    <row r="1202" spans="6:6" x14ac:dyDescent="0.2">
      <c r="F1202" s="258"/>
    </row>
    <row r="1203" spans="6:6" x14ac:dyDescent="0.2">
      <c r="F1203" s="258"/>
    </row>
    <row r="1204" spans="6:6" x14ac:dyDescent="0.2">
      <c r="F1204" s="258"/>
    </row>
    <row r="1205" spans="6:6" x14ac:dyDescent="0.2">
      <c r="F1205" s="258"/>
    </row>
    <row r="1206" spans="6:6" x14ac:dyDescent="0.2">
      <c r="F1206" s="258"/>
    </row>
    <row r="1207" spans="6:6" x14ac:dyDescent="0.2">
      <c r="F1207" s="258"/>
    </row>
    <row r="1208" spans="6:6" x14ac:dyDescent="0.2">
      <c r="F1208" s="258"/>
    </row>
    <row r="1209" spans="6:6" x14ac:dyDescent="0.2">
      <c r="F1209" s="258"/>
    </row>
    <row r="1210" spans="6:6" x14ac:dyDescent="0.2">
      <c r="F1210" s="258"/>
    </row>
    <row r="1211" spans="6:6" x14ac:dyDescent="0.2">
      <c r="F1211" s="258"/>
    </row>
    <row r="1212" spans="6:6" x14ac:dyDescent="0.2">
      <c r="F1212" s="258"/>
    </row>
    <row r="1213" spans="6:6" x14ac:dyDescent="0.2">
      <c r="F1213" s="258"/>
    </row>
    <row r="1214" spans="6:6" x14ac:dyDescent="0.2">
      <c r="F1214" s="258"/>
    </row>
    <row r="1215" spans="6:6" x14ac:dyDescent="0.2">
      <c r="F1215" s="258"/>
    </row>
    <row r="1216" spans="6:6" x14ac:dyDescent="0.2">
      <c r="F1216" s="258"/>
    </row>
    <row r="1217" spans="6:6" x14ac:dyDescent="0.2">
      <c r="F1217" s="258"/>
    </row>
    <row r="1218" spans="6:6" x14ac:dyDescent="0.2">
      <c r="F1218" s="258"/>
    </row>
    <row r="1219" spans="6:6" x14ac:dyDescent="0.2">
      <c r="F1219" s="258"/>
    </row>
    <row r="1220" spans="6:6" x14ac:dyDescent="0.2">
      <c r="F1220" s="258"/>
    </row>
    <row r="1221" spans="6:6" x14ac:dyDescent="0.2">
      <c r="F1221" s="258"/>
    </row>
    <row r="1222" spans="6:6" x14ac:dyDescent="0.2">
      <c r="F1222" s="258"/>
    </row>
    <row r="1223" spans="6:6" x14ac:dyDescent="0.2">
      <c r="F1223" s="258"/>
    </row>
    <row r="1224" spans="6:6" x14ac:dyDescent="0.2">
      <c r="F1224" s="258"/>
    </row>
    <row r="1225" spans="6:6" x14ac:dyDescent="0.2">
      <c r="F1225" s="258"/>
    </row>
    <row r="1226" spans="6:6" x14ac:dyDescent="0.2">
      <c r="F1226" s="258"/>
    </row>
    <row r="1227" spans="6:6" x14ac:dyDescent="0.2">
      <c r="F1227" s="258"/>
    </row>
    <row r="1228" spans="6:6" x14ac:dyDescent="0.2">
      <c r="F1228" s="258"/>
    </row>
    <row r="1229" spans="6:6" x14ac:dyDescent="0.2">
      <c r="F1229" s="258"/>
    </row>
    <row r="1230" spans="6:6" x14ac:dyDescent="0.2">
      <c r="F1230" s="258"/>
    </row>
    <row r="1231" spans="6:6" x14ac:dyDescent="0.2">
      <c r="F1231" s="258"/>
    </row>
    <row r="1232" spans="6:6" x14ac:dyDescent="0.2">
      <c r="F1232" s="258"/>
    </row>
    <row r="1233" spans="6:6" x14ac:dyDescent="0.2">
      <c r="F1233" s="258"/>
    </row>
    <row r="1234" spans="6:6" x14ac:dyDescent="0.2">
      <c r="F1234" s="258"/>
    </row>
    <row r="1235" spans="6:6" x14ac:dyDescent="0.2">
      <c r="F1235" s="258"/>
    </row>
    <row r="1236" spans="6:6" x14ac:dyDescent="0.2">
      <c r="F1236" s="258"/>
    </row>
    <row r="1237" spans="6:6" x14ac:dyDescent="0.2">
      <c r="F1237" s="258"/>
    </row>
    <row r="1238" spans="6:6" x14ac:dyDescent="0.2">
      <c r="F1238" s="258"/>
    </row>
    <row r="1239" spans="6:6" x14ac:dyDescent="0.2">
      <c r="F1239" s="258"/>
    </row>
    <row r="1240" spans="6:6" x14ac:dyDescent="0.2">
      <c r="F1240" s="258"/>
    </row>
    <row r="1241" spans="6:6" x14ac:dyDescent="0.2">
      <c r="F1241" s="258"/>
    </row>
    <row r="1242" spans="6:6" x14ac:dyDescent="0.2">
      <c r="F1242" s="258"/>
    </row>
    <row r="1243" spans="6:6" x14ac:dyDescent="0.2">
      <c r="F1243" s="258"/>
    </row>
    <row r="1244" spans="6:6" x14ac:dyDescent="0.2">
      <c r="F1244" s="258"/>
    </row>
    <row r="1245" spans="6:6" x14ac:dyDescent="0.2">
      <c r="F1245" s="258"/>
    </row>
    <row r="1246" spans="6:6" x14ac:dyDescent="0.2">
      <c r="F1246" s="258"/>
    </row>
    <row r="1247" spans="6:6" x14ac:dyDescent="0.2">
      <c r="F1247" s="258"/>
    </row>
    <row r="1248" spans="6:6" x14ac:dyDescent="0.2">
      <c r="F1248" s="258"/>
    </row>
    <row r="1249" spans="6:6" x14ac:dyDescent="0.2">
      <c r="F1249" s="258"/>
    </row>
    <row r="1250" spans="6:6" x14ac:dyDescent="0.2">
      <c r="F1250" s="258"/>
    </row>
    <row r="1251" spans="6:6" x14ac:dyDescent="0.2">
      <c r="F1251" s="258"/>
    </row>
    <row r="1252" spans="6:6" x14ac:dyDescent="0.2">
      <c r="F1252" s="258"/>
    </row>
    <row r="1253" spans="6:6" x14ac:dyDescent="0.2">
      <c r="F1253" s="258"/>
    </row>
    <row r="1254" spans="6:6" x14ac:dyDescent="0.2">
      <c r="F1254" s="258"/>
    </row>
    <row r="1255" spans="6:6" x14ac:dyDescent="0.2">
      <c r="F1255" s="258"/>
    </row>
    <row r="1256" spans="6:6" x14ac:dyDescent="0.2">
      <c r="F1256" s="258"/>
    </row>
    <row r="1257" spans="6:6" x14ac:dyDescent="0.2">
      <c r="F1257" s="258"/>
    </row>
    <row r="1258" spans="6:6" x14ac:dyDescent="0.2">
      <c r="F1258" s="258"/>
    </row>
    <row r="1259" spans="6:6" x14ac:dyDescent="0.2">
      <c r="F1259" s="258"/>
    </row>
    <row r="1260" spans="6:6" x14ac:dyDescent="0.2">
      <c r="F1260" s="258"/>
    </row>
    <row r="1261" spans="6:6" x14ac:dyDescent="0.2">
      <c r="F1261" s="258"/>
    </row>
    <row r="1262" spans="6:6" x14ac:dyDescent="0.2">
      <c r="F1262" s="258"/>
    </row>
    <row r="1263" spans="6:6" x14ac:dyDescent="0.2">
      <c r="F1263" s="258"/>
    </row>
    <row r="1264" spans="6:6" x14ac:dyDescent="0.2">
      <c r="F1264" s="258"/>
    </row>
    <row r="1265" spans="6:6" x14ac:dyDescent="0.2">
      <c r="F1265" s="258"/>
    </row>
    <row r="1266" spans="6:6" x14ac:dyDescent="0.2">
      <c r="F1266" s="258"/>
    </row>
    <row r="1267" spans="6:6" x14ac:dyDescent="0.2">
      <c r="F1267" s="258"/>
    </row>
    <row r="1268" spans="6:6" x14ac:dyDescent="0.2">
      <c r="F1268" s="258"/>
    </row>
    <row r="1269" spans="6:6" x14ac:dyDescent="0.2">
      <c r="F1269" s="258"/>
    </row>
    <row r="1270" spans="6:6" x14ac:dyDescent="0.2">
      <c r="F1270" s="258"/>
    </row>
    <row r="1271" spans="6:6" x14ac:dyDescent="0.2">
      <c r="F1271" s="258"/>
    </row>
    <row r="1272" spans="6:6" x14ac:dyDescent="0.2">
      <c r="F1272" s="258"/>
    </row>
    <row r="1273" spans="6:6" x14ac:dyDescent="0.2">
      <c r="F1273" s="258"/>
    </row>
    <row r="1274" spans="6:6" x14ac:dyDescent="0.2">
      <c r="F1274" s="258"/>
    </row>
    <row r="1275" spans="6:6" x14ac:dyDescent="0.2">
      <c r="F1275" s="258"/>
    </row>
    <row r="1276" spans="6:6" x14ac:dyDescent="0.2">
      <c r="F1276" s="258"/>
    </row>
    <row r="1277" spans="6:6" x14ac:dyDescent="0.2">
      <c r="F1277" s="258"/>
    </row>
    <row r="1278" spans="6:6" x14ac:dyDescent="0.2">
      <c r="F1278" s="258"/>
    </row>
    <row r="1279" spans="6:6" x14ac:dyDescent="0.2">
      <c r="F1279" s="258"/>
    </row>
    <row r="1280" spans="6:6" x14ac:dyDescent="0.2">
      <c r="F1280" s="258"/>
    </row>
    <row r="1281" spans="6:6" x14ac:dyDescent="0.2">
      <c r="F1281" s="258"/>
    </row>
    <row r="1282" spans="6:6" x14ac:dyDescent="0.2">
      <c r="F1282" s="258"/>
    </row>
    <row r="1283" spans="6:6" x14ac:dyDescent="0.2">
      <c r="F1283" s="258"/>
    </row>
    <row r="1284" spans="6:6" x14ac:dyDescent="0.2">
      <c r="F1284" s="258"/>
    </row>
    <row r="1285" spans="6:6" x14ac:dyDescent="0.2">
      <c r="F1285" s="258"/>
    </row>
    <row r="1286" spans="6:6" x14ac:dyDescent="0.2">
      <c r="F1286" s="258"/>
    </row>
    <row r="1287" spans="6:6" x14ac:dyDescent="0.2">
      <c r="F1287" s="258"/>
    </row>
    <row r="1288" spans="6:6" x14ac:dyDescent="0.2">
      <c r="F1288" s="258"/>
    </row>
    <row r="1289" spans="6:6" x14ac:dyDescent="0.2">
      <c r="F1289" s="258"/>
    </row>
    <row r="1290" spans="6:6" x14ac:dyDescent="0.2">
      <c r="F1290" s="258"/>
    </row>
    <row r="1291" spans="6:6" x14ac:dyDescent="0.2">
      <c r="F1291" s="258"/>
    </row>
    <row r="1292" spans="6:6" x14ac:dyDescent="0.2">
      <c r="F1292" s="258"/>
    </row>
    <row r="1293" spans="6:6" x14ac:dyDescent="0.2">
      <c r="F1293" s="258"/>
    </row>
    <row r="1294" spans="6:6" x14ac:dyDescent="0.2">
      <c r="F1294" s="258"/>
    </row>
    <row r="1295" spans="6:6" x14ac:dyDescent="0.2">
      <c r="F1295" s="258"/>
    </row>
    <row r="1296" spans="6:6" x14ac:dyDescent="0.2">
      <c r="F1296" s="258"/>
    </row>
    <row r="1297" spans="6:6" x14ac:dyDescent="0.2">
      <c r="F1297" s="258"/>
    </row>
    <row r="1298" spans="6:6" x14ac:dyDescent="0.2">
      <c r="F1298" s="258"/>
    </row>
    <row r="1299" spans="6:6" x14ac:dyDescent="0.2">
      <c r="F1299" s="258"/>
    </row>
    <row r="1300" spans="6:6" x14ac:dyDescent="0.2">
      <c r="F1300" s="258"/>
    </row>
    <row r="1301" spans="6:6" x14ac:dyDescent="0.2">
      <c r="F1301" s="258"/>
    </row>
    <row r="1302" spans="6:6" x14ac:dyDescent="0.2">
      <c r="F1302" s="258"/>
    </row>
    <row r="1303" spans="6:6" x14ac:dyDescent="0.2">
      <c r="F1303" s="258"/>
    </row>
    <row r="1304" spans="6:6" x14ac:dyDescent="0.2">
      <c r="F1304" s="258"/>
    </row>
    <row r="1305" spans="6:6" x14ac:dyDescent="0.2">
      <c r="F1305" s="258"/>
    </row>
    <row r="1306" spans="6:6" x14ac:dyDescent="0.2">
      <c r="F1306" s="258"/>
    </row>
    <row r="1307" spans="6:6" x14ac:dyDescent="0.2">
      <c r="F1307" s="258"/>
    </row>
    <row r="1308" spans="6:6" x14ac:dyDescent="0.2">
      <c r="F1308" s="258"/>
    </row>
    <row r="1309" spans="6:6" x14ac:dyDescent="0.2">
      <c r="F1309" s="258"/>
    </row>
    <row r="1310" spans="6:6" x14ac:dyDescent="0.2">
      <c r="F1310" s="258"/>
    </row>
    <row r="1311" spans="6:6" x14ac:dyDescent="0.2">
      <c r="F1311" s="258"/>
    </row>
    <row r="1312" spans="6:6" x14ac:dyDescent="0.2">
      <c r="F1312" s="258"/>
    </row>
    <row r="1313" spans="6:6" x14ac:dyDescent="0.2">
      <c r="F1313" s="258"/>
    </row>
    <row r="1314" spans="6:6" x14ac:dyDescent="0.2">
      <c r="F1314" s="258"/>
    </row>
    <row r="1315" spans="6:6" x14ac:dyDescent="0.2">
      <c r="F1315" s="258"/>
    </row>
    <row r="1316" spans="6:6" x14ac:dyDescent="0.2">
      <c r="F1316" s="258"/>
    </row>
    <row r="1317" spans="6:6" x14ac:dyDescent="0.2">
      <c r="F1317" s="258"/>
    </row>
    <row r="1318" spans="6:6" x14ac:dyDescent="0.2">
      <c r="F1318" s="258"/>
    </row>
    <row r="1319" spans="6:6" x14ac:dyDescent="0.2">
      <c r="F1319" s="258"/>
    </row>
    <row r="1320" spans="6:6" x14ac:dyDescent="0.2">
      <c r="F1320" s="258"/>
    </row>
    <row r="1321" spans="6:6" x14ac:dyDescent="0.2">
      <c r="F1321" s="258"/>
    </row>
    <row r="1322" spans="6:6" x14ac:dyDescent="0.2">
      <c r="F1322" s="258"/>
    </row>
    <row r="1323" spans="6:6" x14ac:dyDescent="0.2">
      <c r="F1323" s="258"/>
    </row>
    <row r="1324" spans="6:6" x14ac:dyDescent="0.2">
      <c r="F1324" s="258"/>
    </row>
    <row r="1325" spans="6:6" x14ac:dyDescent="0.2">
      <c r="F1325" s="258"/>
    </row>
    <row r="1326" spans="6:6" x14ac:dyDescent="0.2">
      <c r="F1326" s="258"/>
    </row>
    <row r="1327" spans="6:6" x14ac:dyDescent="0.2">
      <c r="F1327" s="258"/>
    </row>
    <row r="1328" spans="6:6" x14ac:dyDescent="0.2">
      <c r="F1328" s="258"/>
    </row>
    <row r="1329" spans="6:6" x14ac:dyDescent="0.2">
      <c r="F1329" s="258"/>
    </row>
    <row r="1330" spans="6:6" x14ac:dyDescent="0.2">
      <c r="F1330" s="258"/>
    </row>
    <row r="1331" spans="6:6" x14ac:dyDescent="0.2">
      <c r="F1331" s="258"/>
    </row>
    <row r="1332" spans="6:6" x14ac:dyDescent="0.2">
      <c r="F1332" s="258"/>
    </row>
    <row r="1333" spans="6:6" x14ac:dyDescent="0.2">
      <c r="F1333" s="258"/>
    </row>
    <row r="1334" spans="6:6" x14ac:dyDescent="0.2">
      <c r="F1334" s="258"/>
    </row>
    <row r="1335" spans="6:6" x14ac:dyDescent="0.2">
      <c r="F1335" s="258"/>
    </row>
    <row r="1336" spans="6:6" x14ac:dyDescent="0.2">
      <c r="F1336" s="258"/>
    </row>
    <row r="1337" spans="6:6" x14ac:dyDescent="0.2">
      <c r="F1337" s="258"/>
    </row>
    <row r="1338" spans="6:6" x14ac:dyDescent="0.2">
      <c r="F1338" s="258"/>
    </row>
    <row r="1339" spans="6:6" x14ac:dyDescent="0.2">
      <c r="F1339" s="258"/>
    </row>
    <row r="1340" spans="6:6" x14ac:dyDescent="0.2">
      <c r="F1340" s="258"/>
    </row>
    <row r="1341" spans="6:6" x14ac:dyDescent="0.2">
      <c r="F1341" s="258"/>
    </row>
    <row r="1342" spans="6:6" x14ac:dyDescent="0.2">
      <c r="F1342" s="258"/>
    </row>
    <row r="1343" spans="6:6" x14ac:dyDescent="0.2">
      <c r="F1343" s="258"/>
    </row>
    <row r="1344" spans="6:6" x14ac:dyDescent="0.2">
      <c r="F1344" s="258"/>
    </row>
    <row r="1345" spans="6:6" x14ac:dyDescent="0.2">
      <c r="F1345" s="258"/>
    </row>
    <row r="1346" spans="6:6" x14ac:dyDescent="0.2">
      <c r="F1346" s="258"/>
    </row>
    <row r="1347" spans="6:6" x14ac:dyDescent="0.2">
      <c r="F1347" s="258"/>
    </row>
    <row r="1348" spans="6:6" x14ac:dyDescent="0.2">
      <c r="F1348" s="258"/>
    </row>
    <row r="1349" spans="6:6" x14ac:dyDescent="0.2">
      <c r="F1349" s="258"/>
    </row>
    <row r="1350" spans="6:6" x14ac:dyDescent="0.2">
      <c r="F1350" s="258"/>
    </row>
    <row r="1351" spans="6:6" x14ac:dyDescent="0.2">
      <c r="F1351" s="258"/>
    </row>
    <row r="1352" spans="6:6" x14ac:dyDescent="0.2">
      <c r="F1352" s="258"/>
    </row>
    <row r="1353" spans="6:6" x14ac:dyDescent="0.2">
      <c r="F1353" s="258"/>
    </row>
    <row r="1354" spans="6:6" x14ac:dyDescent="0.2">
      <c r="F1354" s="258"/>
    </row>
    <row r="1355" spans="6:6" x14ac:dyDescent="0.2">
      <c r="F1355" s="258"/>
    </row>
    <row r="1356" spans="6:6" x14ac:dyDescent="0.2">
      <c r="F1356" s="258"/>
    </row>
    <row r="1357" spans="6:6" x14ac:dyDescent="0.2">
      <c r="F1357" s="258"/>
    </row>
    <row r="1358" spans="6:6" x14ac:dyDescent="0.2">
      <c r="F1358" s="258"/>
    </row>
    <row r="1359" spans="6:6" x14ac:dyDescent="0.2">
      <c r="F1359" s="258"/>
    </row>
    <row r="1360" spans="6:6" x14ac:dyDescent="0.2">
      <c r="F1360" s="258"/>
    </row>
    <row r="1361" spans="6:6" x14ac:dyDescent="0.2">
      <c r="F1361" s="258"/>
    </row>
    <row r="1362" spans="6:6" x14ac:dyDescent="0.2">
      <c r="F1362" s="258"/>
    </row>
    <row r="1363" spans="6:6" x14ac:dyDescent="0.2">
      <c r="F1363" s="258"/>
    </row>
    <row r="1364" spans="6:6" x14ac:dyDescent="0.2">
      <c r="F1364" s="258"/>
    </row>
    <row r="1365" spans="6:6" x14ac:dyDescent="0.2">
      <c r="F1365" s="258"/>
    </row>
    <row r="1366" spans="6:6" x14ac:dyDescent="0.2">
      <c r="F1366" s="258"/>
    </row>
    <row r="1367" spans="6:6" x14ac:dyDescent="0.2">
      <c r="F1367" s="258"/>
    </row>
    <row r="1368" spans="6:6" x14ac:dyDescent="0.2">
      <c r="F1368" s="258"/>
    </row>
    <row r="1369" spans="6:6" x14ac:dyDescent="0.2">
      <c r="F1369" s="258"/>
    </row>
    <row r="1370" spans="6:6" x14ac:dyDescent="0.2">
      <c r="F1370" s="258"/>
    </row>
    <row r="1371" spans="6:6" x14ac:dyDescent="0.2">
      <c r="F1371" s="258"/>
    </row>
    <row r="1372" spans="6:6" x14ac:dyDescent="0.2">
      <c r="F1372" s="258"/>
    </row>
    <row r="1373" spans="6:6" x14ac:dyDescent="0.2">
      <c r="F1373" s="258"/>
    </row>
    <row r="1374" spans="6:6" x14ac:dyDescent="0.2">
      <c r="F1374" s="258"/>
    </row>
    <row r="1375" spans="6:6" x14ac:dyDescent="0.2">
      <c r="F1375" s="258"/>
    </row>
    <row r="1376" spans="6:6" x14ac:dyDescent="0.2">
      <c r="F1376" s="258"/>
    </row>
    <row r="1377" spans="6:6" x14ac:dyDescent="0.2">
      <c r="F1377" s="258"/>
    </row>
    <row r="1378" spans="6:6" x14ac:dyDescent="0.2">
      <c r="F1378" s="258"/>
    </row>
    <row r="1379" spans="6:6" x14ac:dyDescent="0.2">
      <c r="F1379" s="258"/>
    </row>
    <row r="1380" spans="6:6" x14ac:dyDescent="0.2">
      <c r="F1380" s="258"/>
    </row>
    <row r="1381" spans="6:6" x14ac:dyDescent="0.2">
      <c r="F1381" s="258"/>
    </row>
    <row r="1382" spans="6:6" x14ac:dyDescent="0.2">
      <c r="F1382" s="258"/>
    </row>
    <row r="1383" spans="6:6" x14ac:dyDescent="0.2">
      <c r="F1383" s="258"/>
    </row>
    <row r="1384" spans="6:6" x14ac:dyDescent="0.2">
      <c r="F1384" s="258"/>
    </row>
    <row r="1385" spans="6:6" x14ac:dyDescent="0.2">
      <c r="F1385" s="258"/>
    </row>
    <row r="1386" spans="6:6" x14ac:dyDescent="0.2">
      <c r="F1386" s="258"/>
    </row>
    <row r="1387" spans="6:6" x14ac:dyDescent="0.2">
      <c r="F1387" s="258"/>
    </row>
    <row r="1388" spans="6:6" x14ac:dyDescent="0.2">
      <c r="F1388" s="258"/>
    </row>
    <row r="1389" spans="6:6" x14ac:dyDescent="0.2">
      <c r="F1389" s="258"/>
    </row>
    <row r="1390" spans="6:6" x14ac:dyDescent="0.2">
      <c r="F1390" s="258"/>
    </row>
    <row r="1391" spans="6:6" x14ac:dyDescent="0.2">
      <c r="F1391" s="258"/>
    </row>
    <row r="1392" spans="6:6" x14ac:dyDescent="0.2">
      <c r="F1392" s="258"/>
    </row>
    <row r="1393" spans="6:6" x14ac:dyDescent="0.2">
      <c r="F1393" s="258"/>
    </row>
    <row r="1394" spans="6:6" x14ac:dyDescent="0.2">
      <c r="F1394" s="258"/>
    </row>
    <row r="1395" spans="6:6" x14ac:dyDescent="0.2">
      <c r="F1395" s="258"/>
    </row>
    <row r="1396" spans="6:6" x14ac:dyDescent="0.2">
      <c r="F1396" s="258"/>
    </row>
    <row r="1397" spans="6:6" x14ac:dyDescent="0.2">
      <c r="F1397" s="258"/>
    </row>
    <row r="1398" spans="6:6" x14ac:dyDescent="0.2">
      <c r="F1398" s="258"/>
    </row>
    <row r="1399" spans="6:6" x14ac:dyDescent="0.2">
      <c r="F1399" s="258"/>
    </row>
    <row r="1400" spans="6:6" x14ac:dyDescent="0.2">
      <c r="F1400" s="258"/>
    </row>
    <row r="1401" spans="6:6" x14ac:dyDescent="0.2">
      <c r="F1401" s="258"/>
    </row>
    <row r="1402" spans="6:6" x14ac:dyDescent="0.2">
      <c r="F1402" s="258"/>
    </row>
    <row r="1403" spans="6:6" x14ac:dyDescent="0.2">
      <c r="F1403" s="258"/>
    </row>
    <row r="1404" spans="6:6" x14ac:dyDescent="0.2">
      <c r="F1404" s="258"/>
    </row>
    <row r="1405" spans="6:6" x14ac:dyDescent="0.2">
      <c r="F1405" s="258"/>
    </row>
    <row r="1406" spans="6:6" x14ac:dyDescent="0.2">
      <c r="F1406" s="258"/>
    </row>
    <row r="1407" spans="6:6" x14ac:dyDescent="0.2">
      <c r="F1407" s="258"/>
    </row>
    <row r="1408" spans="6:6" x14ac:dyDescent="0.2">
      <c r="F1408" s="258"/>
    </row>
    <row r="1409" spans="6:6" x14ac:dyDescent="0.2">
      <c r="F1409" s="258"/>
    </row>
    <row r="1410" spans="6:6" x14ac:dyDescent="0.2">
      <c r="F1410" s="258"/>
    </row>
    <row r="1411" spans="6:6" x14ac:dyDescent="0.2">
      <c r="F1411" s="258"/>
    </row>
    <row r="1412" spans="6:6" x14ac:dyDescent="0.2">
      <c r="F1412" s="258"/>
    </row>
    <row r="1413" spans="6:6" x14ac:dyDescent="0.2">
      <c r="F1413" s="258"/>
    </row>
    <row r="1414" spans="6:6" x14ac:dyDescent="0.2">
      <c r="F1414" s="258"/>
    </row>
    <row r="1415" spans="6:6" x14ac:dyDescent="0.2">
      <c r="F1415" s="258"/>
    </row>
    <row r="1416" spans="6:6" x14ac:dyDescent="0.2">
      <c r="F1416" s="258"/>
    </row>
    <row r="1417" spans="6:6" x14ac:dyDescent="0.2">
      <c r="F1417" s="258"/>
    </row>
    <row r="1418" spans="6:6" x14ac:dyDescent="0.2">
      <c r="F1418" s="258"/>
    </row>
    <row r="1419" spans="6:6" x14ac:dyDescent="0.2">
      <c r="F1419" s="258"/>
    </row>
    <row r="1420" spans="6:6" x14ac:dyDescent="0.2">
      <c r="F1420" s="258"/>
    </row>
    <row r="1421" spans="6:6" x14ac:dyDescent="0.2">
      <c r="F1421" s="258"/>
    </row>
    <row r="1422" spans="6:6" x14ac:dyDescent="0.2">
      <c r="F1422" s="258"/>
    </row>
    <row r="1423" spans="6:6" x14ac:dyDescent="0.2">
      <c r="F1423" s="258"/>
    </row>
    <row r="1424" spans="6:6" x14ac:dyDescent="0.2">
      <c r="F1424" s="258"/>
    </row>
    <row r="1425" spans="6:6" x14ac:dyDescent="0.2">
      <c r="F1425" s="258"/>
    </row>
    <row r="1426" spans="6:6" x14ac:dyDescent="0.2">
      <c r="F1426" s="258"/>
    </row>
    <row r="1427" spans="6:6" x14ac:dyDescent="0.2">
      <c r="F1427" s="258"/>
    </row>
    <row r="1428" spans="6:6" x14ac:dyDescent="0.2">
      <c r="F1428" s="258"/>
    </row>
    <row r="1429" spans="6:6" x14ac:dyDescent="0.2">
      <c r="F1429" s="258"/>
    </row>
    <row r="1430" spans="6:6" x14ac:dyDescent="0.2">
      <c r="F1430" s="258"/>
    </row>
    <row r="1431" spans="6:6" x14ac:dyDescent="0.2">
      <c r="F1431" s="258"/>
    </row>
    <row r="1432" spans="6:6" x14ac:dyDescent="0.2">
      <c r="F1432" s="258"/>
    </row>
    <row r="1433" spans="6:6" x14ac:dyDescent="0.2">
      <c r="F1433" s="258"/>
    </row>
    <row r="1434" spans="6:6" x14ac:dyDescent="0.2">
      <c r="F1434" s="258"/>
    </row>
    <row r="1435" spans="6:6" x14ac:dyDescent="0.2">
      <c r="F1435" s="258"/>
    </row>
    <row r="1436" spans="6:6" x14ac:dyDescent="0.2">
      <c r="F1436" s="258"/>
    </row>
    <row r="1437" spans="6:6" x14ac:dyDescent="0.2">
      <c r="F1437" s="258"/>
    </row>
    <row r="1438" spans="6:6" x14ac:dyDescent="0.2">
      <c r="F1438" s="258"/>
    </row>
    <row r="1439" spans="6:6" x14ac:dyDescent="0.2">
      <c r="F1439" s="258"/>
    </row>
    <row r="1440" spans="6:6" x14ac:dyDescent="0.2">
      <c r="F1440" s="258"/>
    </row>
    <row r="1441" spans="6:6" x14ac:dyDescent="0.2">
      <c r="F1441" s="258"/>
    </row>
    <row r="1442" spans="6:6" x14ac:dyDescent="0.2">
      <c r="F1442" s="258"/>
    </row>
    <row r="1443" spans="6:6" x14ac:dyDescent="0.2">
      <c r="F1443" s="258"/>
    </row>
    <row r="1444" spans="6:6" x14ac:dyDescent="0.2">
      <c r="F1444" s="258"/>
    </row>
    <row r="1445" spans="6:6" x14ac:dyDescent="0.2">
      <c r="F1445" s="258"/>
    </row>
    <row r="1446" spans="6:6" x14ac:dyDescent="0.2">
      <c r="F1446" s="258"/>
    </row>
    <row r="1447" spans="6:6" x14ac:dyDescent="0.2">
      <c r="F1447" s="258"/>
    </row>
    <row r="1448" spans="6:6" x14ac:dyDescent="0.2">
      <c r="F1448" s="258"/>
    </row>
    <row r="1449" spans="6:6" x14ac:dyDescent="0.2">
      <c r="F1449" s="258"/>
    </row>
    <row r="1450" spans="6:6" x14ac:dyDescent="0.2">
      <c r="F1450" s="258"/>
    </row>
    <row r="1451" spans="6:6" x14ac:dyDescent="0.2">
      <c r="F1451" s="258"/>
    </row>
    <row r="1452" spans="6:6" x14ac:dyDescent="0.2">
      <c r="F1452" s="258"/>
    </row>
    <row r="1453" spans="6:6" x14ac:dyDescent="0.2">
      <c r="F1453" s="258"/>
    </row>
    <row r="1454" spans="6:6" x14ac:dyDescent="0.2">
      <c r="F1454" s="258"/>
    </row>
    <row r="1455" spans="6:6" x14ac:dyDescent="0.2">
      <c r="F1455" s="258"/>
    </row>
    <row r="1456" spans="6:6" x14ac:dyDescent="0.2">
      <c r="F1456" s="258"/>
    </row>
    <row r="1457" spans="6:6" x14ac:dyDescent="0.2">
      <c r="F1457" s="258"/>
    </row>
    <row r="1458" spans="6:6" x14ac:dyDescent="0.2">
      <c r="F1458" s="258"/>
    </row>
    <row r="1459" spans="6:6" x14ac:dyDescent="0.2">
      <c r="F1459" s="258"/>
    </row>
    <row r="1460" spans="6:6" x14ac:dyDescent="0.2">
      <c r="F1460" s="258"/>
    </row>
    <row r="1461" spans="6:6" x14ac:dyDescent="0.2">
      <c r="F1461" s="258"/>
    </row>
    <row r="1462" spans="6:6" x14ac:dyDescent="0.2">
      <c r="F1462" s="258"/>
    </row>
    <row r="1463" spans="6:6" x14ac:dyDescent="0.2">
      <c r="F1463" s="258"/>
    </row>
    <row r="1464" spans="6:6" x14ac:dyDescent="0.2">
      <c r="F1464" s="258"/>
    </row>
    <row r="1465" spans="6:6" x14ac:dyDescent="0.2">
      <c r="F1465" s="258"/>
    </row>
    <row r="1466" spans="6:6" x14ac:dyDescent="0.2">
      <c r="F1466" s="258"/>
    </row>
    <row r="1467" spans="6:6" x14ac:dyDescent="0.2">
      <c r="F1467" s="258"/>
    </row>
    <row r="1468" spans="6:6" x14ac:dyDescent="0.2">
      <c r="F1468" s="258"/>
    </row>
    <row r="1469" spans="6:6" x14ac:dyDescent="0.2">
      <c r="F1469" s="258"/>
    </row>
    <row r="1470" spans="6:6" x14ac:dyDescent="0.2">
      <c r="F1470" s="258"/>
    </row>
    <row r="1471" spans="6:6" x14ac:dyDescent="0.2">
      <c r="F1471" s="258"/>
    </row>
    <row r="1472" spans="6:6" x14ac:dyDescent="0.2">
      <c r="F1472" s="258"/>
    </row>
    <row r="1473" spans="6:6" x14ac:dyDescent="0.2">
      <c r="F1473" s="258"/>
    </row>
    <row r="1474" spans="6:6" x14ac:dyDescent="0.2">
      <c r="F1474" s="258"/>
    </row>
    <row r="1475" spans="6:6" x14ac:dyDescent="0.2">
      <c r="F1475" s="258"/>
    </row>
    <row r="1476" spans="6:6" x14ac:dyDescent="0.2">
      <c r="F1476" s="258"/>
    </row>
    <row r="1477" spans="6:6" x14ac:dyDescent="0.2">
      <c r="F1477" s="258"/>
    </row>
    <row r="1478" spans="6:6" x14ac:dyDescent="0.2">
      <c r="F1478" s="258"/>
    </row>
    <row r="1479" spans="6:6" x14ac:dyDescent="0.2">
      <c r="F1479" s="258"/>
    </row>
    <row r="1480" spans="6:6" x14ac:dyDescent="0.2">
      <c r="F1480" s="258"/>
    </row>
    <row r="1481" spans="6:6" x14ac:dyDescent="0.2">
      <c r="F1481" s="258"/>
    </row>
    <row r="1482" spans="6:6" x14ac:dyDescent="0.2">
      <c r="F1482" s="258"/>
    </row>
    <row r="1483" spans="6:6" x14ac:dyDescent="0.2">
      <c r="F1483" s="258"/>
    </row>
    <row r="1484" spans="6:6" x14ac:dyDescent="0.2">
      <c r="F1484" s="258"/>
    </row>
    <row r="1485" spans="6:6" x14ac:dyDescent="0.2">
      <c r="F1485" s="258"/>
    </row>
    <row r="1486" spans="6:6" x14ac:dyDescent="0.2">
      <c r="F1486" s="258"/>
    </row>
    <row r="1487" spans="6:6" x14ac:dyDescent="0.2">
      <c r="F1487" s="258"/>
    </row>
    <row r="1488" spans="6:6" x14ac:dyDescent="0.2">
      <c r="F1488" s="258"/>
    </row>
    <row r="1489" spans="6:6" x14ac:dyDescent="0.2">
      <c r="F1489" s="258"/>
    </row>
    <row r="1490" spans="6:6" x14ac:dyDescent="0.2">
      <c r="F1490" s="258"/>
    </row>
    <row r="1491" spans="6:6" x14ac:dyDescent="0.2">
      <c r="F1491" s="258"/>
    </row>
    <row r="1492" spans="6:6" x14ac:dyDescent="0.2">
      <c r="F1492" s="258"/>
    </row>
    <row r="1493" spans="6:6" x14ac:dyDescent="0.2">
      <c r="F1493" s="258"/>
    </row>
    <row r="1494" spans="6:6" x14ac:dyDescent="0.2">
      <c r="F1494" s="258"/>
    </row>
    <row r="1495" spans="6:6" x14ac:dyDescent="0.2">
      <c r="F1495" s="258"/>
    </row>
    <row r="1496" spans="6:6" x14ac:dyDescent="0.2">
      <c r="F1496" s="258"/>
    </row>
    <row r="1497" spans="6:6" x14ac:dyDescent="0.2">
      <c r="F1497" s="258"/>
    </row>
    <row r="1498" spans="6:6" x14ac:dyDescent="0.2">
      <c r="F1498" s="258"/>
    </row>
    <row r="1499" spans="6:6" x14ac:dyDescent="0.2">
      <c r="F1499" s="258"/>
    </row>
    <row r="1500" spans="6:6" x14ac:dyDescent="0.2">
      <c r="F1500" s="258"/>
    </row>
    <row r="1501" spans="6:6" x14ac:dyDescent="0.2">
      <c r="F1501" s="258"/>
    </row>
    <row r="1502" spans="6:6" x14ac:dyDescent="0.2">
      <c r="F1502" s="258"/>
    </row>
    <row r="1503" spans="6:6" x14ac:dyDescent="0.2">
      <c r="F1503" s="258"/>
    </row>
    <row r="1504" spans="6:6" x14ac:dyDescent="0.2">
      <c r="F1504" s="258"/>
    </row>
    <row r="1505" spans="6:6" x14ac:dyDescent="0.2">
      <c r="F1505" s="258"/>
    </row>
    <row r="1506" spans="6:6" x14ac:dyDescent="0.2">
      <c r="F1506" s="258"/>
    </row>
    <row r="1507" spans="6:6" x14ac:dyDescent="0.2">
      <c r="F1507" s="258"/>
    </row>
    <row r="1508" spans="6:6" x14ac:dyDescent="0.2">
      <c r="F1508" s="258"/>
    </row>
    <row r="1509" spans="6:6" x14ac:dyDescent="0.2">
      <c r="F1509" s="258"/>
    </row>
    <row r="1510" spans="6:6" x14ac:dyDescent="0.2">
      <c r="F1510" s="258"/>
    </row>
    <row r="1511" spans="6:6" x14ac:dyDescent="0.2">
      <c r="F1511" s="258"/>
    </row>
    <row r="1512" spans="6:6" x14ac:dyDescent="0.2">
      <c r="F1512" s="258"/>
    </row>
    <row r="1513" spans="6:6" x14ac:dyDescent="0.2">
      <c r="F1513" s="258"/>
    </row>
    <row r="1514" spans="6:6" x14ac:dyDescent="0.2">
      <c r="F1514" s="258"/>
    </row>
    <row r="1515" spans="6:6" x14ac:dyDescent="0.2">
      <c r="F1515" s="258"/>
    </row>
    <row r="1516" spans="6:6" x14ac:dyDescent="0.2">
      <c r="F1516" s="258"/>
    </row>
    <row r="1517" spans="6:6" x14ac:dyDescent="0.2">
      <c r="F1517" s="258"/>
    </row>
    <row r="1518" spans="6:6" x14ac:dyDescent="0.2">
      <c r="F1518" s="258"/>
    </row>
    <row r="1519" spans="6:6" x14ac:dyDescent="0.2">
      <c r="F1519" s="258"/>
    </row>
    <row r="1520" spans="6:6" x14ac:dyDescent="0.2">
      <c r="F1520" s="258"/>
    </row>
    <row r="1521" spans="6:6" x14ac:dyDescent="0.2">
      <c r="F1521" s="258"/>
    </row>
    <row r="1522" spans="6:6" x14ac:dyDescent="0.2">
      <c r="F1522" s="258"/>
    </row>
    <row r="1523" spans="6:6" x14ac:dyDescent="0.2">
      <c r="F1523" s="258"/>
    </row>
    <row r="1524" spans="6:6" x14ac:dyDescent="0.2">
      <c r="F1524" s="258"/>
    </row>
    <row r="1525" spans="6:6" x14ac:dyDescent="0.2">
      <c r="F1525" s="258"/>
    </row>
    <row r="1526" spans="6:6" x14ac:dyDescent="0.2">
      <c r="F1526" s="258"/>
    </row>
    <row r="1527" spans="6:6" x14ac:dyDescent="0.2">
      <c r="F1527" s="258"/>
    </row>
    <row r="1528" spans="6:6" x14ac:dyDescent="0.2">
      <c r="F1528" s="258"/>
    </row>
    <row r="1529" spans="6:6" x14ac:dyDescent="0.2">
      <c r="F1529" s="258"/>
    </row>
    <row r="1530" spans="6:6" x14ac:dyDescent="0.2">
      <c r="F1530" s="258"/>
    </row>
    <row r="1531" spans="6:6" x14ac:dyDescent="0.2">
      <c r="F1531" s="258"/>
    </row>
    <row r="1532" spans="6:6" x14ac:dyDescent="0.2">
      <c r="F1532" s="258"/>
    </row>
    <row r="1533" spans="6:6" x14ac:dyDescent="0.2">
      <c r="F1533" s="258"/>
    </row>
    <row r="1534" spans="6:6" x14ac:dyDescent="0.2">
      <c r="F1534" s="258"/>
    </row>
    <row r="1535" spans="6:6" x14ac:dyDescent="0.2">
      <c r="F1535" s="258"/>
    </row>
    <row r="1536" spans="6:6" x14ac:dyDescent="0.2">
      <c r="F1536" s="258"/>
    </row>
    <row r="1537" spans="6:6" x14ac:dyDescent="0.2">
      <c r="F1537" s="258"/>
    </row>
    <row r="1538" spans="6:6" x14ac:dyDescent="0.2">
      <c r="F1538" s="258"/>
    </row>
    <row r="1539" spans="6:6" x14ac:dyDescent="0.2">
      <c r="F1539" s="258"/>
    </row>
    <row r="1540" spans="6:6" x14ac:dyDescent="0.2">
      <c r="F1540" s="258"/>
    </row>
    <row r="1541" spans="6:6" x14ac:dyDescent="0.2">
      <c r="F1541" s="258"/>
    </row>
    <row r="1542" spans="6:6" x14ac:dyDescent="0.2">
      <c r="F1542" s="258"/>
    </row>
    <row r="1543" spans="6:6" x14ac:dyDescent="0.2">
      <c r="F1543" s="258"/>
    </row>
    <row r="1544" spans="6:6" x14ac:dyDescent="0.2">
      <c r="F1544" s="258"/>
    </row>
    <row r="1545" spans="6:6" x14ac:dyDescent="0.2">
      <c r="F1545" s="258"/>
    </row>
    <row r="1546" spans="6:6" x14ac:dyDescent="0.2">
      <c r="F1546" s="258"/>
    </row>
    <row r="1547" spans="6:6" x14ac:dyDescent="0.2">
      <c r="F1547" s="258"/>
    </row>
    <row r="1548" spans="6:6" x14ac:dyDescent="0.2">
      <c r="F1548" s="258"/>
    </row>
    <row r="1549" spans="6:6" x14ac:dyDescent="0.2">
      <c r="F1549" s="258"/>
    </row>
    <row r="1550" spans="6:6" x14ac:dyDescent="0.2">
      <c r="F1550" s="258"/>
    </row>
    <row r="1551" spans="6:6" x14ac:dyDescent="0.2">
      <c r="F1551" s="258"/>
    </row>
    <row r="1552" spans="6:6" x14ac:dyDescent="0.2">
      <c r="F1552" s="258"/>
    </row>
    <row r="1553" spans="6:6" x14ac:dyDescent="0.2">
      <c r="F1553" s="258"/>
    </row>
    <row r="1554" spans="6:6" x14ac:dyDescent="0.2">
      <c r="F1554" s="258"/>
    </row>
    <row r="1555" spans="6:6" x14ac:dyDescent="0.2">
      <c r="F1555" s="258"/>
    </row>
    <row r="1556" spans="6:6" x14ac:dyDescent="0.2">
      <c r="F1556" s="258"/>
    </row>
    <row r="1557" spans="6:6" x14ac:dyDescent="0.2">
      <c r="F1557" s="258"/>
    </row>
    <row r="1558" spans="6:6" x14ac:dyDescent="0.2">
      <c r="F1558" s="258"/>
    </row>
    <row r="1559" spans="6:6" x14ac:dyDescent="0.2">
      <c r="F1559" s="258"/>
    </row>
    <row r="1560" spans="6:6" x14ac:dyDescent="0.2">
      <c r="F1560" s="258"/>
    </row>
    <row r="1561" spans="6:6" x14ac:dyDescent="0.2">
      <c r="F1561" s="258"/>
    </row>
    <row r="1562" spans="6:6" x14ac:dyDescent="0.2">
      <c r="F1562" s="258"/>
    </row>
    <row r="1563" spans="6:6" x14ac:dyDescent="0.2">
      <c r="F1563" s="258"/>
    </row>
    <row r="1564" spans="6:6" x14ac:dyDescent="0.2">
      <c r="F1564" s="258"/>
    </row>
    <row r="1565" spans="6:6" x14ac:dyDescent="0.2">
      <c r="F1565" s="258"/>
    </row>
    <row r="1566" spans="6:6" x14ac:dyDescent="0.2">
      <c r="F1566" s="258"/>
    </row>
    <row r="1567" spans="6:6" x14ac:dyDescent="0.2">
      <c r="F1567" s="258"/>
    </row>
    <row r="1568" spans="6:6" x14ac:dyDescent="0.2">
      <c r="F1568" s="258"/>
    </row>
    <row r="1569" spans="6:6" x14ac:dyDescent="0.2">
      <c r="F1569" s="258"/>
    </row>
    <row r="1570" spans="6:6" x14ac:dyDescent="0.2">
      <c r="F1570" s="258"/>
    </row>
    <row r="1571" spans="6:6" x14ac:dyDescent="0.2">
      <c r="F1571" s="258"/>
    </row>
    <row r="1572" spans="6:6" x14ac:dyDescent="0.2">
      <c r="F1572" s="258"/>
    </row>
    <row r="1573" spans="6:6" x14ac:dyDescent="0.2">
      <c r="F1573" s="258"/>
    </row>
    <row r="1574" spans="6:6" x14ac:dyDescent="0.2">
      <c r="F1574" s="258"/>
    </row>
    <row r="1575" spans="6:6" x14ac:dyDescent="0.2">
      <c r="F1575" s="258"/>
    </row>
    <row r="1576" spans="6:6" x14ac:dyDescent="0.2">
      <c r="F1576" s="258"/>
    </row>
    <row r="1577" spans="6:6" x14ac:dyDescent="0.2">
      <c r="F1577" s="258"/>
    </row>
    <row r="1578" spans="6:6" x14ac:dyDescent="0.2">
      <c r="F1578" s="258"/>
    </row>
    <row r="1579" spans="6:6" x14ac:dyDescent="0.2">
      <c r="F1579" s="258"/>
    </row>
    <row r="1580" spans="6:6" x14ac:dyDescent="0.2">
      <c r="F1580" s="258"/>
    </row>
    <row r="1581" spans="6:6" x14ac:dyDescent="0.2">
      <c r="F1581" s="258"/>
    </row>
    <row r="1582" spans="6:6" x14ac:dyDescent="0.2">
      <c r="F1582" s="258"/>
    </row>
    <row r="1583" spans="6:6" x14ac:dyDescent="0.2">
      <c r="F1583" s="258"/>
    </row>
    <row r="1584" spans="6:6" x14ac:dyDescent="0.2">
      <c r="F1584" s="258"/>
    </row>
    <row r="1585" spans="6:6" x14ac:dyDescent="0.2">
      <c r="F1585" s="258"/>
    </row>
    <row r="1586" spans="6:6" x14ac:dyDescent="0.2">
      <c r="F1586" s="258"/>
    </row>
    <row r="1587" spans="6:6" x14ac:dyDescent="0.2">
      <c r="F1587" s="258"/>
    </row>
    <row r="1588" spans="6:6" x14ac:dyDescent="0.2">
      <c r="F1588" s="258"/>
    </row>
    <row r="1589" spans="6:6" x14ac:dyDescent="0.2">
      <c r="F1589" s="258"/>
    </row>
    <row r="1590" spans="6:6" x14ac:dyDescent="0.2">
      <c r="F1590" s="258"/>
    </row>
    <row r="1591" spans="6:6" x14ac:dyDescent="0.2">
      <c r="F1591" s="258"/>
    </row>
    <row r="1592" spans="6:6" x14ac:dyDescent="0.2">
      <c r="F1592" s="258"/>
    </row>
    <row r="1593" spans="6:6" x14ac:dyDescent="0.2">
      <c r="F1593" s="258"/>
    </row>
    <row r="1594" spans="6:6" x14ac:dyDescent="0.2">
      <c r="F1594" s="258"/>
    </row>
    <row r="1595" spans="6:6" x14ac:dyDescent="0.2">
      <c r="F1595" s="258"/>
    </row>
    <row r="1596" spans="6:6" x14ac:dyDescent="0.2">
      <c r="F1596" s="258"/>
    </row>
    <row r="1597" spans="6:6" x14ac:dyDescent="0.2">
      <c r="F1597" s="258"/>
    </row>
    <row r="1598" spans="6:6" x14ac:dyDescent="0.2">
      <c r="F1598" s="258"/>
    </row>
    <row r="1599" spans="6:6" x14ac:dyDescent="0.2">
      <c r="F1599" s="258"/>
    </row>
    <row r="1600" spans="6:6" x14ac:dyDescent="0.2">
      <c r="F1600" s="258"/>
    </row>
    <row r="1601" spans="6:6" x14ac:dyDescent="0.2">
      <c r="F1601" s="258"/>
    </row>
    <row r="1602" spans="6:6" x14ac:dyDescent="0.2">
      <c r="F1602" s="258"/>
    </row>
    <row r="1603" spans="6:6" x14ac:dyDescent="0.2">
      <c r="F1603" s="258"/>
    </row>
    <row r="1604" spans="6:6" x14ac:dyDescent="0.2">
      <c r="F1604" s="258"/>
    </row>
    <row r="1605" spans="6:6" x14ac:dyDescent="0.2">
      <c r="F1605" s="258"/>
    </row>
    <row r="1606" spans="6:6" x14ac:dyDescent="0.2">
      <c r="F1606" s="258"/>
    </row>
    <row r="1607" spans="6:6" x14ac:dyDescent="0.2">
      <c r="F1607" s="258"/>
    </row>
    <row r="1608" spans="6:6" x14ac:dyDescent="0.2">
      <c r="F1608" s="258"/>
    </row>
    <row r="1609" spans="6:6" x14ac:dyDescent="0.2">
      <c r="F1609" s="258"/>
    </row>
    <row r="1610" spans="6:6" x14ac:dyDescent="0.2">
      <c r="F1610" s="258"/>
    </row>
    <row r="1611" spans="6:6" x14ac:dyDescent="0.2">
      <c r="F1611" s="258"/>
    </row>
    <row r="1612" spans="6:6" x14ac:dyDescent="0.2">
      <c r="F1612" s="258"/>
    </row>
    <row r="1613" spans="6:6" x14ac:dyDescent="0.2">
      <c r="F1613" s="258"/>
    </row>
    <row r="1614" spans="6:6" x14ac:dyDescent="0.2">
      <c r="F1614" s="258"/>
    </row>
    <row r="1615" spans="6:6" x14ac:dyDescent="0.2">
      <c r="F1615" s="258"/>
    </row>
    <row r="1616" spans="6:6" x14ac:dyDescent="0.2">
      <c r="F1616" s="258"/>
    </row>
    <row r="1617" spans="6:6" x14ac:dyDescent="0.2">
      <c r="F1617" s="258"/>
    </row>
    <row r="1618" spans="6:6" x14ac:dyDescent="0.2">
      <c r="F1618" s="258"/>
    </row>
    <row r="1619" spans="6:6" x14ac:dyDescent="0.2">
      <c r="F1619" s="258"/>
    </row>
    <row r="1620" spans="6:6" x14ac:dyDescent="0.2">
      <c r="F1620" s="258"/>
    </row>
    <row r="1621" spans="6:6" x14ac:dyDescent="0.2">
      <c r="F1621" s="258"/>
    </row>
    <row r="1622" spans="6:6" x14ac:dyDescent="0.2">
      <c r="F1622" s="258"/>
    </row>
    <row r="1623" spans="6:6" x14ac:dyDescent="0.2">
      <c r="F1623" s="258"/>
    </row>
    <row r="1624" spans="6:6" x14ac:dyDescent="0.2">
      <c r="F1624" s="258"/>
    </row>
    <row r="1625" spans="6:6" x14ac:dyDescent="0.2">
      <c r="F1625" s="258"/>
    </row>
    <row r="1626" spans="6:6" x14ac:dyDescent="0.2">
      <c r="F1626" s="258"/>
    </row>
    <row r="1627" spans="6:6" x14ac:dyDescent="0.2">
      <c r="F1627" s="258"/>
    </row>
    <row r="1628" spans="6:6" x14ac:dyDescent="0.2">
      <c r="F1628" s="258"/>
    </row>
    <row r="1629" spans="6:6" x14ac:dyDescent="0.2">
      <c r="F1629" s="258"/>
    </row>
    <row r="1630" spans="6:6" x14ac:dyDescent="0.2">
      <c r="F1630" s="258"/>
    </row>
    <row r="1631" spans="6:6" x14ac:dyDescent="0.2">
      <c r="F1631" s="258"/>
    </row>
    <row r="1632" spans="6:6" x14ac:dyDescent="0.2">
      <c r="F1632" s="258"/>
    </row>
    <row r="1633" spans="6:6" x14ac:dyDescent="0.2">
      <c r="F1633" s="258"/>
    </row>
    <row r="1634" spans="6:6" x14ac:dyDescent="0.2">
      <c r="F1634" s="258"/>
    </row>
    <row r="1635" spans="6:6" x14ac:dyDescent="0.2">
      <c r="F1635" s="258"/>
    </row>
    <row r="1636" spans="6:6" x14ac:dyDescent="0.2">
      <c r="F1636" s="258"/>
    </row>
    <row r="1637" spans="6:6" x14ac:dyDescent="0.2">
      <c r="F1637" s="258"/>
    </row>
    <row r="1638" spans="6:6" x14ac:dyDescent="0.2">
      <c r="F1638" s="258"/>
    </row>
    <row r="1639" spans="6:6" x14ac:dyDescent="0.2">
      <c r="F1639" s="258"/>
    </row>
    <row r="1640" spans="6:6" x14ac:dyDescent="0.2">
      <c r="F1640" s="258"/>
    </row>
    <row r="1641" spans="6:6" x14ac:dyDescent="0.2">
      <c r="F1641" s="258"/>
    </row>
    <row r="1642" spans="6:6" x14ac:dyDescent="0.2">
      <c r="F1642" s="258"/>
    </row>
    <row r="1643" spans="6:6" x14ac:dyDescent="0.2">
      <c r="F1643" s="258"/>
    </row>
    <row r="1644" spans="6:6" x14ac:dyDescent="0.2">
      <c r="F1644" s="258"/>
    </row>
    <row r="1645" spans="6:6" x14ac:dyDescent="0.2">
      <c r="F1645" s="258"/>
    </row>
    <row r="1646" spans="6:6" x14ac:dyDescent="0.2">
      <c r="F1646" s="258"/>
    </row>
    <row r="1647" spans="6:6" x14ac:dyDescent="0.2">
      <c r="F1647" s="258"/>
    </row>
    <row r="1648" spans="6:6" x14ac:dyDescent="0.2">
      <c r="F1648" s="258"/>
    </row>
    <row r="1649" spans="6:6" x14ac:dyDescent="0.2">
      <c r="F1649" s="258"/>
    </row>
    <row r="1650" spans="6:6" x14ac:dyDescent="0.2">
      <c r="F1650" s="258"/>
    </row>
    <row r="1651" spans="6:6" x14ac:dyDescent="0.2">
      <c r="F1651" s="258"/>
    </row>
    <row r="1652" spans="6:6" x14ac:dyDescent="0.2">
      <c r="F1652" s="258"/>
    </row>
    <row r="1653" spans="6:6" x14ac:dyDescent="0.2">
      <c r="F1653" s="258"/>
    </row>
    <row r="1654" spans="6:6" x14ac:dyDescent="0.2">
      <c r="F1654" s="258"/>
    </row>
    <row r="1655" spans="6:6" x14ac:dyDescent="0.2">
      <c r="F1655" s="258"/>
    </row>
    <row r="1656" spans="6:6" x14ac:dyDescent="0.2">
      <c r="F1656" s="258"/>
    </row>
    <row r="1657" spans="6:6" x14ac:dyDescent="0.2">
      <c r="F1657" s="258"/>
    </row>
    <row r="1658" spans="6:6" x14ac:dyDescent="0.2">
      <c r="F1658" s="258"/>
    </row>
    <row r="1659" spans="6:6" x14ac:dyDescent="0.2">
      <c r="F1659" s="258"/>
    </row>
    <row r="1660" spans="6:6" x14ac:dyDescent="0.2">
      <c r="F1660" s="258"/>
    </row>
    <row r="1661" spans="6:6" x14ac:dyDescent="0.2">
      <c r="F1661" s="258"/>
    </row>
    <row r="1662" spans="6:6" x14ac:dyDescent="0.2">
      <c r="F1662" s="258"/>
    </row>
    <row r="1663" spans="6:6" x14ac:dyDescent="0.2">
      <c r="F1663" s="258"/>
    </row>
    <row r="1664" spans="6:6" x14ac:dyDescent="0.2">
      <c r="F1664" s="258"/>
    </row>
    <row r="1665" spans="6:6" x14ac:dyDescent="0.2">
      <c r="F1665" s="258"/>
    </row>
    <row r="1666" spans="6:6" x14ac:dyDescent="0.2">
      <c r="F1666" s="258"/>
    </row>
    <row r="1667" spans="6:6" x14ac:dyDescent="0.2">
      <c r="F1667" s="258"/>
    </row>
    <row r="1668" spans="6:6" x14ac:dyDescent="0.2">
      <c r="F1668" s="258"/>
    </row>
    <row r="1669" spans="6:6" x14ac:dyDescent="0.2">
      <c r="F1669" s="258"/>
    </row>
    <row r="1670" spans="6:6" x14ac:dyDescent="0.2">
      <c r="F1670" s="258"/>
    </row>
    <row r="1671" spans="6:6" x14ac:dyDescent="0.2">
      <c r="F1671" s="258"/>
    </row>
    <row r="1672" spans="6:6" x14ac:dyDescent="0.2">
      <c r="F1672" s="258"/>
    </row>
    <row r="1673" spans="6:6" x14ac:dyDescent="0.2">
      <c r="F1673" s="258"/>
    </row>
    <row r="1674" spans="6:6" x14ac:dyDescent="0.2">
      <c r="F1674" s="258"/>
    </row>
    <row r="1675" spans="6:6" x14ac:dyDescent="0.2">
      <c r="F1675" s="258"/>
    </row>
    <row r="1676" spans="6:6" x14ac:dyDescent="0.2">
      <c r="F1676" s="258"/>
    </row>
    <row r="1677" spans="6:6" x14ac:dyDescent="0.2">
      <c r="F1677" s="258"/>
    </row>
    <row r="1678" spans="6:6" x14ac:dyDescent="0.2">
      <c r="F1678" s="258"/>
    </row>
    <row r="1679" spans="6:6" x14ac:dyDescent="0.2">
      <c r="F1679" s="258"/>
    </row>
    <row r="1680" spans="6:6" x14ac:dyDescent="0.2">
      <c r="F1680" s="258"/>
    </row>
    <row r="1681" spans="6:6" x14ac:dyDescent="0.2">
      <c r="F1681" s="258"/>
    </row>
    <row r="1682" spans="6:6" x14ac:dyDescent="0.2">
      <c r="F1682" s="258"/>
    </row>
    <row r="1683" spans="6:6" x14ac:dyDescent="0.2">
      <c r="F1683" s="258"/>
    </row>
    <row r="1684" spans="6:6" x14ac:dyDescent="0.2">
      <c r="F1684" s="258"/>
    </row>
    <row r="1685" spans="6:6" x14ac:dyDescent="0.2">
      <c r="F1685" s="258"/>
    </row>
    <row r="1686" spans="6:6" x14ac:dyDescent="0.2">
      <c r="F1686" s="258"/>
    </row>
    <row r="1687" spans="6:6" x14ac:dyDescent="0.2">
      <c r="F1687" s="258"/>
    </row>
    <row r="1688" spans="6:6" x14ac:dyDescent="0.2">
      <c r="F1688" s="258"/>
    </row>
    <row r="1689" spans="6:6" x14ac:dyDescent="0.2">
      <c r="F1689" s="258"/>
    </row>
    <row r="1690" spans="6:6" x14ac:dyDescent="0.2">
      <c r="F1690" s="258"/>
    </row>
    <row r="1691" spans="6:6" x14ac:dyDescent="0.2">
      <c r="F1691" s="258"/>
    </row>
    <row r="1692" spans="6:6" x14ac:dyDescent="0.2">
      <c r="F1692" s="258"/>
    </row>
    <row r="1693" spans="6:6" x14ac:dyDescent="0.2">
      <c r="F1693" s="258"/>
    </row>
    <row r="1694" spans="6:6" x14ac:dyDescent="0.2">
      <c r="F1694" s="258"/>
    </row>
    <row r="1695" spans="6:6" x14ac:dyDescent="0.2">
      <c r="F1695" s="258"/>
    </row>
    <row r="1696" spans="6:6" x14ac:dyDescent="0.2">
      <c r="F1696" s="258"/>
    </row>
    <row r="1697" spans="6:6" x14ac:dyDescent="0.2">
      <c r="F1697" s="258"/>
    </row>
    <row r="1698" spans="6:6" x14ac:dyDescent="0.2">
      <c r="F1698" s="258"/>
    </row>
    <row r="1699" spans="6:6" x14ac:dyDescent="0.2">
      <c r="F1699" s="258"/>
    </row>
    <row r="1700" spans="6:6" x14ac:dyDescent="0.2">
      <c r="F1700" s="258"/>
    </row>
    <row r="1701" spans="6:6" x14ac:dyDescent="0.2">
      <c r="F1701" s="258"/>
    </row>
    <row r="1702" spans="6:6" x14ac:dyDescent="0.2">
      <c r="F1702" s="258"/>
    </row>
    <row r="1703" spans="6:6" x14ac:dyDescent="0.2">
      <c r="F1703" s="258"/>
    </row>
    <row r="1704" spans="6:6" x14ac:dyDescent="0.2">
      <c r="F1704" s="258"/>
    </row>
    <row r="1705" spans="6:6" x14ac:dyDescent="0.2">
      <c r="F1705" s="258"/>
    </row>
    <row r="1706" spans="6:6" x14ac:dyDescent="0.2">
      <c r="F1706" s="258"/>
    </row>
    <row r="1707" spans="6:6" x14ac:dyDescent="0.2">
      <c r="F1707" s="258"/>
    </row>
    <row r="1708" spans="6:6" x14ac:dyDescent="0.2">
      <c r="F1708" s="258"/>
    </row>
    <row r="1709" spans="6:6" x14ac:dyDescent="0.2">
      <c r="F1709" s="258"/>
    </row>
    <row r="1710" spans="6:6" x14ac:dyDescent="0.2">
      <c r="F1710" s="258"/>
    </row>
    <row r="1711" spans="6:6" x14ac:dyDescent="0.2">
      <c r="F1711" s="258"/>
    </row>
    <row r="1712" spans="6:6" x14ac:dyDescent="0.2">
      <c r="F1712" s="258"/>
    </row>
    <row r="1713" spans="6:6" x14ac:dyDescent="0.2">
      <c r="F1713" s="258"/>
    </row>
    <row r="1714" spans="6:6" x14ac:dyDescent="0.2">
      <c r="F1714" s="258"/>
    </row>
    <row r="1715" spans="6:6" x14ac:dyDescent="0.2">
      <c r="F1715" s="258"/>
    </row>
    <row r="1716" spans="6:6" x14ac:dyDescent="0.2">
      <c r="F1716" s="258"/>
    </row>
    <row r="1717" spans="6:6" x14ac:dyDescent="0.2">
      <c r="F1717" s="258"/>
    </row>
    <row r="1718" spans="6:6" x14ac:dyDescent="0.2">
      <c r="F1718" s="258"/>
    </row>
    <row r="1719" spans="6:6" x14ac:dyDescent="0.2">
      <c r="F1719" s="258"/>
    </row>
    <row r="1720" spans="6:6" x14ac:dyDescent="0.2">
      <c r="F1720" s="258"/>
    </row>
    <row r="1721" spans="6:6" x14ac:dyDescent="0.2">
      <c r="F1721" s="258"/>
    </row>
    <row r="1722" spans="6:6" x14ac:dyDescent="0.2">
      <c r="F1722" s="258"/>
    </row>
    <row r="1723" spans="6:6" x14ac:dyDescent="0.2">
      <c r="F1723" s="258"/>
    </row>
    <row r="1724" spans="6:6" x14ac:dyDescent="0.2">
      <c r="F1724" s="258"/>
    </row>
    <row r="1725" spans="6:6" x14ac:dyDescent="0.2">
      <c r="F1725" s="258"/>
    </row>
    <row r="1726" spans="6:6" x14ac:dyDescent="0.2">
      <c r="F1726" s="258"/>
    </row>
    <row r="1727" spans="6:6" x14ac:dyDescent="0.2">
      <c r="F1727" s="258"/>
    </row>
    <row r="1728" spans="6:6" x14ac:dyDescent="0.2">
      <c r="F1728" s="258"/>
    </row>
    <row r="1729" spans="6:6" x14ac:dyDescent="0.2">
      <c r="F1729" s="258"/>
    </row>
    <row r="1730" spans="6:6" x14ac:dyDescent="0.2">
      <c r="F1730" s="258"/>
    </row>
    <row r="1731" spans="6:6" x14ac:dyDescent="0.2">
      <c r="F1731" s="258"/>
    </row>
    <row r="1732" spans="6:6" x14ac:dyDescent="0.2">
      <c r="F1732" s="258"/>
    </row>
    <row r="1733" spans="6:6" x14ac:dyDescent="0.2">
      <c r="F1733" s="258"/>
    </row>
    <row r="1734" spans="6:6" x14ac:dyDescent="0.2">
      <c r="F1734" s="258"/>
    </row>
    <row r="1735" spans="6:6" x14ac:dyDescent="0.2">
      <c r="F1735" s="258"/>
    </row>
    <row r="1736" spans="6:6" x14ac:dyDescent="0.2">
      <c r="F1736" s="258"/>
    </row>
    <row r="1737" spans="6:6" x14ac:dyDescent="0.2">
      <c r="F1737" s="258"/>
    </row>
    <row r="1738" spans="6:6" x14ac:dyDescent="0.2">
      <c r="F1738" s="258"/>
    </row>
    <row r="1739" spans="6:6" x14ac:dyDescent="0.2">
      <c r="F1739" s="258"/>
    </row>
    <row r="1740" spans="6:6" x14ac:dyDescent="0.2">
      <c r="F1740" s="258"/>
    </row>
    <row r="1741" spans="6:6" x14ac:dyDescent="0.2">
      <c r="F1741" s="258"/>
    </row>
    <row r="1742" spans="6:6" x14ac:dyDescent="0.2">
      <c r="F1742" s="258"/>
    </row>
    <row r="1743" spans="6:6" x14ac:dyDescent="0.2">
      <c r="F1743" s="258"/>
    </row>
    <row r="1744" spans="6:6" x14ac:dyDescent="0.2">
      <c r="F1744" s="258"/>
    </row>
    <row r="1745" spans="6:6" x14ac:dyDescent="0.2">
      <c r="F1745" s="258"/>
    </row>
    <row r="1746" spans="6:6" x14ac:dyDescent="0.2">
      <c r="F1746" s="258"/>
    </row>
    <row r="1747" spans="6:6" x14ac:dyDescent="0.2">
      <c r="F1747" s="258"/>
    </row>
    <row r="1748" spans="6:6" x14ac:dyDescent="0.2">
      <c r="F1748" s="258"/>
    </row>
    <row r="1749" spans="6:6" x14ac:dyDescent="0.2">
      <c r="F1749" s="258"/>
    </row>
    <row r="1750" spans="6:6" x14ac:dyDescent="0.2">
      <c r="F1750" s="258"/>
    </row>
    <row r="1751" spans="6:6" x14ac:dyDescent="0.2">
      <c r="F1751" s="258"/>
    </row>
    <row r="1752" spans="6:6" x14ac:dyDescent="0.2">
      <c r="F1752" s="258"/>
    </row>
    <row r="1753" spans="6:6" x14ac:dyDescent="0.2">
      <c r="F1753" s="258"/>
    </row>
    <row r="1754" spans="6:6" x14ac:dyDescent="0.2">
      <c r="F1754" s="258"/>
    </row>
    <row r="1755" spans="6:6" x14ac:dyDescent="0.2">
      <c r="F1755" s="258"/>
    </row>
    <row r="1756" spans="6:6" x14ac:dyDescent="0.2">
      <c r="F1756" s="258"/>
    </row>
    <row r="1757" spans="6:6" x14ac:dyDescent="0.2">
      <c r="F1757" s="258"/>
    </row>
    <row r="1758" spans="6:6" x14ac:dyDescent="0.2">
      <c r="F1758" s="258"/>
    </row>
    <row r="1759" spans="6:6" x14ac:dyDescent="0.2">
      <c r="F1759" s="258"/>
    </row>
    <row r="1760" spans="6:6" x14ac:dyDescent="0.2">
      <c r="F1760" s="258"/>
    </row>
    <row r="1761" spans="6:6" x14ac:dyDescent="0.2">
      <c r="F1761" s="258"/>
    </row>
    <row r="1762" spans="6:6" x14ac:dyDescent="0.2">
      <c r="F1762" s="258"/>
    </row>
    <row r="1763" spans="6:6" x14ac:dyDescent="0.2">
      <c r="F1763" s="258"/>
    </row>
    <row r="1764" spans="6:6" x14ac:dyDescent="0.2">
      <c r="F1764" s="258"/>
    </row>
    <row r="1765" spans="6:6" x14ac:dyDescent="0.2">
      <c r="F1765" s="258"/>
    </row>
    <row r="1766" spans="6:6" x14ac:dyDescent="0.2">
      <c r="F1766" s="258"/>
    </row>
    <row r="1767" spans="6:6" x14ac:dyDescent="0.2">
      <c r="F1767" s="258"/>
    </row>
    <row r="1768" spans="6:6" x14ac:dyDescent="0.2">
      <c r="F1768" s="258"/>
    </row>
    <row r="1769" spans="6:6" x14ac:dyDescent="0.2">
      <c r="F1769" s="258"/>
    </row>
    <row r="1770" spans="6:6" x14ac:dyDescent="0.2">
      <c r="F1770" s="258"/>
    </row>
    <row r="1771" spans="6:6" x14ac:dyDescent="0.2">
      <c r="F1771" s="258"/>
    </row>
    <row r="1772" spans="6:6" x14ac:dyDescent="0.2">
      <c r="F1772" s="258"/>
    </row>
    <row r="1773" spans="6:6" x14ac:dyDescent="0.2">
      <c r="F1773" s="258"/>
    </row>
    <row r="1774" spans="6:6" x14ac:dyDescent="0.2">
      <c r="F1774" s="258"/>
    </row>
    <row r="1775" spans="6:6" x14ac:dyDescent="0.2">
      <c r="F1775" s="258"/>
    </row>
    <row r="1776" spans="6:6" x14ac:dyDescent="0.2">
      <c r="F1776" s="258"/>
    </row>
    <row r="1777" spans="6:6" x14ac:dyDescent="0.2">
      <c r="F1777" s="258"/>
    </row>
    <row r="1778" spans="6:6" x14ac:dyDescent="0.2">
      <c r="F1778" s="258"/>
    </row>
    <row r="1779" spans="6:6" x14ac:dyDescent="0.2">
      <c r="F1779" s="258"/>
    </row>
    <row r="1780" spans="6:6" x14ac:dyDescent="0.2">
      <c r="F1780" s="258"/>
    </row>
    <row r="1781" spans="6:6" x14ac:dyDescent="0.2">
      <c r="F1781" s="258"/>
    </row>
    <row r="1782" spans="6:6" x14ac:dyDescent="0.2">
      <c r="F1782" s="258"/>
    </row>
    <row r="1783" spans="6:6" x14ac:dyDescent="0.2">
      <c r="F1783" s="258"/>
    </row>
    <row r="1784" spans="6:6" x14ac:dyDescent="0.2">
      <c r="F1784" s="258"/>
    </row>
    <row r="1785" spans="6:6" x14ac:dyDescent="0.2">
      <c r="F1785" s="258"/>
    </row>
    <row r="1786" spans="6:6" x14ac:dyDescent="0.2">
      <c r="F1786" s="258"/>
    </row>
    <row r="1787" spans="6:6" x14ac:dyDescent="0.2">
      <c r="F1787" s="258"/>
    </row>
    <row r="1788" spans="6:6" x14ac:dyDescent="0.2">
      <c r="F1788" s="258"/>
    </row>
    <row r="1789" spans="6:6" x14ac:dyDescent="0.2">
      <c r="F1789" s="258"/>
    </row>
    <row r="1790" spans="6:6" x14ac:dyDescent="0.2">
      <c r="F1790" s="258"/>
    </row>
    <row r="1791" spans="6:6" x14ac:dyDescent="0.2">
      <c r="F1791" s="258"/>
    </row>
    <row r="1792" spans="6:6" x14ac:dyDescent="0.2">
      <c r="F1792" s="258"/>
    </row>
    <row r="1793" spans="6:6" x14ac:dyDescent="0.2">
      <c r="F1793" s="258"/>
    </row>
    <row r="1794" spans="6:6" x14ac:dyDescent="0.2">
      <c r="F1794" s="258"/>
    </row>
    <row r="1795" spans="6:6" x14ac:dyDescent="0.2">
      <c r="F1795" s="258"/>
    </row>
    <row r="1796" spans="6:6" x14ac:dyDescent="0.2">
      <c r="F1796" s="258"/>
    </row>
    <row r="1797" spans="6:6" x14ac:dyDescent="0.2">
      <c r="F1797" s="258"/>
    </row>
    <row r="1798" spans="6:6" x14ac:dyDescent="0.2">
      <c r="F1798" s="258"/>
    </row>
    <row r="1799" spans="6:6" x14ac:dyDescent="0.2">
      <c r="F1799" s="258"/>
    </row>
    <row r="1800" spans="6:6" x14ac:dyDescent="0.2">
      <c r="F1800" s="258"/>
    </row>
    <row r="1801" spans="6:6" x14ac:dyDescent="0.2">
      <c r="F1801" s="258"/>
    </row>
    <row r="1802" spans="6:6" x14ac:dyDescent="0.2">
      <c r="F1802" s="258"/>
    </row>
    <row r="1803" spans="6:6" x14ac:dyDescent="0.2">
      <c r="F1803" s="258"/>
    </row>
    <row r="1804" spans="6:6" x14ac:dyDescent="0.2">
      <c r="F1804" s="258"/>
    </row>
    <row r="1805" spans="6:6" x14ac:dyDescent="0.2">
      <c r="F1805" s="258"/>
    </row>
    <row r="1806" spans="6:6" x14ac:dyDescent="0.2">
      <c r="F1806" s="258"/>
    </row>
    <row r="1807" spans="6:6" x14ac:dyDescent="0.2">
      <c r="F1807" s="258"/>
    </row>
    <row r="1808" spans="6:6" x14ac:dyDescent="0.2">
      <c r="F1808" s="258"/>
    </row>
    <row r="1809" spans="6:6" x14ac:dyDescent="0.2">
      <c r="F1809" s="258"/>
    </row>
    <row r="1810" spans="6:6" x14ac:dyDescent="0.2">
      <c r="F1810" s="258"/>
    </row>
    <row r="1811" spans="6:6" x14ac:dyDescent="0.2">
      <c r="F1811" s="258"/>
    </row>
    <row r="1812" spans="6:6" x14ac:dyDescent="0.2">
      <c r="F1812" s="258"/>
    </row>
    <row r="1813" spans="6:6" x14ac:dyDescent="0.2">
      <c r="F1813" s="258"/>
    </row>
    <row r="1814" spans="6:6" x14ac:dyDescent="0.2">
      <c r="F1814" s="258"/>
    </row>
    <row r="1815" spans="6:6" x14ac:dyDescent="0.2">
      <c r="F1815" s="258"/>
    </row>
    <row r="1816" spans="6:6" x14ac:dyDescent="0.2">
      <c r="F1816" s="258"/>
    </row>
    <row r="1817" spans="6:6" x14ac:dyDescent="0.2">
      <c r="F1817" s="258"/>
    </row>
    <row r="1818" spans="6:6" x14ac:dyDescent="0.2">
      <c r="F1818" s="258"/>
    </row>
    <row r="1819" spans="6:6" x14ac:dyDescent="0.2">
      <c r="F1819" s="258"/>
    </row>
    <row r="1820" spans="6:6" x14ac:dyDescent="0.2">
      <c r="F1820" s="258"/>
    </row>
    <row r="1821" spans="6:6" x14ac:dyDescent="0.2">
      <c r="F1821" s="258"/>
    </row>
    <row r="1822" spans="6:6" x14ac:dyDescent="0.2">
      <c r="F1822" s="258"/>
    </row>
    <row r="1823" spans="6:6" x14ac:dyDescent="0.2">
      <c r="F1823" s="258"/>
    </row>
    <row r="1824" spans="6:6" x14ac:dyDescent="0.2">
      <c r="F1824" s="258"/>
    </row>
    <row r="1825" spans="6:6" x14ac:dyDescent="0.2">
      <c r="F1825" s="258"/>
    </row>
    <row r="1826" spans="6:6" x14ac:dyDescent="0.2">
      <c r="F1826" s="258"/>
    </row>
    <row r="1827" spans="6:6" x14ac:dyDescent="0.2">
      <c r="F1827" s="258"/>
    </row>
    <row r="1828" spans="6:6" x14ac:dyDescent="0.2">
      <c r="F1828" s="258"/>
    </row>
    <row r="1829" spans="6:6" x14ac:dyDescent="0.2">
      <c r="F1829" s="258"/>
    </row>
    <row r="1830" spans="6:6" x14ac:dyDescent="0.2">
      <c r="F1830" s="258"/>
    </row>
    <row r="1831" spans="6:6" x14ac:dyDescent="0.2">
      <c r="F1831" s="258"/>
    </row>
    <row r="1832" spans="6:6" x14ac:dyDescent="0.2">
      <c r="F1832" s="258"/>
    </row>
    <row r="1833" spans="6:6" x14ac:dyDescent="0.2">
      <c r="F1833" s="258"/>
    </row>
    <row r="1834" spans="6:6" x14ac:dyDescent="0.2">
      <c r="F1834" s="258"/>
    </row>
    <row r="1835" spans="6:6" x14ac:dyDescent="0.2">
      <c r="F1835" s="258"/>
    </row>
    <row r="1836" spans="6:6" x14ac:dyDescent="0.2">
      <c r="F1836" s="258"/>
    </row>
    <row r="1837" spans="6:6" x14ac:dyDescent="0.2">
      <c r="F1837" s="258"/>
    </row>
    <row r="1838" spans="6:6" x14ac:dyDescent="0.2">
      <c r="F1838" s="258"/>
    </row>
    <row r="1839" spans="6:6" x14ac:dyDescent="0.2">
      <c r="F1839" s="258"/>
    </row>
    <row r="1840" spans="6:6" x14ac:dyDescent="0.2">
      <c r="F1840" s="258"/>
    </row>
    <row r="1841" spans="6:6" x14ac:dyDescent="0.2">
      <c r="F1841" s="258"/>
    </row>
    <row r="1842" spans="6:6" x14ac:dyDescent="0.2">
      <c r="F1842" s="258"/>
    </row>
    <row r="1843" spans="6:6" x14ac:dyDescent="0.2">
      <c r="F1843" s="258"/>
    </row>
    <row r="1844" spans="6:6" x14ac:dyDescent="0.2">
      <c r="F1844" s="258"/>
    </row>
    <row r="1845" spans="6:6" x14ac:dyDescent="0.2">
      <c r="F1845" s="258"/>
    </row>
    <row r="1846" spans="6:6" x14ac:dyDescent="0.2">
      <c r="F1846" s="258"/>
    </row>
    <row r="1847" spans="6:6" x14ac:dyDescent="0.2">
      <c r="F1847" s="258"/>
    </row>
    <row r="1848" spans="6:6" x14ac:dyDescent="0.2">
      <c r="F1848" s="258"/>
    </row>
    <row r="1849" spans="6:6" x14ac:dyDescent="0.2">
      <c r="F1849" s="258"/>
    </row>
    <row r="1850" spans="6:6" x14ac:dyDescent="0.2">
      <c r="F1850" s="258"/>
    </row>
    <row r="1851" spans="6:6" x14ac:dyDescent="0.2">
      <c r="F1851" s="258"/>
    </row>
    <row r="1852" spans="6:6" x14ac:dyDescent="0.2">
      <c r="F1852" s="258"/>
    </row>
    <row r="1853" spans="6:6" x14ac:dyDescent="0.2">
      <c r="F1853" s="258"/>
    </row>
    <row r="1854" spans="6:6" x14ac:dyDescent="0.2">
      <c r="F1854" s="258"/>
    </row>
    <row r="1855" spans="6:6" x14ac:dyDescent="0.2">
      <c r="F1855" s="258"/>
    </row>
    <row r="1856" spans="6:6" x14ac:dyDescent="0.2">
      <c r="F1856" s="258"/>
    </row>
    <row r="1857" spans="6:6" x14ac:dyDescent="0.2">
      <c r="F1857" s="258"/>
    </row>
    <row r="1858" spans="6:6" x14ac:dyDescent="0.2">
      <c r="F1858" s="258"/>
    </row>
    <row r="1859" spans="6:6" x14ac:dyDescent="0.2">
      <c r="F1859" s="258"/>
    </row>
    <row r="1860" spans="6:6" x14ac:dyDescent="0.2">
      <c r="F1860" s="258"/>
    </row>
    <row r="1861" spans="6:6" x14ac:dyDescent="0.2">
      <c r="F1861" s="258"/>
    </row>
    <row r="1862" spans="6:6" x14ac:dyDescent="0.2">
      <c r="F1862" s="258"/>
    </row>
    <row r="1863" spans="6:6" x14ac:dyDescent="0.2">
      <c r="F1863" s="258"/>
    </row>
    <row r="1864" spans="6:6" x14ac:dyDescent="0.2">
      <c r="F1864" s="258"/>
    </row>
    <row r="1865" spans="6:6" x14ac:dyDescent="0.2">
      <c r="F1865" s="258"/>
    </row>
    <row r="1866" spans="6:6" x14ac:dyDescent="0.2">
      <c r="F1866" s="258"/>
    </row>
    <row r="1867" spans="6:6" x14ac:dyDescent="0.2">
      <c r="F1867" s="258"/>
    </row>
    <row r="1868" spans="6:6" x14ac:dyDescent="0.2">
      <c r="F1868" s="258"/>
    </row>
    <row r="1869" spans="6:6" x14ac:dyDescent="0.2">
      <c r="F1869" s="258"/>
    </row>
    <row r="1870" spans="6:6" x14ac:dyDescent="0.2">
      <c r="F1870" s="258"/>
    </row>
    <row r="1871" spans="6:6" x14ac:dyDescent="0.2">
      <c r="F1871" s="258"/>
    </row>
    <row r="1872" spans="6:6" x14ac:dyDescent="0.2">
      <c r="F1872" s="258"/>
    </row>
    <row r="1873" spans="6:6" x14ac:dyDescent="0.2">
      <c r="F1873" s="258"/>
    </row>
    <row r="1874" spans="6:6" x14ac:dyDescent="0.2">
      <c r="F1874" s="258"/>
    </row>
    <row r="1875" spans="6:6" x14ac:dyDescent="0.2">
      <c r="F1875" s="258"/>
    </row>
    <row r="1876" spans="6:6" x14ac:dyDescent="0.2">
      <c r="F1876" s="258"/>
    </row>
    <row r="1877" spans="6:6" x14ac:dyDescent="0.2">
      <c r="F1877" s="258"/>
    </row>
    <row r="1878" spans="6:6" x14ac:dyDescent="0.2">
      <c r="F1878" s="258"/>
    </row>
    <row r="1879" spans="6:6" x14ac:dyDescent="0.2">
      <c r="F1879" s="258"/>
    </row>
    <row r="1880" spans="6:6" x14ac:dyDescent="0.2">
      <c r="F1880" s="258"/>
    </row>
    <row r="1881" spans="6:6" x14ac:dyDescent="0.2">
      <c r="F1881" s="258"/>
    </row>
    <row r="1882" spans="6:6" x14ac:dyDescent="0.2">
      <c r="F1882" s="258"/>
    </row>
    <row r="1883" spans="6:6" x14ac:dyDescent="0.2">
      <c r="F1883" s="258"/>
    </row>
    <row r="1884" spans="6:6" x14ac:dyDescent="0.2">
      <c r="F1884" s="258"/>
    </row>
    <row r="1885" spans="6:6" x14ac:dyDescent="0.2">
      <c r="F1885" s="258"/>
    </row>
    <row r="1886" spans="6:6" x14ac:dyDescent="0.2">
      <c r="F1886" s="258"/>
    </row>
    <row r="1887" spans="6:6" x14ac:dyDescent="0.2">
      <c r="F1887" s="258"/>
    </row>
    <row r="1888" spans="6:6" x14ac:dyDescent="0.2">
      <c r="F1888" s="258"/>
    </row>
    <row r="1889" spans="6:6" x14ac:dyDescent="0.2">
      <c r="F1889" s="258"/>
    </row>
    <row r="1890" spans="6:6" x14ac:dyDescent="0.2">
      <c r="F1890" s="258"/>
    </row>
    <row r="1891" spans="6:6" x14ac:dyDescent="0.2">
      <c r="F1891" s="258"/>
    </row>
    <row r="1892" spans="6:6" x14ac:dyDescent="0.2">
      <c r="F1892" s="258"/>
    </row>
    <row r="1893" spans="6:6" x14ac:dyDescent="0.2">
      <c r="F1893" s="258"/>
    </row>
    <row r="1894" spans="6:6" x14ac:dyDescent="0.2">
      <c r="F1894" s="258"/>
    </row>
    <row r="1895" spans="6:6" x14ac:dyDescent="0.2">
      <c r="F1895" s="258"/>
    </row>
    <row r="1896" spans="6:6" x14ac:dyDescent="0.2">
      <c r="F1896" s="258"/>
    </row>
    <row r="1897" spans="6:6" x14ac:dyDescent="0.2">
      <c r="F1897" s="258"/>
    </row>
    <row r="1898" spans="6:6" x14ac:dyDescent="0.2">
      <c r="F1898" s="258"/>
    </row>
    <row r="1899" spans="6:6" x14ac:dyDescent="0.2">
      <c r="F1899" s="258"/>
    </row>
    <row r="1900" spans="6:6" x14ac:dyDescent="0.2">
      <c r="F1900" s="258"/>
    </row>
    <row r="1901" spans="6:6" x14ac:dyDescent="0.2">
      <c r="F1901" s="258"/>
    </row>
    <row r="1902" spans="6:6" x14ac:dyDescent="0.2">
      <c r="F1902" s="258"/>
    </row>
    <row r="1903" spans="6:6" x14ac:dyDescent="0.2">
      <c r="F1903" s="258"/>
    </row>
    <row r="1904" spans="6:6" x14ac:dyDescent="0.2">
      <c r="F1904" s="258"/>
    </row>
    <row r="1905" spans="6:6" x14ac:dyDescent="0.2">
      <c r="F1905" s="258"/>
    </row>
    <row r="1906" spans="6:6" x14ac:dyDescent="0.2">
      <c r="F1906" s="258"/>
    </row>
    <row r="1907" spans="6:6" x14ac:dyDescent="0.2">
      <c r="F1907" s="258"/>
    </row>
    <row r="1908" spans="6:6" x14ac:dyDescent="0.2">
      <c r="F1908" s="258"/>
    </row>
    <row r="1909" spans="6:6" x14ac:dyDescent="0.2">
      <c r="F1909" s="258"/>
    </row>
    <row r="1910" spans="6:6" x14ac:dyDescent="0.2">
      <c r="F1910" s="258"/>
    </row>
    <row r="1911" spans="6:6" x14ac:dyDescent="0.2">
      <c r="F1911" s="258"/>
    </row>
    <row r="1912" spans="6:6" x14ac:dyDescent="0.2">
      <c r="F1912" s="258"/>
    </row>
    <row r="1913" spans="6:6" x14ac:dyDescent="0.2">
      <c r="F1913" s="258"/>
    </row>
    <row r="1914" spans="6:6" x14ac:dyDescent="0.2">
      <c r="F1914" s="258"/>
    </row>
    <row r="1915" spans="6:6" x14ac:dyDescent="0.2">
      <c r="F1915" s="258"/>
    </row>
    <row r="1916" spans="6:6" x14ac:dyDescent="0.2">
      <c r="F1916" s="258"/>
    </row>
    <row r="1917" spans="6:6" x14ac:dyDescent="0.2">
      <c r="F1917" s="258"/>
    </row>
    <row r="1918" spans="6:6" x14ac:dyDescent="0.2">
      <c r="F1918" s="258"/>
    </row>
    <row r="1919" spans="6:6" x14ac:dyDescent="0.2">
      <c r="F1919" s="258"/>
    </row>
    <row r="1920" spans="6:6" x14ac:dyDescent="0.2">
      <c r="F1920" s="258"/>
    </row>
    <row r="1921" spans="6:6" x14ac:dyDescent="0.2">
      <c r="F1921" s="258"/>
    </row>
    <row r="1922" spans="6:6" x14ac:dyDescent="0.2">
      <c r="F1922" s="258"/>
    </row>
    <row r="1923" spans="6:6" x14ac:dyDescent="0.2">
      <c r="F1923" s="258"/>
    </row>
    <row r="1924" spans="6:6" x14ac:dyDescent="0.2">
      <c r="F1924" s="258"/>
    </row>
    <row r="1925" spans="6:6" x14ac:dyDescent="0.2">
      <c r="F1925" s="258"/>
    </row>
    <row r="1926" spans="6:6" x14ac:dyDescent="0.2">
      <c r="F1926" s="258"/>
    </row>
    <row r="1927" spans="6:6" x14ac:dyDescent="0.2">
      <c r="F1927" s="258"/>
    </row>
    <row r="1928" spans="6:6" x14ac:dyDescent="0.2">
      <c r="F1928" s="258"/>
    </row>
    <row r="1929" spans="6:6" x14ac:dyDescent="0.2">
      <c r="F1929" s="258"/>
    </row>
    <row r="1930" spans="6:6" x14ac:dyDescent="0.2">
      <c r="F1930" s="258"/>
    </row>
    <row r="1931" spans="6:6" x14ac:dyDescent="0.2">
      <c r="F1931" s="258"/>
    </row>
    <row r="1932" spans="6:6" x14ac:dyDescent="0.2">
      <c r="F1932" s="258"/>
    </row>
    <row r="1933" spans="6:6" x14ac:dyDescent="0.2">
      <c r="F1933" s="258"/>
    </row>
    <row r="1934" spans="6:6" x14ac:dyDescent="0.2">
      <c r="F1934" s="258"/>
    </row>
    <row r="1935" spans="6:6" x14ac:dyDescent="0.2">
      <c r="F1935" s="258"/>
    </row>
    <row r="1936" spans="6:6" x14ac:dyDescent="0.2">
      <c r="F1936" s="258"/>
    </row>
    <row r="1937" spans="6:6" x14ac:dyDescent="0.2">
      <c r="F1937" s="258"/>
    </row>
    <row r="1938" spans="6:6" x14ac:dyDescent="0.2">
      <c r="F1938" s="258"/>
    </row>
    <row r="1939" spans="6:6" x14ac:dyDescent="0.2">
      <c r="F1939" s="258"/>
    </row>
    <row r="1940" spans="6:6" x14ac:dyDescent="0.2">
      <c r="F1940" s="258"/>
    </row>
    <row r="1941" spans="6:6" x14ac:dyDescent="0.2">
      <c r="F1941" s="258"/>
    </row>
    <row r="1942" spans="6:6" x14ac:dyDescent="0.2">
      <c r="F1942" s="258"/>
    </row>
    <row r="1943" spans="6:6" x14ac:dyDescent="0.2">
      <c r="F1943" s="258"/>
    </row>
    <row r="1944" spans="6:6" x14ac:dyDescent="0.2">
      <c r="F1944" s="258"/>
    </row>
    <row r="1945" spans="6:6" x14ac:dyDescent="0.2">
      <c r="F1945" s="258"/>
    </row>
    <row r="1946" spans="6:6" x14ac:dyDescent="0.2">
      <c r="F1946" s="258"/>
    </row>
    <row r="1947" spans="6:6" x14ac:dyDescent="0.2">
      <c r="F1947" s="258"/>
    </row>
    <row r="1948" spans="6:6" x14ac:dyDescent="0.2">
      <c r="F1948" s="258"/>
    </row>
    <row r="1949" spans="6:6" x14ac:dyDescent="0.2">
      <c r="F1949" s="258"/>
    </row>
    <row r="1950" spans="6:6" x14ac:dyDescent="0.2">
      <c r="F1950" s="258"/>
    </row>
    <row r="1951" spans="6:6" x14ac:dyDescent="0.2">
      <c r="F1951" s="258"/>
    </row>
    <row r="1952" spans="6:6" x14ac:dyDescent="0.2">
      <c r="F1952" s="258"/>
    </row>
    <row r="1953" spans="6:6" x14ac:dyDescent="0.2">
      <c r="F1953" s="258"/>
    </row>
    <row r="1954" spans="6:6" x14ac:dyDescent="0.2">
      <c r="F1954" s="258"/>
    </row>
    <row r="1955" spans="6:6" x14ac:dyDescent="0.2">
      <c r="F1955" s="258"/>
    </row>
    <row r="1956" spans="6:6" x14ac:dyDescent="0.2">
      <c r="F1956" s="258"/>
    </row>
    <row r="1957" spans="6:6" x14ac:dyDescent="0.2">
      <c r="F1957" s="258"/>
    </row>
    <row r="1958" spans="6:6" x14ac:dyDescent="0.2">
      <c r="F1958" s="258"/>
    </row>
    <row r="1959" spans="6:6" x14ac:dyDescent="0.2">
      <c r="F1959" s="258"/>
    </row>
    <row r="1960" spans="6:6" x14ac:dyDescent="0.2">
      <c r="F1960" s="258"/>
    </row>
    <row r="1961" spans="6:6" x14ac:dyDescent="0.2">
      <c r="F1961" s="258"/>
    </row>
    <row r="1962" spans="6:6" x14ac:dyDescent="0.2">
      <c r="F1962" s="258"/>
    </row>
    <row r="1963" spans="6:6" x14ac:dyDescent="0.2">
      <c r="F1963" s="258"/>
    </row>
    <row r="1964" spans="6:6" x14ac:dyDescent="0.2">
      <c r="F1964" s="258"/>
    </row>
    <row r="1965" spans="6:6" x14ac:dyDescent="0.2">
      <c r="F1965" s="258"/>
    </row>
    <row r="1966" spans="6:6" x14ac:dyDescent="0.2">
      <c r="F1966" s="258"/>
    </row>
    <row r="1967" spans="6:6" x14ac:dyDescent="0.2">
      <c r="F1967" s="258"/>
    </row>
    <row r="1968" spans="6:6" x14ac:dyDescent="0.2">
      <c r="F1968" s="258"/>
    </row>
    <row r="1969" spans="6:6" x14ac:dyDescent="0.2">
      <c r="F1969" s="258"/>
    </row>
    <row r="1970" spans="6:6" x14ac:dyDescent="0.2">
      <c r="F1970" s="258"/>
    </row>
    <row r="1971" spans="6:6" x14ac:dyDescent="0.2">
      <c r="F1971" s="258"/>
    </row>
    <row r="1972" spans="6:6" x14ac:dyDescent="0.2">
      <c r="F1972" s="258"/>
    </row>
    <row r="1973" spans="6:6" x14ac:dyDescent="0.2">
      <c r="F1973" s="258"/>
    </row>
    <row r="1974" spans="6:6" x14ac:dyDescent="0.2">
      <c r="F1974" s="258"/>
    </row>
    <row r="1975" spans="6:6" x14ac:dyDescent="0.2">
      <c r="F1975" s="258"/>
    </row>
    <row r="1976" spans="6:6" x14ac:dyDescent="0.2">
      <c r="F1976" s="258"/>
    </row>
    <row r="1977" spans="6:6" x14ac:dyDescent="0.2">
      <c r="F1977" s="258"/>
    </row>
    <row r="1978" spans="6:6" x14ac:dyDescent="0.2">
      <c r="F1978" s="258"/>
    </row>
    <row r="1979" spans="6:6" x14ac:dyDescent="0.2">
      <c r="F1979" s="258"/>
    </row>
    <row r="1980" spans="6:6" x14ac:dyDescent="0.2">
      <c r="F1980" s="258"/>
    </row>
    <row r="1981" spans="6:6" x14ac:dyDescent="0.2">
      <c r="F1981" s="258"/>
    </row>
    <row r="1982" spans="6:6" x14ac:dyDescent="0.2">
      <c r="F1982" s="258"/>
    </row>
    <row r="1983" spans="6:6" x14ac:dyDescent="0.2">
      <c r="F1983" s="258"/>
    </row>
    <row r="1984" spans="6:6" x14ac:dyDescent="0.2">
      <c r="F1984" s="258"/>
    </row>
    <row r="1985" spans="6:6" x14ac:dyDescent="0.2">
      <c r="F1985" s="258"/>
    </row>
    <row r="1986" spans="6:6" x14ac:dyDescent="0.2">
      <c r="F1986" s="258"/>
    </row>
    <row r="1987" spans="6:6" x14ac:dyDescent="0.2">
      <c r="F1987" s="258"/>
    </row>
    <row r="1988" spans="6:6" x14ac:dyDescent="0.2">
      <c r="F1988" s="258"/>
    </row>
    <row r="1989" spans="6:6" x14ac:dyDescent="0.2">
      <c r="F1989" s="258"/>
    </row>
    <row r="1990" spans="6:6" x14ac:dyDescent="0.2">
      <c r="F1990" s="258"/>
    </row>
    <row r="1991" spans="6:6" x14ac:dyDescent="0.2">
      <c r="F1991" s="258"/>
    </row>
    <row r="1992" spans="6:6" x14ac:dyDescent="0.2">
      <c r="F1992" s="258"/>
    </row>
    <row r="1993" spans="6:6" x14ac:dyDescent="0.2">
      <c r="F1993" s="258"/>
    </row>
    <row r="1994" spans="6:6" x14ac:dyDescent="0.2">
      <c r="F1994" s="258"/>
    </row>
    <row r="1995" spans="6:6" x14ac:dyDescent="0.2">
      <c r="F1995" s="258"/>
    </row>
    <row r="1996" spans="6:6" x14ac:dyDescent="0.2">
      <c r="F1996" s="258"/>
    </row>
    <row r="1997" spans="6:6" x14ac:dyDescent="0.2">
      <c r="F1997" s="258"/>
    </row>
    <row r="1998" spans="6:6" x14ac:dyDescent="0.2">
      <c r="F1998" s="258"/>
    </row>
    <row r="1999" spans="6:6" x14ac:dyDescent="0.2">
      <c r="F1999" s="258"/>
    </row>
    <row r="2000" spans="6:6" x14ac:dyDescent="0.2">
      <c r="F2000" s="258"/>
    </row>
    <row r="2001" spans="6:6" x14ac:dyDescent="0.2">
      <c r="F2001" s="258"/>
    </row>
    <row r="2002" spans="6:6" x14ac:dyDescent="0.2">
      <c r="F2002" s="258"/>
    </row>
    <row r="2003" spans="6:6" x14ac:dyDescent="0.2">
      <c r="F2003" s="258"/>
    </row>
    <row r="2004" spans="6:6" x14ac:dyDescent="0.2">
      <c r="F2004" s="258"/>
    </row>
    <row r="2005" spans="6:6" x14ac:dyDescent="0.2">
      <c r="F2005" s="258"/>
    </row>
    <row r="2006" spans="6:6" x14ac:dyDescent="0.2">
      <c r="F2006" s="258"/>
    </row>
    <row r="2007" spans="6:6" x14ac:dyDescent="0.2">
      <c r="F2007" s="258"/>
    </row>
    <row r="2008" spans="6:6" x14ac:dyDescent="0.2">
      <c r="F2008" s="258"/>
    </row>
    <row r="2009" spans="6:6" x14ac:dyDescent="0.2">
      <c r="F2009" s="258"/>
    </row>
    <row r="2010" spans="6:6" x14ac:dyDescent="0.2">
      <c r="F2010" s="258"/>
    </row>
    <row r="2011" spans="6:6" x14ac:dyDescent="0.2">
      <c r="F2011" s="258"/>
    </row>
    <row r="2012" spans="6:6" x14ac:dyDescent="0.2">
      <c r="F2012" s="258"/>
    </row>
    <row r="2013" spans="6:6" x14ac:dyDescent="0.2">
      <c r="F2013" s="258"/>
    </row>
    <row r="2014" spans="6:6" x14ac:dyDescent="0.2">
      <c r="F2014" s="258"/>
    </row>
    <row r="2015" spans="6:6" x14ac:dyDescent="0.2">
      <c r="F2015" s="258"/>
    </row>
    <row r="2016" spans="6:6" x14ac:dyDescent="0.2">
      <c r="F2016" s="258"/>
    </row>
    <row r="2017" spans="6:6" x14ac:dyDescent="0.2">
      <c r="F2017" s="258"/>
    </row>
    <row r="2018" spans="6:6" x14ac:dyDescent="0.2">
      <c r="F2018" s="258"/>
    </row>
    <row r="2019" spans="6:6" x14ac:dyDescent="0.2">
      <c r="F2019" s="258"/>
    </row>
    <row r="2020" spans="6:6" x14ac:dyDescent="0.2">
      <c r="F2020" s="258"/>
    </row>
    <row r="2021" spans="6:6" x14ac:dyDescent="0.2">
      <c r="F2021" s="258"/>
    </row>
    <row r="2022" spans="6:6" x14ac:dyDescent="0.2">
      <c r="F2022" s="258"/>
    </row>
    <row r="2023" spans="6:6" x14ac:dyDescent="0.2">
      <c r="F2023" s="258"/>
    </row>
    <row r="2024" spans="6:6" x14ac:dyDescent="0.2">
      <c r="F2024" s="258"/>
    </row>
    <row r="2025" spans="6:6" x14ac:dyDescent="0.2">
      <c r="F2025" s="258"/>
    </row>
    <row r="2026" spans="6:6" x14ac:dyDescent="0.2">
      <c r="F2026" s="258"/>
    </row>
    <row r="2027" spans="6:6" x14ac:dyDescent="0.2">
      <c r="F2027" s="258"/>
    </row>
    <row r="2028" spans="6:6" x14ac:dyDescent="0.2">
      <c r="F2028" s="258"/>
    </row>
    <row r="2029" spans="6:6" x14ac:dyDescent="0.2">
      <c r="F2029" s="258"/>
    </row>
    <row r="2030" spans="6:6" x14ac:dyDescent="0.2">
      <c r="F2030" s="258"/>
    </row>
    <row r="2031" spans="6:6" x14ac:dyDescent="0.2">
      <c r="F2031" s="258"/>
    </row>
    <row r="2032" spans="6:6" x14ac:dyDescent="0.2">
      <c r="F2032" s="258"/>
    </row>
    <row r="2033" spans="6:6" x14ac:dyDescent="0.2">
      <c r="F2033" s="258"/>
    </row>
    <row r="2034" spans="6:6" x14ac:dyDescent="0.2">
      <c r="F2034" s="258"/>
    </row>
    <row r="2035" spans="6:6" x14ac:dyDescent="0.2">
      <c r="F2035" s="258"/>
    </row>
    <row r="2036" spans="6:6" x14ac:dyDescent="0.2">
      <c r="F2036" s="258"/>
    </row>
    <row r="2037" spans="6:6" x14ac:dyDescent="0.2">
      <c r="F2037" s="258"/>
    </row>
    <row r="2038" spans="6:6" x14ac:dyDescent="0.2">
      <c r="F2038" s="258"/>
    </row>
    <row r="2039" spans="6:6" x14ac:dyDescent="0.2">
      <c r="F2039" s="258"/>
    </row>
    <row r="2040" spans="6:6" x14ac:dyDescent="0.2">
      <c r="F2040" s="258"/>
    </row>
    <row r="2041" spans="6:6" x14ac:dyDescent="0.2">
      <c r="F2041" s="258"/>
    </row>
    <row r="2042" spans="6:6" x14ac:dyDescent="0.2">
      <c r="F2042" s="258"/>
    </row>
    <row r="2043" spans="6:6" x14ac:dyDescent="0.2">
      <c r="F2043" s="258"/>
    </row>
    <row r="2044" spans="6:6" x14ac:dyDescent="0.2">
      <c r="F2044" s="258"/>
    </row>
    <row r="2045" spans="6:6" x14ac:dyDescent="0.2">
      <c r="F2045" s="258"/>
    </row>
    <row r="2046" spans="6:6" x14ac:dyDescent="0.2">
      <c r="F2046" s="258"/>
    </row>
    <row r="2047" spans="6:6" x14ac:dyDescent="0.2">
      <c r="F2047" s="258"/>
    </row>
    <row r="2048" spans="6:6" x14ac:dyDescent="0.2">
      <c r="F2048" s="258"/>
    </row>
    <row r="2049" spans="6:6" x14ac:dyDescent="0.2">
      <c r="F2049" s="258"/>
    </row>
    <row r="2050" spans="6:6" x14ac:dyDescent="0.2">
      <c r="F2050" s="258"/>
    </row>
    <row r="2051" spans="6:6" x14ac:dyDescent="0.2">
      <c r="F2051" s="258"/>
    </row>
    <row r="2052" spans="6:6" x14ac:dyDescent="0.2">
      <c r="F2052" s="258"/>
    </row>
    <row r="2053" spans="6:6" x14ac:dyDescent="0.2">
      <c r="F2053" s="258"/>
    </row>
    <row r="2054" spans="6:6" x14ac:dyDescent="0.2">
      <c r="F2054" s="258"/>
    </row>
    <row r="2055" spans="6:6" x14ac:dyDescent="0.2">
      <c r="F2055" s="258"/>
    </row>
    <row r="2056" spans="6:6" x14ac:dyDescent="0.2">
      <c r="F2056" s="258"/>
    </row>
    <row r="2057" spans="6:6" x14ac:dyDescent="0.2">
      <c r="F2057" s="258"/>
    </row>
    <row r="2058" spans="6:6" x14ac:dyDescent="0.2">
      <c r="F2058" s="258"/>
    </row>
    <row r="2059" spans="6:6" x14ac:dyDescent="0.2">
      <c r="F2059" s="258"/>
    </row>
    <row r="2060" spans="6:6" x14ac:dyDescent="0.2">
      <c r="F2060" s="258"/>
    </row>
    <row r="2061" spans="6:6" x14ac:dyDescent="0.2">
      <c r="F2061" s="258"/>
    </row>
    <row r="2062" spans="6:6" x14ac:dyDescent="0.2">
      <c r="F2062" s="258"/>
    </row>
    <row r="2063" spans="6:6" x14ac:dyDescent="0.2">
      <c r="F2063" s="258"/>
    </row>
    <row r="2064" spans="6:6" x14ac:dyDescent="0.2">
      <c r="F2064" s="258"/>
    </row>
    <row r="2065" spans="6:6" x14ac:dyDescent="0.2">
      <c r="F2065" s="258"/>
    </row>
    <row r="2066" spans="6:6" x14ac:dyDescent="0.2">
      <c r="F2066" s="258"/>
    </row>
    <row r="2067" spans="6:6" x14ac:dyDescent="0.2">
      <c r="F2067" s="258"/>
    </row>
    <row r="2068" spans="6:6" x14ac:dyDescent="0.2">
      <c r="F2068" s="258"/>
    </row>
    <row r="2069" spans="6:6" x14ac:dyDescent="0.2">
      <c r="F2069" s="258"/>
    </row>
    <row r="2070" spans="6:6" x14ac:dyDescent="0.2">
      <c r="F2070" s="258"/>
    </row>
    <row r="2071" spans="6:6" x14ac:dyDescent="0.2">
      <c r="F2071" s="258"/>
    </row>
    <row r="2072" spans="6:6" x14ac:dyDescent="0.2">
      <c r="F2072" s="258"/>
    </row>
    <row r="2073" spans="6:6" x14ac:dyDescent="0.2">
      <c r="F2073" s="258"/>
    </row>
    <row r="2074" spans="6:6" x14ac:dyDescent="0.2">
      <c r="F2074" s="258"/>
    </row>
    <row r="2075" spans="6:6" x14ac:dyDescent="0.2">
      <c r="F2075" s="258"/>
    </row>
    <row r="2076" spans="6:6" x14ac:dyDescent="0.2">
      <c r="F2076" s="258"/>
    </row>
    <row r="2077" spans="6:6" x14ac:dyDescent="0.2">
      <c r="F2077" s="258"/>
    </row>
    <row r="2078" spans="6:6" x14ac:dyDescent="0.2">
      <c r="F2078" s="258"/>
    </row>
    <row r="2079" spans="6:6" x14ac:dyDescent="0.2">
      <c r="F2079" s="258"/>
    </row>
    <row r="2080" spans="6:6" x14ac:dyDescent="0.2">
      <c r="F2080" s="258"/>
    </row>
    <row r="2081" spans="6:6" x14ac:dyDescent="0.2">
      <c r="F2081" s="258"/>
    </row>
    <row r="2082" spans="6:6" x14ac:dyDescent="0.2">
      <c r="F2082" s="258"/>
    </row>
    <row r="2083" spans="6:6" x14ac:dyDescent="0.2">
      <c r="F2083" s="258"/>
    </row>
    <row r="2084" spans="6:6" x14ac:dyDescent="0.2">
      <c r="F2084" s="258"/>
    </row>
    <row r="2085" spans="6:6" x14ac:dyDescent="0.2">
      <c r="F2085" s="258"/>
    </row>
    <row r="2086" spans="6:6" x14ac:dyDescent="0.2">
      <c r="F2086" s="258"/>
    </row>
    <row r="2087" spans="6:6" x14ac:dyDescent="0.2">
      <c r="F2087" s="258"/>
    </row>
    <row r="2088" spans="6:6" x14ac:dyDescent="0.2">
      <c r="F2088" s="258"/>
    </row>
    <row r="2089" spans="6:6" x14ac:dyDescent="0.2">
      <c r="F2089" s="258"/>
    </row>
    <row r="2090" spans="6:6" x14ac:dyDescent="0.2">
      <c r="F2090" s="258"/>
    </row>
    <row r="2091" spans="6:6" x14ac:dyDescent="0.2">
      <c r="F2091" s="258"/>
    </row>
    <row r="2092" spans="6:6" x14ac:dyDescent="0.2">
      <c r="F2092" s="258"/>
    </row>
    <row r="2093" spans="6:6" x14ac:dyDescent="0.2">
      <c r="F2093" s="258"/>
    </row>
    <row r="2094" spans="6:6" x14ac:dyDescent="0.2">
      <c r="F2094" s="258"/>
    </row>
    <row r="2095" spans="6:6" x14ac:dyDescent="0.2">
      <c r="F2095" s="258"/>
    </row>
    <row r="2096" spans="6:6" x14ac:dyDescent="0.2">
      <c r="F2096" s="258"/>
    </row>
    <row r="2097" spans="6:6" x14ac:dyDescent="0.2">
      <c r="F2097" s="258"/>
    </row>
    <row r="2098" spans="6:6" x14ac:dyDescent="0.2">
      <c r="F2098" s="258"/>
    </row>
    <row r="2099" spans="6:6" x14ac:dyDescent="0.2">
      <c r="F2099" s="258"/>
    </row>
    <row r="2100" spans="6:6" x14ac:dyDescent="0.2">
      <c r="F2100" s="258"/>
    </row>
    <row r="2101" spans="6:6" x14ac:dyDescent="0.2">
      <c r="F2101" s="258"/>
    </row>
    <row r="2102" spans="6:6" x14ac:dyDescent="0.2">
      <c r="F2102" s="258"/>
    </row>
    <row r="2103" spans="6:6" x14ac:dyDescent="0.2">
      <c r="F2103" s="258"/>
    </row>
    <row r="2104" spans="6:6" x14ac:dyDescent="0.2">
      <c r="F2104" s="258"/>
    </row>
    <row r="2105" spans="6:6" x14ac:dyDescent="0.2">
      <c r="F2105" s="258"/>
    </row>
    <row r="2106" spans="6:6" x14ac:dyDescent="0.2">
      <c r="F2106" s="258"/>
    </row>
    <row r="2107" spans="6:6" x14ac:dyDescent="0.2">
      <c r="F2107" s="258"/>
    </row>
    <row r="2108" spans="6:6" x14ac:dyDescent="0.2">
      <c r="F2108" s="258"/>
    </row>
    <row r="2109" spans="6:6" x14ac:dyDescent="0.2">
      <c r="F2109" s="258"/>
    </row>
    <row r="2110" spans="6:6" x14ac:dyDescent="0.2">
      <c r="F2110" s="258"/>
    </row>
    <row r="2111" spans="6:6" x14ac:dyDescent="0.2">
      <c r="F2111" s="258"/>
    </row>
    <row r="2112" spans="6:6" x14ac:dyDescent="0.2">
      <c r="F2112" s="258"/>
    </row>
    <row r="2113" spans="6:6" x14ac:dyDescent="0.2">
      <c r="F2113" s="258"/>
    </row>
    <row r="2114" spans="6:6" x14ac:dyDescent="0.2">
      <c r="F2114" s="258"/>
    </row>
    <row r="2115" spans="6:6" x14ac:dyDescent="0.2">
      <c r="F2115" s="258"/>
    </row>
    <row r="2116" spans="6:6" x14ac:dyDescent="0.2">
      <c r="F2116" s="258"/>
    </row>
    <row r="2117" spans="6:6" x14ac:dyDescent="0.2">
      <c r="F2117" s="258"/>
    </row>
    <row r="2118" spans="6:6" x14ac:dyDescent="0.2">
      <c r="F2118" s="258"/>
    </row>
    <row r="2119" spans="6:6" x14ac:dyDescent="0.2">
      <c r="F2119" s="258"/>
    </row>
    <row r="2120" spans="6:6" x14ac:dyDescent="0.2">
      <c r="F2120" s="258"/>
    </row>
    <row r="2121" spans="6:6" x14ac:dyDescent="0.2">
      <c r="F2121" s="258"/>
    </row>
    <row r="2122" spans="6:6" x14ac:dyDescent="0.2">
      <c r="F2122" s="258"/>
    </row>
    <row r="2123" spans="6:6" x14ac:dyDescent="0.2">
      <c r="F2123" s="258"/>
    </row>
    <row r="2124" spans="6:6" x14ac:dyDescent="0.2">
      <c r="F2124" s="258"/>
    </row>
    <row r="2125" spans="6:6" x14ac:dyDescent="0.2">
      <c r="F2125" s="258"/>
    </row>
    <row r="2126" spans="6:6" x14ac:dyDescent="0.2">
      <c r="F2126" s="258"/>
    </row>
    <row r="2127" spans="6:6" x14ac:dyDescent="0.2">
      <c r="F2127" s="258"/>
    </row>
    <row r="2128" spans="6:6" x14ac:dyDescent="0.2">
      <c r="F2128" s="258"/>
    </row>
    <row r="2129" spans="6:6" x14ac:dyDescent="0.2">
      <c r="F2129" s="258"/>
    </row>
    <row r="2130" spans="6:6" x14ac:dyDescent="0.2">
      <c r="F2130" s="258"/>
    </row>
    <row r="2131" spans="6:6" x14ac:dyDescent="0.2">
      <c r="F2131" s="258"/>
    </row>
    <row r="2132" spans="6:6" x14ac:dyDescent="0.2">
      <c r="F2132" s="258"/>
    </row>
    <row r="2133" spans="6:6" x14ac:dyDescent="0.2">
      <c r="F2133" s="258"/>
    </row>
    <row r="2134" spans="6:6" x14ac:dyDescent="0.2">
      <c r="F2134" s="258"/>
    </row>
    <row r="2135" spans="6:6" x14ac:dyDescent="0.2">
      <c r="F2135" s="258"/>
    </row>
    <row r="2136" spans="6:6" x14ac:dyDescent="0.2">
      <c r="F2136" s="258"/>
    </row>
    <row r="2137" spans="6:6" x14ac:dyDescent="0.2">
      <c r="F2137" s="258"/>
    </row>
    <row r="2138" spans="6:6" x14ac:dyDescent="0.2">
      <c r="F2138" s="258"/>
    </row>
    <row r="2139" spans="6:6" x14ac:dyDescent="0.2">
      <c r="F2139" s="258"/>
    </row>
    <row r="2140" spans="6:6" x14ac:dyDescent="0.2">
      <c r="F2140" s="258"/>
    </row>
    <row r="2141" spans="6:6" x14ac:dyDescent="0.2">
      <c r="F2141" s="258"/>
    </row>
    <row r="2142" spans="6:6" x14ac:dyDescent="0.2">
      <c r="F2142" s="258"/>
    </row>
    <row r="2143" spans="6:6" x14ac:dyDescent="0.2">
      <c r="F2143" s="258"/>
    </row>
    <row r="2144" spans="6:6" x14ac:dyDescent="0.2">
      <c r="F2144" s="258"/>
    </row>
    <row r="2145" spans="6:6" x14ac:dyDescent="0.2">
      <c r="F2145" s="258"/>
    </row>
    <row r="2146" spans="6:6" x14ac:dyDescent="0.2">
      <c r="F2146" s="258"/>
    </row>
    <row r="2147" spans="6:6" x14ac:dyDescent="0.2">
      <c r="F2147" s="258"/>
    </row>
    <row r="2148" spans="6:6" x14ac:dyDescent="0.2">
      <c r="F2148" s="258"/>
    </row>
    <row r="2149" spans="6:6" x14ac:dyDescent="0.2">
      <c r="F2149" s="258"/>
    </row>
    <row r="2150" spans="6:6" x14ac:dyDescent="0.2">
      <c r="F2150" s="258"/>
    </row>
    <row r="2151" spans="6:6" x14ac:dyDescent="0.2">
      <c r="F2151" s="258"/>
    </row>
    <row r="2152" spans="6:6" x14ac:dyDescent="0.2">
      <c r="F2152" s="258"/>
    </row>
    <row r="2153" spans="6:6" x14ac:dyDescent="0.2">
      <c r="F2153" s="258"/>
    </row>
    <row r="2154" spans="6:6" x14ac:dyDescent="0.2">
      <c r="F2154" s="258"/>
    </row>
    <row r="2155" spans="6:6" x14ac:dyDescent="0.2">
      <c r="F2155" s="258"/>
    </row>
    <row r="2156" spans="6:6" x14ac:dyDescent="0.2">
      <c r="F2156" s="258"/>
    </row>
    <row r="2157" spans="6:6" x14ac:dyDescent="0.2">
      <c r="F2157" s="258"/>
    </row>
    <row r="2158" spans="6:6" x14ac:dyDescent="0.2">
      <c r="F2158" s="258"/>
    </row>
    <row r="2159" spans="6:6" x14ac:dyDescent="0.2">
      <c r="F2159" s="258"/>
    </row>
    <row r="2160" spans="6:6" x14ac:dyDescent="0.2">
      <c r="F2160" s="258"/>
    </row>
    <row r="2161" spans="6:6" x14ac:dyDescent="0.2">
      <c r="F2161" s="258"/>
    </row>
    <row r="2162" spans="6:6" x14ac:dyDescent="0.2">
      <c r="F2162" s="258"/>
    </row>
    <row r="2163" spans="6:6" x14ac:dyDescent="0.2">
      <c r="F2163" s="258"/>
    </row>
    <row r="2164" spans="6:6" x14ac:dyDescent="0.2">
      <c r="F2164" s="258"/>
    </row>
    <row r="2165" spans="6:6" x14ac:dyDescent="0.2">
      <c r="F2165" s="258"/>
    </row>
    <row r="2166" spans="6:6" x14ac:dyDescent="0.2">
      <c r="F2166" s="258"/>
    </row>
    <row r="2167" spans="6:6" x14ac:dyDescent="0.2">
      <c r="F2167" s="258"/>
    </row>
    <row r="2168" spans="6:6" x14ac:dyDescent="0.2">
      <c r="F2168" s="258"/>
    </row>
    <row r="2169" spans="6:6" x14ac:dyDescent="0.2">
      <c r="F2169" s="258"/>
    </row>
    <row r="2170" spans="6:6" x14ac:dyDescent="0.2">
      <c r="F2170" s="258"/>
    </row>
    <row r="2171" spans="6:6" x14ac:dyDescent="0.2">
      <c r="F2171" s="258"/>
    </row>
    <row r="2172" spans="6:6" x14ac:dyDescent="0.2">
      <c r="F2172" s="258"/>
    </row>
    <row r="2173" spans="6:6" x14ac:dyDescent="0.2">
      <c r="F2173" s="258"/>
    </row>
    <row r="2174" spans="6:6" x14ac:dyDescent="0.2">
      <c r="F2174" s="258"/>
    </row>
    <row r="2175" spans="6:6" x14ac:dyDescent="0.2">
      <c r="F2175" s="258"/>
    </row>
    <row r="2176" spans="6:6" x14ac:dyDescent="0.2">
      <c r="F2176" s="258"/>
    </row>
    <row r="2177" spans="6:6" x14ac:dyDescent="0.2">
      <c r="F2177" s="258"/>
    </row>
    <row r="2178" spans="6:6" x14ac:dyDescent="0.2">
      <c r="F2178" s="258"/>
    </row>
    <row r="2179" spans="6:6" x14ac:dyDescent="0.2">
      <c r="F2179" s="258"/>
    </row>
    <row r="2180" spans="6:6" x14ac:dyDescent="0.2">
      <c r="F2180" s="258"/>
    </row>
    <row r="2181" spans="6:6" x14ac:dyDescent="0.2">
      <c r="F2181" s="258"/>
    </row>
    <row r="2182" spans="6:6" x14ac:dyDescent="0.2">
      <c r="F2182" s="258"/>
    </row>
    <row r="2183" spans="6:6" x14ac:dyDescent="0.2">
      <c r="F2183" s="258"/>
    </row>
    <row r="2184" spans="6:6" x14ac:dyDescent="0.2">
      <c r="F2184" s="258"/>
    </row>
    <row r="2185" spans="6:6" x14ac:dyDescent="0.2">
      <c r="F2185" s="258"/>
    </row>
    <row r="2186" spans="6:6" x14ac:dyDescent="0.2">
      <c r="F2186" s="258"/>
    </row>
    <row r="2187" spans="6:6" x14ac:dyDescent="0.2">
      <c r="F2187" s="258"/>
    </row>
    <row r="2188" spans="6:6" x14ac:dyDescent="0.2">
      <c r="F2188" s="258"/>
    </row>
    <row r="2189" spans="6:6" x14ac:dyDescent="0.2">
      <c r="F2189" s="258"/>
    </row>
    <row r="2190" spans="6:6" x14ac:dyDescent="0.2">
      <c r="F2190" s="258"/>
    </row>
    <row r="2191" spans="6:6" x14ac:dyDescent="0.2">
      <c r="F2191" s="258"/>
    </row>
    <row r="2192" spans="6:6" x14ac:dyDescent="0.2">
      <c r="F2192" s="258"/>
    </row>
    <row r="2193" spans="6:6" x14ac:dyDescent="0.2">
      <c r="F2193" s="258"/>
    </row>
    <row r="2194" spans="6:6" x14ac:dyDescent="0.2">
      <c r="F2194" s="258"/>
    </row>
    <row r="2195" spans="6:6" x14ac:dyDescent="0.2">
      <c r="F2195" s="258"/>
    </row>
    <row r="2196" spans="6:6" x14ac:dyDescent="0.2">
      <c r="F2196" s="258"/>
    </row>
    <row r="2197" spans="6:6" x14ac:dyDescent="0.2">
      <c r="F2197" s="258"/>
    </row>
    <row r="2198" spans="6:6" x14ac:dyDescent="0.2">
      <c r="F2198" s="258"/>
    </row>
    <row r="2199" spans="6:6" x14ac:dyDescent="0.2">
      <c r="F2199" s="258"/>
    </row>
    <row r="2200" spans="6:6" x14ac:dyDescent="0.2">
      <c r="F2200" s="258"/>
    </row>
    <row r="2201" spans="6:6" x14ac:dyDescent="0.2">
      <c r="F2201" s="258"/>
    </row>
    <row r="2202" spans="6:6" x14ac:dyDescent="0.2">
      <c r="F2202" s="258"/>
    </row>
    <row r="2203" spans="6:6" x14ac:dyDescent="0.2">
      <c r="F2203" s="258"/>
    </row>
    <row r="2204" spans="6:6" x14ac:dyDescent="0.2">
      <c r="F2204" s="258"/>
    </row>
    <row r="2205" spans="6:6" x14ac:dyDescent="0.2">
      <c r="F2205" s="258"/>
    </row>
    <row r="2206" spans="6:6" x14ac:dyDescent="0.2">
      <c r="F2206" s="258"/>
    </row>
    <row r="2207" spans="6:6" x14ac:dyDescent="0.2">
      <c r="F2207" s="258"/>
    </row>
    <row r="2208" spans="6:6" x14ac:dyDescent="0.2">
      <c r="F2208" s="258"/>
    </row>
    <row r="2209" spans="6:6" x14ac:dyDescent="0.2">
      <c r="F2209" s="258"/>
    </row>
    <row r="2210" spans="6:6" x14ac:dyDescent="0.2">
      <c r="F2210" s="258"/>
    </row>
    <row r="2211" spans="6:6" x14ac:dyDescent="0.2">
      <c r="F2211" s="258"/>
    </row>
    <row r="2212" spans="6:6" x14ac:dyDescent="0.2">
      <c r="F2212" s="258"/>
    </row>
    <row r="2213" spans="6:6" x14ac:dyDescent="0.2">
      <c r="F2213" s="258"/>
    </row>
    <row r="2214" spans="6:6" x14ac:dyDescent="0.2">
      <c r="F2214" s="258"/>
    </row>
    <row r="2215" spans="6:6" x14ac:dyDescent="0.2">
      <c r="F2215" s="258"/>
    </row>
    <row r="2216" spans="6:6" x14ac:dyDescent="0.2">
      <c r="F2216" s="258"/>
    </row>
    <row r="2217" spans="6:6" x14ac:dyDescent="0.2">
      <c r="F2217" s="258"/>
    </row>
    <row r="2218" spans="6:6" x14ac:dyDescent="0.2">
      <c r="F2218" s="258"/>
    </row>
    <row r="2219" spans="6:6" x14ac:dyDescent="0.2">
      <c r="F2219" s="258"/>
    </row>
    <row r="2220" spans="6:6" x14ac:dyDescent="0.2">
      <c r="F2220" s="258"/>
    </row>
    <row r="2221" spans="6:6" x14ac:dyDescent="0.2">
      <c r="F2221" s="258"/>
    </row>
    <row r="2222" spans="6:6" x14ac:dyDescent="0.2">
      <c r="F2222" s="258"/>
    </row>
    <row r="2223" spans="6:6" x14ac:dyDescent="0.2">
      <c r="F2223" s="258"/>
    </row>
    <row r="2224" spans="6:6" x14ac:dyDescent="0.2">
      <c r="F2224" s="258"/>
    </row>
    <row r="2225" spans="6:6" x14ac:dyDescent="0.2">
      <c r="F2225" s="258"/>
    </row>
    <row r="2226" spans="6:6" x14ac:dyDescent="0.2">
      <c r="F2226" s="258"/>
    </row>
    <row r="2227" spans="6:6" x14ac:dyDescent="0.2">
      <c r="F2227" s="258"/>
    </row>
    <row r="2228" spans="6:6" x14ac:dyDescent="0.2">
      <c r="F2228" s="258"/>
    </row>
    <row r="2229" spans="6:6" x14ac:dyDescent="0.2">
      <c r="F2229" s="258"/>
    </row>
    <row r="2230" spans="6:6" x14ac:dyDescent="0.2">
      <c r="F2230" s="258"/>
    </row>
    <row r="2231" spans="6:6" x14ac:dyDescent="0.2">
      <c r="F2231" s="258"/>
    </row>
    <row r="2232" spans="6:6" x14ac:dyDescent="0.2">
      <c r="F2232" s="258"/>
    </row>
    <row r="2233" spans="6:6" x14ac:dyDescent="0.2">
      <c r="F2233" s="258"/>
    </row>
    <row r="2234" spans="6:6" x14ac:dyDescent="0.2">
      <c r="F2234" s="258"/>
    </row>
    <row r="2235" spans="6:6" x14ac:dyDescent="0.2">
      <c r="F2235" s="258"/>
    </row>
    <row r="2236" spans="6:6" x14ac:dyDescent="0.2">
      <c r="F2236" s="258"/>
    </row>
    <row r="2237" spans="6:6" x14ac:dyDescent="0.2">
      <c r="F2237" s="258"/>
    </row>
    <row r="2238" spans="6:6" x14ac:dyDescent="0.2">
      <c r="F2238" s="258"/>
    </row>
    <row r="2239" spans="6:6" x14ac:dyDescent="0.2">
      <c r="F2239" s="258"/>
    </row>
    <row r="2240" spans="6:6" x14ac:dyDescent="0.2">
      <c r="F2240" s="258"/>
    </row>
    <row r="2241" spans="6:6" x14ac:dyDescent="0.2">
      <c r="F2241" s="258"/>
    </row>
    <row r="2242" spans="6:6" x14ac:dyDescent="0.2">
      <c r="F2242" s="258"/>
    </row>
    <row r="2243" spans="6:6" x14ac:dyDescent="0.2">
      <c r="F2243" s="258"/>
    </row>
    <row r="2244" spans="6:6" x14ac:dyDescent="0.2">
      <c r="F2244" s="258"/>
    </row>
    <row r="2245" spans="6:6" x14ac:dyDescent="0.2">
      <c r="F2245" s="258"/>
    </row>
    <row r="2246" spans="6:6" x14ac:dyDescent="0.2">
      <c r="F2246" s="258"/>
    </row>
    <row r="2247" spans="6:6" x14ac:dyDescent="0.2">
      <c r="F2247" s="258"/>
    </row>
    <row r="2248" spans="6:6" x14ac:dyDescent="0.2">
      <c r="F2248" s="258"/>
    </row>
    <row r="2249" spans="6:6" x14ac:dyDescent="0.2">
      <c r="F2249" s="258"/>
    </row>
    <row r="2250" spans="6:6" x14ac:dyDescent="0.2">
      <c r="F2250" s="258"/>
    </row>
    <row r="2251" spans="6:6" x14ac:dyDescent="0.2">
      <c r="F2251" s="258"/>
    </row>
    <row r="2252" spans="6:6" x14ac:dyDescent="0.2">
      <c r="F2252" s="258"/>
    </row>
    <row r="2253" spans="6:6" x14ac:dyDescent="0.2">
      <c r="F2253" s="258"/>
    </row>
    <row r="2254" spans="6:6" x14ac:dyDescent="0.2">
      <c r="F2254" s="258"/>
    </row>
    <row r="2255" spans="6:6" x14ac:dyDescent="0.2">
      <c r="F2255" s="258"/>
    </row>
    <row r="2256" spans="6:6" x14ac:dyDescent="0.2">
      <c r="F2256" s="258"/>
    </row>
    <row r="2257" spans="6:6" x14ac:dyDescent="0.2">
      <c r="F2257" s="258"/>
    </row>
    <row r="2258" spans="6:6" x14ac:dyDescent="0.2">
      <c r="F2258" s="258"/>
    </row>
    <row r="2259" spans="6:6" x14ac:dyDescent="0.2">
      <c r="F2259" s="258"/>
    </row>
    <row r="2260" spans="6:6" x14ac:dyDescent="0.2">
      <c r="F2260" s="258"/>
    </row>
    <row r="2261" spans="6:6" x14ac:dyDescent="0.2">
      <c r="F2261" s="258"/>
    </row>
    <row r="2262" spans="6:6" x14ac:dyDescent="0.2">
      <c r="F2262" s="258"/>
    </row>
    <row r="2263" spans="6:6" x14ac:dyDescent="0.2">
      <c r="F2263" s="258"/>
    </row>
    <row r="2264" spans="6:6" x14ac:dyDescent="0.2">
      <c r="F2264" s="258"/>
    </row>
    <row r="2265" spans="6:6" x14ac:dyDescent="0.2">
      <c r="F2265" s="258"/>
    </row>
    <row r="2266" spans="6:6" x14ac:dyDescent="0.2">
      <c r="F2266" s="258"/>
    </row>
    <row r="2267" spans="6:6" x14ac:dyDescent="0.2">
      <c r="F2267" s="258"/>
    </row>
    <row r="2268" spans="6:6" x14ac:dyDescent="0.2">
      <c r="F2268" s="258"/>
    </row>
    <row r="2269" spans="6:6" x14ac:dyDescent="0.2">
      <c r="F2269" s="258"/>
    </row>
    <row r="2270" spans="6:6" x14ac:dyDescent="0.2">
      <c r="F2270" s="258"/>
    </row>
    <row r="2271" spans="6:6" x14ac:dyDescent="0.2">
      <c r="F2271" s="258"/>
    </row>
    <row r="2272" spans="6:6" x14ac:dyDescent="0.2">
      <c r="F2272" s="258"/>
    </row>
    <row r="2273" spans="6:6" x14ac:dyDescent="0.2">
      <c r="F2273" s="258"/>
    </row>
    <row r="2274" spans="6:6" x14ac:dyDescent="0.2">
      <c r="F2274" s="258"/>
    </row>
    <row r="2275" spans="6:6" x14ac:dyDescent="0.2">
      <c r="F2275" s="258"/>
    </row>
    <row r="2276" spans="6:6" x14ac:dyDescent="0.2">
      <c r="F2276" s="258"/>
    </row>
    <row r="2277" spans="6:6" x14ac:dyDescent="0.2">
      <c r="F2277" s="258"/>
    </row>
    <row r="2278" spans="6:6" x14ac:dyDescent="0.2">
      <c r="F2278" s="258"/>
    </row>
    <row r="2279" spans="6:6" x14ac:dyDescent="0.2">
      <c r="F2279" s="258"/>
    </row>
    <row r="2280" spans="6:6" x14ac:dyDescent="0.2">
      <c r="F2280" s="258"/>
    </row>
    <row r="2281" spans="6:6" x14ac:dyDescent="0.2">
      <c r="F2281" s="258"/>
    </row>
    <row r="2282" spans="6:6" x14ac:dyDescent="0.2">
      <c r="F2282" s="258"/>
    </row>
    <row r="2283" spans="6:6" x14ac:dyDescent="0.2">
      <c r="F2283" s="258"/>
    </row>
    <row r="2284" spans="6:6" x14ac:dyDescent="0.2">
      <c r="F2284" s="258"/>
    </row>
    <row r="2285" spans="6:6" x14ac:dyDescent="0.2">
      <c r="F2285" s="258"/>
    </row>
    <row r="2286" spans="6:6" x14ac:dyDescent="0.2">
      <c r="F2286" s="258"/>
    </row>
    <row r="2287" spans="6:6" x14ac:dyDescent="0.2">
      <c r="F2287" s="258"/>
    </row>
    <row r="2288" spans="6:6" x14ac:dyDescent="0.2">
      <c r="F2288" s="258"/>
    </row>
    <row r="2289" spans="6:6" x14ac:dyDescent="0.2">
      <c r="F2289" s="258"/>
    </row>
    <row r="2290" spans="6:6" x14ac:dyDescent="0.2">
      <c r="F2290" s="258"/>
    </row>
    <row r="2291" spans="6:6" x14ac:dyDescent="0.2">
      <c r="F2291" s="258"/>
    </row>
    <row r="2292" spans="6:6" x14ac:dyDescent="0.2">
      <c r="F2292" s="258"/>
    </row>
    <row r="2293" spans="6:6" x14ac:dyDescent="0.2">
      <c r="F2293" s="258"/>
    </row>
    <row r="2294" spans="6:6" x14ac:dyDescent="0.2">
      <c r="F2294" s="258"/>
    </row>
    <row r="2295" spans="6:6" x14ac:dyDescent="0.2">
      <c r="F2295" s="258"/>
    </row>
    <row r="2296" spans="6:6" x14ac:dyDescent="0.2">
      <c r="F2296" s="258"/>
    </row>
    <row r="2297" spans="6:6" x14ac:dyDescent="0.2">
      <c r="F2297" s="258"/>
    </row>
    <row r="2298" spans="6:6" x14ac:dyDescent="0.2">
      <c r="F2298" s="258"/>
    </row>
    <row r="2299" spans="6:6" x14ac:dyDescent="0.2">
      <c r="F2299" s="258"/>
    </row>
    <row r="2300" spans="6:6" x14ac:dyDescent="0.2">
      <c r="F2300" s="258"/>
    </row>
    <row r="2301" spans="6:6" x14ac:dyDescent="0.2">
      <c r="F2301" s="258"/>
    </row>
    <row r="2302" spans="6:6" x14ac:dyDescent="0.2">
      <c r="F2302" s="258"/>
    </row>
    <row r="2303" spans="6:6" x14ac:dyDescent="0.2">
      <c r="F2303" s="258"/>
    </row>
    <row r="2304" spans="6:6" x14ac:dyDescent="0.2">
      <c r="F2304" s="258"/>
    </row>
    <row r="2305" spans="6:6" x14ac:dyDescent="0.2">
      <c r="F2305" s="258"/>
    </row>
    <row r="2306" spans="6:6" x14ac:dyDescent="0.2">
      <c r="F2306" s="258"/>
    </row>
    <row r="2307" spans="6:6" x14ac:dyDescent="0.2">
      <c r="F2307" s="258"/>
    </row>
    <row r="2308" spans="6:6" x14ac:dyDescent="0.2">
      <c r="F2308" s="258"/>
    </row>
    <row r="2309" spans="6:6" x14ac:dyDescent="0.2">
      <c r="F2309" s="258"/>
    </row>
    <row r="2310" spans="6:6" x14ac:dyDescent="0.2">
      <c r="F2310" s="258"/>
    </row>
    <row r="2311" spans="6:6" x14ac:dyDescent="0.2">
      <c r="F2311" s="258"/>
    </row>
    <row r="2312" spans="6:6" x14ac:dyDescent="0.2">
      <c r="F2312" s="258"/>
    </row>
    <row r="2313" spans="6:6" x14ac:dyDescent="0.2">
      <c r="F2313" s="258"/>
    </row>
    <row r="2314" spans="6:6" x14ac:dyDescent="0.2">
      <c r="F2314" s="258"/>
    </row>
    <row r="2315" spans="6:6" x14ac:dyDescent="0.2">
      <c r="F2315" s="258"/>
    </row>
    <row r="2316" spans="6:6" x14ac:dyDescent="0.2">
      <c r="F2316" s="258"/>
    </row>
    <row r="2317" spans="6:6" x14ac:dyDescent="0.2">
      <c r="F2317" s="258"/>
    </row>
    <row r="2318" spans="6:6" x14ac:dyDescent="0.2">
      <c r="F2318" s="258"/>
    </row>
    <row r="2319" spans="6:6" x14ac:dyDescent="0.2">
      <c r="F2319" s="258"/>
    </row>
    <row r="2320" spans="6:6" x14ac:dyDescent="0.2">
      <c r="F2320" s="258"/>
    </row>
    <row r="2321" spans="6:6" x14ac:dyDescent="0.2">
      <c r="F2321" s="258"/>
    </row>
    <row r="2322" spans="6:6" x14ac:dyDescent="0.2">
      <c r="F2322" s="258"/>
    </row>
    <row r="2323" spans="6:6" x14ac:dyDescent="0.2">
      <c r="F2323" s="258"/>
    </row>
    <row r="2324" spans="6:6" x14ac:dyDescent="0.2">
      <c r="F2324" s="258"/>
    </row>
    <row r="2325" spans="6:6" x14ac:dyDescent="0.2">
      <c r="F2325" s="258"/>
    </row>
    <row r="2326" spans="6:6" x14ac:dyDescent="0.2">
      <c r="F2326" s="258"/>
    </row>
    <row r="2327" spans="6:6" x14ac:dyDescent="0.2">
      <c r="F2327" s="258"/>
    </row>
    <row r="2328" spans="6:6" x14ac:dyDescent="0.2">
      <c r="F2328" s="258"/>
    </row>
    <row r="2329" spans="6:6" x14ac:dyDescent="0.2">
      <c r="F2329" s="258"/>
    </row>
    <row r="2330" spans="6:6" x14ac:dyDescent="0.2">
      <c r="F2330" s="258"/>
    </row>
    <row r="2331" spans="6:6" x14ac:dyDescent="0.2">
      <c r="F2331" s="258"/>
    </row>
    <row r="2332" spans="6:6" x14ac:dyDescent="0.2">
      <c r="F2332" s="258"/>
    </row>
    <row r="2333" spans="6:6" x14ac:dyDescent="0.2">
      <c r="F2333" s="258"/>
    </row>
    <row r="2334" spans="6:6" x14ac:dyDescent="0.2">
      <c r="F2334" s="258"/>
    </row>
    <row r="2335" spans="6:6" x14ac:dyDescent="0.2">
      <c r="F2335" s="258"/>
    </row>
    <row r="2336" spans="6:6" x14ac:dyDescent="0.2">
      <c r="F2336" s="258"/>
    </row>
    <row r="2337" spans="6:6" x14ac:dyDescent="0.2">
      <c r="F2337" s="258"/>
    </row>
    <row r="2338" spans="6:6" x14ac:dyDescent="0.2">
      <c r="F2338" s="258"/>
    </row>
    <row r="2339" spans="6:6" x14ac:dyDescent="0.2">
      <c r="F2339" s="258"/>
    </row>
    <row r="2340" spans="6:6" x14ac:dyDescent="0.2">
      <c r="F2340" s="258"/>
    </row>
    <row r="2341" spans="6:6" x14ac:dyDescent="0.2">
      <c r="F2341" s="258"/>
    </row>
    <row r="2342" spans="6:6" x14ac:dyDescent="0.2">
      <c r="F2342" s="258"/>
    </row>
    <row r="2343" spans="6:6" x14ac:dyDescent="0.2">
      <c r="F2343" s="258"/>
    </row>
    <row r="2344" spans="6:6" x14ac:dyDescent="0.2">
      <c r="F2344" s="258"/>
    </row>
    <row r="2345" spans="6:6" x14ac:dyDescent="0.2">
      <c r="F2345" s="258"/>
    </row>
    <row r="2346" spans="6:6" x14ac:dyDescent="0.2">
      <c r="F2346" s="258"/>
    </row>
    <row r="2347" spans="6:6" x14ac:dyDescent="0.2">
      <c r="F2347" s="258"/>
    </row>
    <row r="2348" spans="6:6" x14ac:dyDescent="0.2">
      <c r="F2348" s="258"/>
    </row>
    <row r="2349" spans="6:6" x14ac:dyDescent="0.2">
      <c r="F2349" s="258"/>
    </row>
    <row r="2350" spans="6:6" x14ac:dyDescent="0.2">
      <c r="F2350" s="258"/>
    </row>
    <row r="2351" spans="6:6" x14ac:dyDescent="0.2">
      <c r="F2351" s="258"/>
    </row>
    <row r="2352" spans="6:6" x14ac:dyDescent="0.2">
      <c r="F2352" s="258"/>
    </row>
    <row r="2353" spans="6:6" x14ac:dyDescent="0.2">
      <c r="F2353" s="258"/>
    </row>
    <row r="2354" spans="6:6" x14ac:dyDescent="0.2">
      <c r="F2354" s="258"/>
    </row>
    <row r="2355" spans="6:6" x14ac:dyDescent="0.2">
      <c r="F2355" s="258"/>
    </row>
    <row r="2356" spans="6:6" x14ac:dyDescent="0.2">
      <c r="F2356" s="258"/>
    </row>
    <row r="2357" spans="6:6" x14ac:dyDescent="0.2">
      <c r="F2357" s="258"/>
    </row>
    <row r="2358" spans="6:6" x14ac:dyDescent="0.2">
      <c r="F2358" s="258"/>
    </row>
    <row r="2359" spans="6:6" x14ac:dyDescent="0.2">
      <c r="F2359" s="258"/>
    </row>
    <row r="2360" spans="6:6" x14ac:dyDescent="0.2">
      <c r="F2360" s="258"/>
    </row>
    <row r="2361" spans="6:6" x14ac:dyDescent="0.2">
      <c r="F2361" s="258"/>
    </row>
    <row r="2362" spans="6:6" x14ac:dyDescent="0.2">
      <c r="F2362" s="258"/>
    </row>
    <row r="2363" spans="6:6" x14ac:dyDescent="0.2">
      <c r="F2363" s="258"/>
    </row>
    <row r="2364" spans="6:6" x14ac:dyDescent="0.2">
      <c r="F2364" s="258"/>
    </row>
    <row r="2365" spans="6:6" x14ac:dyDescent="0.2">
      <c r="F2365" s="258"/>
    </row>
    <row r="2366" spans="6:6" x14ac:dyDescent="0.2">
      <c r="F2366" s="258"/>
    </row>
    <row r="2367" spans="6:6" x14ac:dyDescent="0.2">
      <c r="F2367" s="258"/>
    </row>
    <row r="2368" spans="6:6" x14ac:dyDescent="0.2">
      <c r="F2368" s="258"/>
    </row>
    <row r="2369" spans="6:6" x14ac:dyDescent="0.2">
      <c r="F2369" s="258"/>
    </row>
    <row r="2370" spans="6:6" x14ac:dyDescent="0.2">
      <c r="F2370" s="258"/>
    </row>
    <row r="2371" spans="6:6" x14ac:dyDescent="0.2">
      <c r="F2371" s="258"/>
    </row>
    <row r="2372" spans="6:6" x14ac:dyDescent="0.2">
      <c r="F2372" s="258"/>
    </row>
    <row r="2373" spans="6:6" x14ac:dyDescent="0.2">
      <c r="F2373" s="258"/>
    </row>
    <row r="2374" spans="6:6" x14ac:dyDescent="0.2">
      <c r="F2374" s="258"/>
    </row>
    <row r="2375" spans="6:6" x14ac:dyDescent="0.2">
      <c r="F2375" s="258"/>
    </row>
    <row r="2376" spans="6:6" x14ac:dyDescent="0.2">
      <c r="F2376" s="258"/>
    </row>
    <row r="2377" spans="6:6" x14ac:dyDescent="0.2">
      <c r="F2377" s="258"/>
    </row>
    <row r="2378" spans="6:6" x14ac:dyDescent="0.2">
      <c r="F2378" s="258"/>
    </row>
    <row r="2379" spans="6:6" x14ac:dyDescent="0.2">
      <c r="F2379" s="258"/>
    </row>
    <row r="2380" spans="6:6" x14ac:dyDescent="0.2">
      <c r="F2380" s="258"/>
    </row>
    <row r="2381" spans="6:6" x14ac:dyDescent="0.2">
      <c r="F2381" s="258"/>
    </row>
    <row r="2382" spans="6:6" x14ac:dyDescent="0.2">
      <c r="F2382" s="258"/>
    </row>
    <row r="2383" spans="6:6" x14ac:dyDescent="0.2">
      <c r="F2383" s="258"/>
    </row>
    <row r="2384" spans="6:6" x14ac:dyDescent="0.2">
      <c r="F2384" s="258"/>
    </row>
    <row r="2385" spans="6:6" x14ac:dyDescent="0.2">
      <c r="F2385" s="258"/>
    </row>
    <row r="2386" spans="6:6" x14ac:dyDescent="0.2">
      <c r="F2386" s="258"/>
    </row>
    <row r="2387" spans="6:6" x14ac:dyDescent="0.2">
      <c r="F2387" s="258"/>
    </row>
    <row r="2388" spans="6:6" x14ac:dyDescent="0.2">
      <c r="F2388" s="258"/>
    </row>
    <row r="2389" spans="6:6" x14ac:dyDescent="0.2">
      <c r="F2389" s="258"/>
    </row>
    <row r="2390" spans="6:6" x14ac:dyDescent="0.2">
      <c r="F2390" s="258"/>
    </row>
    <row r="2391" spans="6:6" x14ac:dyDescent="0.2">
      <c r="F2391" s="258"/>
    </row>
    <row r="2392" spans="6:6" x14ac:dyDescent="0.2">
      <c r="F2392" s="258"/>
    </row>
    <row r="2393" spans="6:6" x14ac:dyDescent="0.2">
      <c r="F2393" s="258"/>
    </row>
    <row r="2394" spans="6:6" x14ac:dyDescent="0.2">
      <c r="F2394" s="258"/>
    </row>
    <row r="2395" spans="6:6" x14ac:dyDescent="0.2">
      <c r="F2395" s="258"/>
    </row>
    <row r="2396" spans="6:6" x14ac:dyDescent="0.2">
      <c r="F2396" s="258"/>
    </row>
    <row r="2397" spans="6:6" x14ac:dyDescent="0.2">
      <c r="F2397" s="258"/>
    </row>
    <row r="2398" spans="6:6" x14ac:dyDescent="0.2">
      <c r="F2398" s="258"/>
    </row>
    <row r="2399" spans="6:6" x14ac:dyDescent="0.2">
      <c r="F2399" s="258"/>
    </row>
    <row r="2400" spans="6:6" x14ac:dyDescent="0.2">
      <c r="F2400" s="258"/>
    </row>
    <row r="2401" spans="6:6" x14ac:dyDescent="0.2">
      <c r="F2401" s="258"/>
    </row>
    <row r="2402" spans="6:6" x14ac:dyDescent="0.2">
      <c r="F2402" s="258"/>
    </row>
    <row r="2403" spans="6:6" x14ac:dyDescent="0.2">
      <c r="F2403" s="258"/>
    </row>
    <row r="2404" spans="6:6" x14ac:dyDescent="0.2">
      <c r="F2404" s="258"/>
    </row>
    <row r="2405" spans="6:6" x14ac:dyDescent="0.2">
      <c r="F2405" s="258"/>
    </row>
    <row r="2406" spans="6:6" x14ac:dyDescent="0.2">
      <c r="F2406" s="258"/>
    </row>
    <row r="2407" spans="6:6" x14ac:dyDescent="0.2">
      <c r="F2407" s="258"/>
    </row>
    <row r="2408" spans="6:6" x14ac:dyDescent="0.2">
      <c r="F2408" s="258"/>
    </row>
    <row r="2409" spans="6:6" x14ac:dyDescent="0.2">
      <c r="F2409" s="258"/>
    </row>
    <row r="2410" spans="6:6" x14ac:dyDescent="0.2">
      <c r="F2410" s="258"/>
    </row>
    <row r="2411" spans="6:6" x14ac:dyDescent="0.2">
      <c r="F2411" s="258"/>
    </row>
    <row r="2412" spans="6:6" x14ac:dyDescent="0.2">
      <c r="F2412" s="258"/>
    </row>
    <row r="2413" spans="6:6" x14ac:dyDescent="0.2">
      <c r="F2413" s="258"/>
    </row>
    <row r="2414" spans="6:6" x14ac:dyDescent="0.2">
      <c r="F2414" s="258"/>
    </row>
    <row r="2415" spans="6:6" x14ac:dyDescent="0.2">
      <c r="F2415" s="258"/>
    </row>
    <row r="2416" spans="6:6" x14ac:dyDescent="0.2">
      <c r="F2416" s="258"/>
    </row>
    <row r="2417" spans="6:6" x14ac:dyDescent="0.2">
      <c r="F2417" s="258"/>
    </row>
    <row r="2418" spans="6:6" x14ac:dyDescent="0.2">
      <c r="F2418" s="258"/>
    </row>
    <row r="2419" spans="6:6" x14ac:dyDescent="0.2">
      <c r="F2419" s="258"/>
    </row>
    <row r="2420" spans="6:6" x14ac:dyDescent="0.2">
      <c r="F2420" s="258"/>
    </row>
    <row r="2421" spans="6:6" x14ac:dyDescent="0.2">
      <c r="F2421" s="258"/>
    </row>
    <row r="2422" spans="6:6" x14ac:dyDescent="0.2">
      <c r="F2422" s="258"/>
    </row>
    <row r="2423" spans="6:6" x14ac:dyDescent="0.2">
      <c r="F2423" s="258"/>
    </row>
    <row r="2424" spans="6:6" x14ac:dyDescent="0.2">
      <c r="F2424" s="258"/>
    </row>
    <row r="2425" spans="6:6" x14ac:dyDescent="0.2">
      <c r="F2425" s="258"/>
    </row>
    <row r="2426" spans="6:6" x14ac:dyDescent="0.2">
      <c r="F2426" s="258"/>
    </row>
    <row r="2427" spans="6:6" x14ac:dyDescent="0.2">
      <c r="F2427" s="258"/>
    </row>
    <row r="2428" spans="6:6" x14ac:dyDescent="0.2">
      <c r="F2428" s="258"/>
    </row>
    <row r="2429" spans="6:6" x14ac:dyDescent="0.2">
      <c r="F2429" s="258"/>
    </row>
    <row r="2430" spans="6:6" x14ac:dyDescent="0.2">
      <c r="F2430" s="258"/>
    </row>
    <row r="2431" spans="6:6" x14ac:dyDescent="0.2">
      <c r="F2431" s="258"/>
    </row>
    <row r="2432" spans="6:6" x14ac:dyDescent="0.2">
      <c r="F2432" s="258"/>
    </row>
    <row r="2433" spans="6:6" x14ac:dyDescent="0.2">
      <c r="F2433" s="258"/>
    </row>
    <row r="2434" spans="6:6" x14ac:dyDescent="0.2">
      <c r="F2434" s="258"/>
    </row>
    <row r="2435" spans="6:6" x14ac:dyDescent="0.2">
      <c r="F2435" s="258"/>
    </row>
    <row r="2436" spans="6:6" x14ac:dyDescent="0.2">
      <c r="F2436" s="258"/>
    </row>
    <row r="2437" spans="6:6" x14ac:dyDescent="0.2">
      <c r="F2437" s="258"/>
    </row>
    <row r="2438" spans="6:6" x14ac:dyDescent="0.2">
      <c r="F2438" s="258"/>
    </row>
    <row r="2439" spans="6:6" x14ac:dyDescent="0.2">
      <c r="F2439" s="258"/>
    </row>
    <row r="2440" spans="6:6" x14ac:dyDescent="0.2">
      <c r="F2440" s="258"/>
    </row>
    <row r="2441" spans="6:6" x14ac:dyDescent="0.2">
      <c r="F2441" s="258"/>
    </row>
    <row r="2442" spans="6:6" x14ac:dyDescent="0.2">
      <c r="F2442" s="258"/>
    </row>
    <row r="2443" spans="6:6" x14ac:dyDescent="0.2">
      <c r="F2443" s="258"/>
    </row>
    <row r="2444" spans="6:6" x14ac:dyDescent="0.2">
      <c r="F2444" s="258"/>
    </row>
    <row r="2445" spans="6:6" x14ac:dyDescent="0.2">
      <c r="F2445" s="258"/>
    </row>
    <row r="2446" spans="6:6" x14ac:dyDescent="0.2">
      <c r="F2446" s="258"/>
    </row>
    <row r="2447" spans="6:6" x14ac:dyDescent="0.2">
      <c r="F2447" s="258"/>
    </row>
    <row r="2448" spans="6:6" x14ac:dyDescent="0.2">
      <c r="F2448" s="258"/>
    </row>
    <row r="2449" spans="6:6" x14ac:dyDescent="0.2">
      <c r="F2449" s="258"/>
    </row>
    <row r="2450" spans="6:6" x14ac:dyDescent="0.2">
      <c r="F2450" s="258"/>
    </row>
    <row r="2451" spans="6:6" x14ac:dyDescent="0.2">
      <c r="F2451" s="258"/>
    </row>
    <row r="2452" spans="6:6" x14ac:dyDescent="0.2">
      <c r="F2452" s="258"/>
    </row>
    <row r="2453" spans="6:6" x14ac:dyDescent="0.2">
      <c r="F2453" s="258"/>
    </row>
    <row r="2454" spans="6:6" x14ac:dyDescent="0.2">
      <c r="F2454" s="258"/>
    </row>
    <row r="2455" spans="6:6" x14ac:dyDescent="0.2">
      <c r="F2455" s="258"/>
    </row>
    <row r="2456" spans="6:6" x14ac:dyDescent="0.2">
      <c r="F2456" s="258"/>
    </row>
    <row r="2457" spans="6:6" x14ac:dyDescent="0.2">
      <c r="F2457" s="258"/>
    </row>
    <row r="2458" spans="6:6" x14ac:dyDescent="0.2">
      <c r="F2458" s="258"/>
    </row>
    <row r="2459" spans="6:6" x14ac:dyDescent="0.2">
      <c r="F2459" s="258"/>
    </row>
    <row r="2460" spans="6:6" x14ac:dyDescent="0.2">
      <c r="F2460" s="258"/>
    </row>
    <row r="2461" spans="6:6" x14ac:dyDescent="0.2">
      <c r="F2461" s="258"/>
    </row>
    <row r="2462" spans="6:6" x14ac:dyDescent="0.2">
      <c r="F2462" s="258"/>
    </row>
    <row r="2463" spans="6:6" x14ac:dyDescent="0.2">
      <c r="F2463" s="258"/>
    </row>
    <row r="2464" spans="6:6" x14ac:dyDescent="0.2">
      <c r="F2464" s="258"/>
    </row>
    <row r="2465" spans="6:6" x14ac:dyDescent="0.2">
      <c r="F2465" s="258"/>
    </row>
    <row r="2466" spans="6:6" x14ac:dyDescent="0.2">
      <c r="F2466" s="258"/>
    </row>
    <row r="2467" spans="6:6" x14ac:dyDescent="0.2">
      <c r="F2467" s="258"/>
    </row>
    <row r="2468" spans="6:6" x14ac:dyDescent="0.2">
      <c r="F2468" s="258"/>
    </row>
    <row r="2469" spans="6:6" x14ac:dyDescent="0.2">
      <c r="F2469" s="258"/>
    </row>
    <row r="2470" spans="6:6" x14ac:dyDescent="0.2">
      <c r="F2470" s="258"/>
    </row>
    <row r="2471" spans="6:6" x14ac:dyDescent="0.2">
      <c r="F2471" s="258"/>
    </row>
    <row r="2472" spans="6:6" x14ac:dyDescent="0.2">
      <c r="F2472" s="258"/>
    </row>
    <row r="2473" spans="6:6" x14ac:dyDescent="0.2">
      <c r="F2473" s="258"/>
    </row>
    <row r="2474" spans="6:6" x14ac:dyDescent="0.2">
      <c r="F2474" s="258"/>
    </row>
    <row r="2475" spans="6:6" x14ac:dyDescent="0.2">
      <c r="F2475" s="258"/>
    </row>
    <row r="2476" spans="6:6" x14ac:dyDescent="0.2">
      <c r="F2476" s="258"/>
    </row>
    <row r="2477" spans="6:6" x14ac:dyDescent="0.2">
      <c r="F2477" s="258"/>
    </row>
    <row r="2478" spans="6:6" x14ac:dyDescent="0.2">
      <c r="F2478" s="258"/>
    </row>
    <row r="2479" spans="6:6" x14ac:dyDescent="0.2">
      <c r="F2479" s="258"/>
    </row>
    <row r="2480" spans="6:6" x14ac:dyDescent="0.2">
      <c r="F2480" s="258"/>
    </row>
    <row r="2481" spans="6:6" x14ac:dyDescent="0.2">
      <c r="F2481" s="258"/>
    </row>
    <row r="2482" spans="6:6" x14ac:dyDescent="0.2">
      <c r="F2482" s="258"/>
    </row>
    <row r="2483" spans="6:6" x14ac:dyDescent="0.2">
      <c r="F2483" s="258"/>
    </row>
    <row r="2484" spans="6:6" x14ac:dyDescent="0.2">
      <c r="F2484" s="258"/>
    </row>
    <row r="2485" spans="6:6" x14ac:dyDescent="0.2">
      <c r="F2485" s="258"/>
    </row>
    <row r="2486" spans="6:6" x14ac:dyDescent="0.2">
      <c r="F2486" s="258"/>
    </row>
    <row r="2487" spans="6:6" x14ac:dyDescent="0.2">
      <c r="F2487" s="258"/>
    </row>
    <row r="2488" spans="6:6" x14ac:dyDescent="0.2">
      <c r="F2488" s="258"/>
    </row>
    <row r="2489" spans="6:6" x14ac:dyDescent="0.2">
      <c r="F2489" s="258"/>
    </row>
    <row r="2490" spans="6:6" x14ac:dyDescent="0.2">
      <c r="F2490" s="258"/>
    </row>
    <row r="2491" spans="6:6" x14ac:dyDescent="0.2">
      <c r="F2491" s="258"/>
    </row>
    <row r="2492" spans="6:6" x14ac:dyDescent="0.2">
      <c r="F2492" s="258"/>
    </row>
    <row r="2493" spans="6:6" x14ac:dyDescent="0.2">
      <c r="F2493" s="258"/>
    </row>
    <row r="2494" spans="6:6" x14ac:dyDescent="0.2">
      <c r="F2494" s="258"/>
    </row>
    <row r="2495" spans="6:6" x14ac:dyDescent="0.2">
      <c r="F2495" s="258"/>
    </row>
    <row r="2496" spans="6:6" x14ac:dyDescent="0.2">
      <c r="F2496" s="258"/>
    </row>
    <row r="2497" spans="6:6" x14ac:dyDescent="0.2">
      <c r="F2497" s="258"/>
    </row>
    <row r="2498" spans="6:6" x14ac:dyDescent="0.2">
      <c r="F2498" s="258"/>
    </row>
    <row r="2499" spans="6:6" x14ac:dyDescent="0.2">
      <c r="F2499" s="258"/>
    </row>
    <row r="2500" spans="6:6" x14ac:dyDescent="0.2">
      <c r="F2500" s="258"/>
    </row>
    <row r="2501" spans="6:6" x14ac:dyDescent="0.2">
      <c r="F2501" s="258"/>
    </row>
    <row r="2502" spans="6:6" x14ac:dyDescent="0.2">
      <c r="F2502" s="258"/>
    </row>
    <row r="2503" spans="6:6" x14ac:dyDescent="0.2">
      <c r="F2503" s="258"/>
    </row>
    <row r="2504" spans="6:6" x14ac:dyDescent="0.2">
      <c r="F2504" s="258"/>
    </row>
    <row r="2505" spans="6:6" x14ac:dyDescent="0.2">
      <c r="F2505" s="258"/>
    </row>
    <row r="2506" spans="6:6" x14ac:dyDescent="0.2">
      <c r="F2506" s="258"/>
    </row>
    <row r="2507" spans="6:6" x14ac:dyDescent="0.2">
      <c r="F2507" s="258"/>
    </row>
    <row r="2508" spans="6:6" x14ac:dyDescent="0.2">
      <c r="F2508" s="258"/>
    </row>
    <row r="2509" spans="6:6" x14ac:dyDescent="0.2">
      <c r="F2509" s="258"/>
    </row>
    <row r="2510" spans="6:6" x14ac:dyDescent="0.2">
      <c r="F2510" s="258"/>
    </row>
    <row r="2511" spans="6:6" x14ac:dyDescent="0.2">
      <c r="F2511" s="258"/>
    </row>
    <row r="2512" spans="6:6" x14ac:dyDescent="0.2">
      <c r="F2512" s="258"/>
    </row>
    <row r="2513" spans="6:6" x14ac:dyDescent="0.2">
      <c r="F2513" s="258"/>
    </row>
    <row r="2514" spans="6:6" x14ac:dyDescent="0.2">
      <c r="F2514" s="258"/>
    </row>
    <row r="2515" spans="6:6" x14ac:dyDescent="0.2">
      <c r="F2515" s="258"/>
    </row>
    <row r="2516" spans="6:6" x14ac:dyDescent="0.2">
      <c r="F2516" s="258"/>
    </row>
    <row r="2517" spans="6:6" x14ac:dyDescent="0.2">
      <c r="F2517" s="258"/>
    </row>
    <row r="2518" spans="6:6" x14ac:dyDescent="0.2">
      <c r="F2518" s="258"/>
    </row>
    <row r="2519" spans="6:6" x14ac:dyDescent="0.2">
      <c r="F2519" s="258"/>
    </row>
    <row r="2520" spans="6:6" x14ac:dyDescent="0.2">
      <c r="F2520" s="258"/>
    </row>
    <row r="2521" spans="6:6" x14ac:dyDescent="0.2">
      <c r="F2521" s="258"/>
    </row>
    <row r="2522" spans="6:6" x14ac:dyDescent="0.2">
      <c r="F2522" s="258"/>
    </row>
    <row r="2523" spans="6:6" x14ac:dyDescent="0.2">
      <c r="F2523" s="258"/>
    </row>
    <row r="2524" spans="6:6" x14ac:dyDescent="0.2">
      <c r="F2524" s="258"/>
    </row>
    <row r="2525" spans="6:6" x14ac:dyDescent="0.2">
      <c r="F2525" s="258"/>
    </row>
    <row r="2526" spans="6:6" x14ac:dyDescent="0.2">
      <c r="F2526" s="258"/>
    </row>
    <row r="2527" spans="6:6" x14ac:dyDescent="0.2">
      <c r="F2527" s="258"/>
    </row>
    <row r="2528" spans="6:6" x14ac:dyDescent="0.2">
      <c r="F2528" s="258"/>
    </row>
    <row r="2529" spans="6:6" x14ac:dyDescent="0.2">
      <c r="F2529" s="258"/>
    </row>
    <row r="2530" spans="6:6" x14ac:dyDescent="0.2">
      <c r="F2530" s="258"/>
    </row>
    <row r="2531" spans="6:6" x14ac:dyDescent="0.2">
      <c r="F2531" s="258"/>
    </row>
    <row r="2532" spans="6:6" x14ac:dyDescent="0.2">
      <c r="F2532" s="258"/>
    </row>
    <row r="2533" spans="6:6" x14ac:dyDescent="0.2">
      <c r="F2533" s="258"/>
    </row>
    <row r="2534" spans="6:6" x14ac:dyDescent="0.2">
      <c r="F2534" s="258"/>
    </row>
    <row r="2535" spans="6:6" x14ac:dyDescent="0.2">
      <c r="F2535" s="258"/>
    </row>
    <row r="2536" spans="6:6" x14ac:dyDescent="0.2">
      <c r="F2536" s="258"/>
    </row>
    <row r="2537" spans="6:6" x14ac:dyDescent="0.2">
      <c r="F2537" s="258"/>
    </row>
    <row r="2538" spans="6:6" x14ac:dyDescent="0.2">
      <c r="F2538" s="258"/>
    </row>
    <row r="2539" spans="6:6" x14ac:dyDescent="0.2">
      <c r="F2539" s="258"/>
    </row>
    <row r="2540" spans="6:6" x14ac:dyDescent="0.2">
      <c r="F2540" s="258"/>
    </row>
    <row r="2541" spans="6:6" x14ac:dyDescent="0.2">
      <c r="F2541" s="258"/>
    </row>
    <row r="2542" spans="6:6" x14ac:dyDescent="0.2">
      <c r="F2542" s="258"/>
    </row>
    <row r="2543" spans="6:6" x14ac:dyDescent="0.2">
      <c r="F2543" s="258"/>
    </row>
    <row r="2544" spans="6:6" x14ac:dyDescent="0.2">
      <c r="F2544" s="258"/>
    </row>
    <row r="2545" spans="6:6" x14ac:dyDescent="0.2">
      <c r="F2545" s="258"/>
    </row>
    <row r="2546" spans="6:6" x14ac:dyDescent="0.2">
      <c r="F2546" s="258"/>
    </row>
    <row r="2547" spans="6:6" x14ac:dyDescent="0.2">
      <c r="F2547" s="258"/>
    </row>
    <row r="2548" spans="6:6" x14ac:dyDescent="0.2">
      <c r="F2548" s="258"/>
    </row>
    <row r="2549" spans="6:6" x14ac:dyDescent="0.2">
      <c r="F2549" s="258"/>
    </row>
    <row r="2550" spans="6:6" x14ac:dyDescent="0.2">
      <c r="F2550" s="258"/>
    </row>
    <row r="2551" spans="6:6" x14ac:dyDescent="0.2">
      <c r="F2551" s="258"/>
    </row>
    <row r="2552" spans="6:6" x14ac:dyDescent="0.2">
      <c r="F2552" s="258"/>
    </row>
    <row r="2553" spans="6:6" x14ac:dyDescent="0.2">
      <c r="F2553" s="258"/>
    </row>
    <row r="2554" spans="6:6" x14ac:dyDescent="0.2">
      <c r="F2554" s="258"/>
    </row>
    <row r="2555" spans="6:6" x14ac:dyDescent="0.2">
      <c r="F2555" s="258"/>
    </row>
    <row r="2556" spans="6:6" x14ac:dyDescent="0.2">
      <c r="F2556" s="258"/>
    </row>
    <row r="2557" spans="6:6" x14ac:dyDescent="0.2">
      <c r="F2557" s="258"/>
    </row>
    <row r="2558" spans="6:6" x14ac:dyDescent="0.2">
      <c r="F2558" s="258"/>
    </row>
    <row r="2559" spans="6:6" x14ac:dyDescent="0.2">
      <c r="F2559" s="258"/>
    </row>
    <row r="2560" spans="6:6" x14ac:dyDescent="0.2">
      <c r="F2560" s="258"/>
    </row>
    <row r="2561" spans="6:6" x14ac:dyDescent="0.2">
      <c r="F2561" s="258"/>
    </row>
    <row r="2562" spans="6:6" x14ac:dyDescent="0.2">
      <c r="F2562" s="258"/>
    </row>
    <row r="2563" spans="6:6" x14ac:dyDescent="0.2">
      <c r="F2563" s="258"/>
    </row>
    <row r="2564" spans="6:6" x14ac:dyDescent="0.2">
      <c r="F2564" s="258"/>
    </row>
    <row r="2565" spans="6:6" x14ac:dyDescent="0.2">
      <c r="F2565" s="258"/>
    </row>
    <row r="2566" spans="6:6" x14ac:dyDescent="0.2">
      <c r="F2566" s="258"/>
    </row>
    <row r="2567" spans="6:6" x14ac:dyDescent="0.2">
      <c r="F2567" s="258"/>
    </row>
    <row r="2568" spans="6:6" x14ac:dyDescent="0.2">
      <c r="F2568" s="258"/>
    </row>
    <row r="2569" spans="6:6" x14ac:dyDescent="0.2">
      <c r="F2569" s="258"/>
    </row>
    <row r="2570" spans="6:6" x14ac:dyDescent="0.2">
      <c r="F2570" s="258"/>
    </row>
    <row r="2571" spans="6:6" x14ac:dyDescent="0.2">
      <c r="F2571" s="258"/>
    </row>
    <row r="2572" spans="6:6" x14ac:dyDescent="0.2">
      <c r="F2572" s="258"/>
    </row>
    <row r="2573" spans="6:6" x14ac:dyDescent="0.2">
      <c r="F2573" s="258"/>
    </row>
    <row r="2574" spans="6:6" x14ac:dyDescent="0.2">
      <c r="F2574" s="258"/>
    </row>
    <row r="2575" spans="6:6" x14ac:dyDescent="0.2">
      <c r="F2575" s="258"/>
    </row>
    <row r="2576" spans="6:6" x14ac:dyDescent="0.2">
      <c r="F2576" s="258"/>
    </row>
    <row r="2577" spans="6:6" x14ac:dyDescent="0.2">
      <c r="F2577" s="258"/>
    </row>
    <row r="2578" spans="6:6" x14ac:dyDescent="0.2">
      <c r="F2578" s="258"/>
    </row>
    <row r="2579" spans="6:6" x14ac:dyDescent="0.2">
      <c r="F2579" s="258"/>
    </row>
    <row r="2580" spans="6:6" x14ac:dyDescent="0.2">
      <c r="F2580" s="258"/>
    </row>
    <row r="2581" spans="6:6" x14ac:dyDescent="0.2">
      <c r="F2581" s="258"/>
    </row>
    <row r="2582" spans="6:6" x14ac:dyDescent="0.2">
      <c r="F2582" s="258"/>
    </row>
    <row r="2583" spans="6:6" x14ac:dyDescent="0.2">
      <c r="F2583" s="258"/>
    </row>
    <row r="2584" spans="6:6" x14ac:dyDescent="0.2">
      <c r="F2584" s="258"/>
    </row>
    <row r="2585" spans="6:6" x14ac:dyDescent="0.2">
      <c r="F2585" s="258"/>
    </row>
    <row r="2586" spans="6:6" x14ac:dyDescent="0.2">
      <c r="F2586" s="258"/>
    </row>
    <row r="2587" spans="6:6" x14ac:dyDescent="0.2">
      <c r="F2587" s="258"/>
    </row>
    <row r="2588" spans="6:6" x14ac:dyDescent="0.2">
      <c r="F2588" s="258"/>
    </row>
    <row r="2589" spans="6:6" x14ac:dyDescent="0.2">
      <c r="F2589" s="258"/>
    </row>
    <row r="2590" spans="6:6" x14ac:dyDescent="0.2">
      <c r="F2590" s="258"/>
    </row>
    <row r="2591" spans="6:6" x14ac:dyDescent="0.2">
      <c r="F2591" s="258"/>
    </row>
    <row r="2592" spans="6:6" x14ac:dyDescent="0.2">
      <c r="F2592" s="258"/>
    </row>
    <row r="2593" spans="6:6" x14ac:dyDescent="0.2">
      <c r="F2593" s="258"/>
    </row>
    <row r="2594" spans="6:6" x14ac:dyDescent="0.2">
      <c r="F2594" s="258"/>
    </row>
    <row r="2595" spans="6:6" x14ac:dyDescent="0.2">
      <c r="F2595" s="258"/>
    </row>
    <row r="2596" spans="6:6" x14ac:dyDescent="0.2">
      <c r="F2596" s="258"/>
    </row>
    <row r="2597" spans="6:6" x14ac:dyDescent="0.2">
      <c r="F2597" s="258"/>
    </row>
    <row r="2598" spans="6:6" x14ac:dyDescent="0.2">
      <c r="F2598" s="258"/>
    </row>
    <row r="2599" spans="6:6" x14ac:dyDescent="0.2">
      <c r="F2599" s="258"/>
    </row>
    <row r="2600" spans="6:6" x14ac:dyDescent="0.2">
      <c r="F2600" s="258"/>
    </row>
    <row r="2601" spans="6:6" x14ac:dyDescent="0.2">
      <c r="F2601" s="258"/>
    </row>
    <row r="2602" spans="6:6" x14ac:dyDescent="0.2">
      <c r="F2602" s="258"/>
    </row>
    <row r="2603" spans="6:6" x14ac:dyDescent="0.2">
      <c r="F2603" s="258"/>
    </row>
    <row r="2604" spans="6:6" x14ac:dyDescent="0.2">
      <c r="F2604" s="258"/>
    </row>
    <row r="2605" spans="6:6" x14ac:dyDescent="0.2">
      <c r="F2605" s="258"/>
    </row>
    <row r="2606" spans="6:6" x14ac:dyDescent="0.2">
      <c r="F2606" s="258"/>
    </row>
    <row r="2607" spans="6:6" x14ac:dyDescent="0.2">
      <c r="F2607" s="258"/>
    </row>
    <row r="2608" spans="6:6" x14ac:dyDescent="0.2">
      <c r="F2608" s="258"/>
    </row>
    <row r="2609" spans="6:6" x14ac:dyDescent="0.2">
      <c r="F2609" s="258"/>
    </row>
    <row r="2610" spans="6:6" x14ac:dyDescent="0.2">
      <c r="F2610" s="258"/>
    </row>
    <row r="2611" spans="6:6" x14ac:dyDescent="0.2">
      <c r="F2611" s="258"/>
    </row>
    <row r="2612" spans="6:6" x14ac:dyDescent="0.2">
      <c r="F2612" s="258"/>
    </row>
    <row r="2613" spans="6:6" x14ac:dyDescent="0.2">
      <c r="F2613" s="258"/>
    </row>
    <row r="2614" spans="6:6" x14ac:dyDescent="0.2">
      <c r="F2614" s="258"/>
    </row>
    <row r="2615" spans="6:6" x14ac:dyDescent="0.2">
      <c r="F2615" s="258"/>
    </row>
    <row r="2616" spans="6:6" x14ac:dyDescent="0.2">
      <c r="F2616" s="258"/>
    </row>
    <row r="2617" spans="6:6" x14ac:dyDescent="0.2">
      <c r="F2617" s="258"/>
    </row>
    <row r="2618" spans="6:6" x14ac:dyDescent="0.2">
      <c r="F2618" s="258"/>
    </row>
    <row r="2619" spans="6:6" x14ac:dyDescent="0.2">
      <c r="F2619" s="258"/>
    </row>
    <row r="2620" spans="6:6" x14ac:dyDescent="0.2">
      <c r="F2620" s="258"/>
    </row>
    <row r="2621" spans="6:6" x14ac:dyDescent="0.2">
      <c r="F2621" s="258"/>
    </row>
    <row r="2622" spans="6:6" x14ac:dyDescent="0.2">
      <c r="F2622" s="258"/>
    </row>
    <row r="2623" spans="6:6" x14ac:dyDescent="0.2">
      <c r="F2623" s="258"/>
    </row>
    <row r="2624" spans="6:6" x14ac:dyDescent="0.2">
      <c r="F2624" s="258"/>
    </row>
    <row r="2625" spans="6:6" x14ac:dyDescent="0.2">
      <c r="F2625" s="258"/>
    </row>
    <row r="2626" spans="6:6" x14ac:dyDescent="0.2">
      <c r="F2626" s="258"/>
    </row>
    <row r="2627" spans="6:6" x14ac:dyDescent="0.2">
      <c r="F2627" s="258"/>
    </row>
    <row r="2628" spans="6:6" x14ac:dyDescent="0.2">
      <c r="F2628" s="258"/>
    </row>
    <row r="2629" spans="6:6" x14ac:dyDescent="0.2">
      <c r="F2629" s="258"/>
    </row>
    <row r="2630" spans="6:6" x14ac:dyDescent="0.2">
      <c r="F2630" s="258"/>
    </row>
    <row r="2631" spans="6:6" x14ac:dyDescent="0.2">
      <c r="F2631" s="258"/>
    </row>
    <row r="2632" spans="6:6" x14ac:dyDescent="0.2">
      <c r="F2632" s="258"/>
    </row>
    <row r="2633" spans="6:6" x14ac:dyDescent="0.2">
      <c r="F2633" s="258"/>
    </row>
    <row r="2634" spans="6:6" x14ac:dyDescent="0.2">
      <c r="F2634" s="258"/>
    </row>
    <row r="2635" spans="6:6" x14ac:dyDescent="0.2">
      <c r="F2635" s="258"/>
    </row>
    <row r="2636" spans="6:6" x14ac:dyDescent="0.2">
      <c r="F2636" s="258"/>
    </row>
    <row r="2637" spans="6:6" x14ac:dyDescent="0.2">
      <c r="F2637" s="258"/>
    </row>
    <row r="2638" spans="6:6" x14ac:dyDescent="0.2">
      <c r="F2638" s="258"/>
    </row>
    <row r="2639" spans="6:6" x14ac:dyDescent="0.2">
      <c r="F2639" s="258"/>
    </row>
    <row r="2640" spans="6:6" x14ac:dyDescent="0.2">
      <c r="F2640" s="258"/>
    </row>
    <row r="2641" spans="6:6" x14ac:dyDescent="0.2">
      <c r="F2641" s="258"/>
    </row>
    <row r="2642" spans="6:6" x14ac:dyDescent="0.2">
      <c r="F2642" s="258"/>
    </row>
    <row r="2643" spans="6:6" x14ac:dyDescent="0.2">
      <c r="F2643" s="258"/>
    </row>
    <row r="2644" spans="6:6" x14ac:dyDescent="0.2">
      <c r="F2644" s="258"/>
    </row>
    <row r="2645" spans="6:6" x14ac:dyDescent="0.2">
      <c r="F2645" s="258"/>
    </row>
    <row r="2646" spans="6:6" x14ac:dyDescent="0.2">
      <c r="F2646" s="258"/>
    </row>
    <row r="2647" spans="6:6" x14ac:dyDescent="0.2">
      <c r="F2647" s="258"/>
    </row>
    <row r="2648" spans="6:6" x14ac:dyDescent="0.2">
      <c r="F2648" s="258"/>
    </row>
    <row r="2649" spans="6:6" x14ac:dyDescent="0.2">
      <c r="F2649" s="258"/>
    </row>
    <row r="2650" spans="6:6" x14ac:dyDescent="0.2">
      <c r="F2650" s="258"/>
    </row>
    <row r="2651" spans="6:6" x14ac:dyDescent="0.2">
      <c r="F2651" s="258"/>
    </row>
    <row r="2652" spans="6:6" x14ac:dyDescent="0.2">
      <c r="F2652" s="258"/>
    </row>
    <row r="2653" spans="6:6" x14ac:dyDescent="0.2">
      <c r="F2653" s="258"/>
    </row>
    <row r="2654" spans="6:6" x14ac:dyDescent="0.2">
      <c r="F2654" s="258"/>
    </row>
    <row r="2655" spans="6:6" x14ac:dyDescent="0.2">
      <c r="F2655" s="258"/>
    </row>
    <row r="2656" spans="6:6" x14ac:dyDescent="0.2">
      <c r="F2656" s="258"/>
    </row>
    <row r="2657" spans="6:6" x14ac:dyDescent="0.2">
      <c r="F2657" s="258"/>
    </row>
    <row r="2658" spans="6:6" x14ac:dyDescent="0.2">
      <c r="F2658" s="258"/>
    </row>
    <row r="2659" spans="6:6" x14ac:dyDescent="0.2">
      <c r="F2659" s="258"/>
    </row>
    <row r="2660" spans="6:6" x14ac:dyDescent="0.2">
      <c r="F2660" s="258"/>
    </row>
    <row r="2661" spans="6:6" x14ac:dyDescent="0.2">
      <c r="F2661" s="258"/>
    </row>
    <row r="2662" spans="6:6" x14ac:dyDescent="0.2">
      <c r="F2662" s="258"/>
    </row>
    <row r="2663" spans="6:6" x14ac:dyDescent="0.2">
      <c r="F2663" s="258"/>
    </row>
    <row r="2664" spans="6:6" x14ac:dyDescent="0.2">
      <c r="F2664" s="258"/>
    </row>
    <row r="2665" spans="6:6" x14ac:dyDescent="0.2">
      <c r="F2665" s="258"/>
    </row>
    <row r="2666" spans="6:6" x14ac:dyDescent="0.2">
      <c r="F2666" s="258"/>
    </row>
    <row r="2667" spans="6:6" x14ac:dyDescent="0.2">
      <c r="F2667" s="258"/>
    </row>
    <row r="2668" spans="6:6" x14ac:dyDescent="0.2">
      <c r="F2668" s="258"/>
    </row>
    <row r="2669" spans="6:6" x14ac:dyDescent="0.2">
      <c r="F2669" s="258"/>
    </row>
    <row r="2670" spans="6:6" x14ac:dyDescent="0.2">
      <c r="F2670" s="258"/>
    </row>
    <row r="2671" spans="6:6" x14ac:dyDescent="0.2">
      <c r="F2671" s="258"/>
    </row>
    <row r="2672" spans="6:6" x14ac:dyDescent="0.2">
      <c r="F2672" s="258"/>
    </row>
    <row r="2673" spans="6:6" x14ac:dyDescent="0.2">
      <c r="F2673" s="258"/>
    </row>
    <row r="2674" spans="6:6" x14ac:dyDescent="0.2">
      <c r="F2674" s="258"/>
    </row>
    <row r="2675" spans="6:6" x14ac:dyDescent="0.2">
      <c r="F2675" s="258"/>
    </row>
    <row r="2676" spans="6:6" x14ac:dyDescent="0.2">
      <c r="F2676" s="258"/>
    </row>
    <row r="2677" spans="6:6" x14ac:dyDescent="0.2">
      <c r="F2677" s="258"/>
    </row>
    <row r="2678" spans="6:6" x14ac:dyDescent="0.2">
      <c r="F2678" s="258"/>
    </row>
    <row r="2679" spans="6:6" x14ac:dyDescent="0.2">
      <c r="F2679" s="258"/>
    </row>
    <row r="2680" spans="6:6" x14ac:dyDescent="0.2">
      <c r="F2680" s="258"/>
    </row>
    <row r="2681" spans="6:6" x14ac:dyDescent="0.2">
      <c r="F2681" s="258"/>
    </row>
    <row r="2682" spans="6:6" x14ac:dyDescent="0.2">
      <c r="F2682" s="258"/>
    </row>
    <row r="2683" spans="6:6" x14ac:dyDescent="0.2">
      <c r="F2683" s="258"/>
    </row>
    <row r="2684" spans="6:6" x14ac:dyDescent="0.2">
      <c r="F2684" s="258"/>
    </row>
    <row r="2685" spans="6:6" x14ac:dyDescent="0.2">
      <c r="F2685" s="258"/>
    </row>
    <row r="2686" spans="6:6" x14ac:dyDescent="0.2">
      <c r="F2686" s="258"/>
    </row>
    <row r="2687" spans="6:6" x14ac:dyDescent="0.2">
      <c r="F2687" s="258"/>
    </row>
    <row r="2688" spans="6:6" x14ac:dyDescent="0.2">
      <c r="F2688" s="258"/>
    </row>
    <row r="2689" spans="6:6" x14ac:dyDescent="0.2">
      <c r="F2689" s="258"/>
    </row>
    <row r="2690" spans="6:6" x14ac:dyDescent="0.2">
      <c r="F2690" s="258"/>
    </row>
    <row r="2691" spans="6:6" x14ac:dyDescent="0.2">
      <c r="F2691" s="258"/>
    </row>
    <row r="2692" spans="6:6" x14ac:dyDescent="0.2">
      <c r="F2692" s="258"/>
    </row>
    <row r="2693" spans="6:6" x14ac:dyDescent="0.2">
      <c r="F2693" s="258"/>
    </row>
    <row r="2694" spans="6:6" x14ac:dyDescent="0.2">
      <c r="F2694" s="258"/>
    </row>
    <row r="2695" spans="6:6" x14ac:dyDescent="0.2">
      <c r="F2695" s="258"/>
    </row>
    <row r="2696" spans="6:6" x14ac:dyDescent="0.2">
      <c r="F2696" s="258"/>
    </row>
    <row r="2697" spans="6:6" x14ac:dyDescent="0.2">
      <c r="F2697" s="258"/>
    </row>
    <row r="2698" spans="6:6" x14ac:dyDescent="0.2">
      <c r="F2698" s="258"/>
    </row>
    <row r="2699" spans="6:6" x14ac:dyDescent="0.2">
      <c r="F2699" s="258"/>
    </row>
    <row r="2700" spans="6:6" x14ac:dyDescent="0.2">
      <c r="F2700" s="258"/>
    </row>
    <row r="2701" spans="6:6" x14ac:dyDescent="0.2">
      <c r="F2701" s="258"/>
    </row>
    <row r="2702" spans="6:6" x14ac:dyDescent="0.2">
      <c r="F2702" s="258"/>
    </row>
    <row r="2703" spans="6:6" x14ac:dyDescent="0.2">
      <c r="F2703" s="258"/>
    </row>
    <row r="2704" spans="6:6" x14ac:dyDescent="0.2">
      <c r="F2704" s="258"/>
    </row>
    <row r="2705" spans="6:6" x14ac:dyDescent="0.2">
      <c r="F2705" s="258"/>
    </row>
    <row r="2706" spans="6:6" x14ac:dyDescent="0.2">
      <c r="F2706" s="258"/>
    </row>
    <row r="2707" spans="6:6" x14ac:dyDescent="0.2">
      <c r="F2707" s="258"/>
    </row>
    <row r="2708" spans="6:6" x14ac:dyDescent="0.2">
      <c r="F2708" s="258"/>
    </row>
    <row r="2709" spans="6:6" x14ac:dyDescent="0.2">
      <c r="F2709" s="258"/>
    </row>
    <row r="2710" spans="6:6" x14ac:dyDescent="0.2">
      <c r="F2710" s="258"/>
    </row>
    <row r="2711" spans="6:6" x14ac:dyDescent="0.2">
      <c r="F2711" s="258"/>
    </row>
    <row r="2712" spans="6:6" x14ac:dyDescent="0.2">
      <c r="F2712" s="258"/>
    </row>
    <row r="2713" spans="6:6" x14ac:dyDescent="0.2">
      <c r="F2713" s="258"/>
    </row>
    <row r="2714" spans="6:6" x14ac:dyDescent="0.2">
      <c r="F2714" s="258"/>
    </row>
    <row r="2715" spans="6:6" x14ac:dyDescent="0.2">
      <c r="F2715" s="258"/>
    </row>
    <row r="2716" spans="6:6" x14ac:dyDescent="0.2">
      <c r="F2716" s="258"/>
    </row>
    <row r="2717" spans="6:6" x14ac:dyDescent="0.2">
      <c r="F2717" s="258"/>
    </row>
    <row r="2718" spans="6:6" x14ac:dyDescent="0.2">
      <c r="F2718" s="258"/>
    </row>
    <row r="2719" spans="6:6" x14ac:dyDescent="0.2">
      <c r="F2719" s="258"/>
    </row>
    <row r="2720" spans="6:6" x14ac:dyDescent="0.2">
      <c r="F2720" s="258"/>
    </row>
    <row r="2721" spans="6:6" x14ac:dyDescent="0.2">
      <c r="F2721" s="258"/>
    </row>
    <row r="2722" spans="6:6" x14ac:dyDescent="0.2">
      <c r="F2722" s="258"/>
    </row>
    <row r="2723" spans="6:6" x14ac:dyDescent="0.2">
      <c r="F2723" s="258"/>
    </row>
    <row r="2724" spans="6:6" x14ac:dyDescent="0.2">
      <c r="F2724" s="258"/>
    </row>
    <row r="2725" spans="6:6" x14ac:dyDescent="0.2">
      <c r="F2725" s="258"/>
    </row>
    <row r="2726" spans="6:6" x14ac:dyDescent="0.2">
      <c r="F2726" s="258"/>
    </row>
    <row r="2727" spans="6:6" x14ac:dyDescent="0.2">
      <c r="F2727" s="258"/>
    </row>
    <row r="2728" spans="6:6" x14ac:dyDescent="0.2">
      <c r="F2728" s="258"/>
    </row>
    <row r="2729" spans="6:6" x14ac:dyDescent="0.2">
      <c r="F2729" s="258"/>
    </row>
    <row r="2730" spans="6:6" x14ac:dyDescent="0.2">
      <c r="F2730" s="258"/>
    </row>
    <row r="2731" spans="6:6" x14ac:dyDescent="0.2">
      <c r="F2731" s="258"/>
    </row>
    <row r="2732" spans="6:6" x14ac:dyDescent="0.2">
      <c r="F2732" s="258"/>
    </row>
    <row r="2733" spans="6:6" x14ac:dyDescent="0.2">
      <c r="F2733" s="258"/>
    </row>
    <row r="2734" spans="6:6" x14ac:dyDescent="0.2">
      <c r="F2734" s="258"/>
    </row>
    <row r="2735" spans="6:6" x14ac:dyDescent="0.2">
      <c r="F2735" s="258"/>
    </row>
    <row r="2736" spans="6:6" x14ac:dyDescent="0.2">
      <c r="F2736" s="258"/>
    </row>
    <row r="2737" spans="6:6" x14ac:dyDescent="0.2">
      <c r="F2737" s="258"/>
    </row>
    <row r="2738" spans="6:6" x14ac:dyDescent="0.2">
      <c r="F2738" s="258"/>
    </row>
    <row r="2739" spans="6:6" x14ac:dyDescent="0.2">
      <c r="F2739" s="258"/>
    </row>
    <row r="2740" spans="6:6" x14ac:dyDescent="0.2">
      <c r="F2740" s="258"/>
    </row>
    <row r="2741" spans="6:6" x14ac:dyDescent="0.2">
      <c r="F2741" s="258"/>
    </row>
    <row r="2742" spans="6:6" x14ac:dyDescent="0.2">
      <c r="F2742" s="258"/>
    </row>
    <row r="2743" spans="6:6" x14ac:dyDescent="0.2">
      <c r="F2743" s="258"/>
    </row>
    <row r="2744" spans="6:6" x14ac:dyDescent="0.2">
      <c r="F2744" s="258"/>
    </row>
    <row r="2745" spans="6:6" x14ac:dyDescent="0.2">
      <c r="F2745" s="258"/>
    </row>
    <row r="2746" spans="6:6" x14ac:dyDescent="0.2">
      <c r="F2746" s="258"/>
    </row>
    <row r="2747" spans="6:6" x14ac:dyDescent="0.2">
      <c r="F2747" s="258"/>
    </row>
    <row r="2748" spans="6:6" x14ac:dyDescent="0.2">
      <c r="F2748" s="258"/>
    </row>
    <row r="2749" spans="6:6" x14ac:dyDescent="0.2">
      <c r="F2749" s="258"/>
    </row>
    <row r="2750" spans="6:6" x14ac:dyDescent="0.2">
      <c r="F2750" s="258"/>
    </row>
    <row r="2751" spans="6:6" x14ac:dyDescent="0.2">
      <c r="F2751" s="258"/>
    </row>
    <row r="2752" spans="6:6" x14ac:dyDescent="0.2">
      <c r="F2752" s="258"/>
    </row>
    <row r="2753" spans="6:6" x14ac:dyDescent="0.2">
      <c r="F2753" s="258"/>
    </row>
    <row r="2754" spans="6:6" x14ac:dyDescent="0.2">
      <c r="F2754" s="258"/>
    </row>
    <row r="2755" spans="6:6" x14ac:dyDescent="0.2">
      <c r="F2755" s="258"/>
    </row>
    <row r="2756" spans="6:6" x14ac:dyDescent="0.2">
      <c r="F2756" s="258"/>
    </row>
    <row r="2757" spans="6:6" x14ac:dyDescent="0.2">
      <c r="F2757" s="258"/>
    </row>
    <row r="2758" spans="6:6" x14ac:dyDescent="0.2">
      <c r="F2758" s="258"/>
    </row>
    <row r="2759" spans="6:6" x14ac:dyDescent="0.2">
      <c r="F2759" s="258"/>
    </row>
    <row r="2760" spans="6:6" x14ac:dyDescent="0.2">
      <c r="F2760" s="258"/>
    </row>
    <row r="2761" spans="6:6" x14ac:dyDescent="0.2">
      <c r="F2761" s="258"/>
    </row>
    <row r="2762" spans="6:6" x14ac:dyDescent="0.2">
      <c r="F2762" s="258"/>
    </row>
    <row r="2763" spans="6:6" x14ac:dyDescent="0.2">
      <c r="F2763" s="258"/>
    </row>
    <row r="2764" spans="6:6" x14ac:dyDescent="0.2">
      <c r="F2764" s="258"/>
    </row>
    <row r="2765" spans="6:6" x14ac:dyDescent="0.2">
      <c r="F2765" s="258"/>
    </row>
    <row r="2766" spans="6:6" x14ac:dyDescent="0.2">
      <c r="F2766" s="258"/>
    </row>
    <row r="2767" spans="6:6" x14ac:dyDescent="0.2">
      <c r="F2767" s="258"/>
    </row>
    <row r="2768" spans="6:6" x14ac:dyDescent="0.2">
      <c r="F2768" s="258"/>
    </row>
    <row r="2769" spans="6:6" x14ac:dyDescent="0.2">
      <c r="F2769" s="258"/>
    </row>
    <row r="2770" spans="6:6" x14ac:dyDescent="0.2">
      <c r="F2770" s="258"/>
    </row>
    <row r="2771" spans="6:6" x14ac:dyDescent="0.2">
      <c r="F2771" s="258"/>
    </row>
    <row r="2772" spans="6:6" x14ac:dyDescent="0.2">
      <c r="F2772" s="258"/>
    </row>
    <row r="2773" spans="6:6" x14ac:dyDescent="0.2">
      <c r="F2773" s="258"/>
    </row>
    <row r="2774" spans="6:6" x14ac:dyDescent="0.2">
      <c r="F2774" s="258"/>
    </row>
    <row r="2775" spans="6:6" x14ac:dyDescent="0.2">
      <c r="F2775" s="258"/>
    </row>
    <row r="2776" spans="6:6" x14ac:dyDescent="0.2">
      <c r="F2776" s="258"/>
    </row>
    <row r="2777" spans="6:6" x14ac:dyDescent="0.2">
      <c r="F2777" s="258"/>
    </row>
    <row r="2778" spans="6:6" x14ac:dyDescent="0.2">
      <c r="F2778" s="258"/>
    </row>
    <row r="2779" spans="6:6" x14ac:dyDescent="0.2">
      <c r="F2779" s="258"/>
    </row>
    <row r="2780" spans="6:6" x14ac:dyDescent="0.2">
      <c r="F2780" s="258"/>
    </row>
    <row r="2781" spans="6:6" x14ac:dyDescent="0.2">
      <c r="F2781" s="258"/>
    </row>
    <row r="2782" spans="6:6" x14ac:dyDescent="0.2">
      <c r="F2782" s="258"/>
    </row>
    <row r="2783" spans="6:6" x14ac:dyDescent="0.2">
      <c r="F2783" s="258"/>
    </row>
    <row r="2784" spans="6:6" x14ac:dyDescent="0.2">
      <c r="F2784" s="258"/>
    </row>
    <row r="2785" spans="6:6" x14ac:dyDescent="0.2">
      <c r="F2785" s="258"/>
    </row>
    <row r="2786" spans="6:6" x14ac:dyDescent="0.2">
      <c r="F2786" s="258"/>
    </row>
    <row r="2787" spans="6:6" x14ac:dyDescent="0.2">
      <c r="F2787" s="258"/>
    </row>
    <row r="2788" spans="6:6" x14ac:dyDescent="0.2">
      <c r="F2788" s="258"/>
    </row>
    <row r="2789" spans="6:6" x14ac:dyDescent="0.2">
      <c r="F2789" s="258"/>
    </row>
    <row r="2790" spans="6:6" x14ac:dyDescent="0.2">
      <c r="F2790" s="258"/>
    </row>
    <row r="2791" spans="6:6" x14ac:dyDescent="0.2">
      <c r="F2791" s="258"/>
    </row>
    <row r="2792" spans="6:6" x14ac:dyDescent="0.2">
      <c r="F2792" s="258"/>
    </row>
    <row r="2793" spans="6:6" x14ac:dyDescent="0.2">
      <c r="F2793" s="258"/>
    </row>
    <row r="2794" spans="6:6" x14ac:dyDescent="0.2">
      <c r="F2794" s="258"/>
    </row>
    <row r="2795" spans="6:6" x14ac:dyDescent="0.2">
      <c r="F2795" s="258"/>
    </row>
    <row r="2796" spans="6:6" x14ac:dyDescent="0.2">
      <c r="F2796" s="258"/>
    </row>
    <row r="2797" spans="6:6" x14ac:dyDescent="0.2">
      <c r="F2797" s="258"/>
    </row>
    <row r="2798" spans="6:6" x14ac:dyDescent="0.2">
      <c r="F2798" s="258"/>
    </row>
    <row r="2799" spans="6:6" x14ac:dyDescent="0.2">
      <c r="F2799" s="258"/>
    </row>
    <row r="2800" spans="6:6" x14ac:dyDescent="0.2">
      <c r="F2800" s="258"/>
    </row>
    <row r="2801" spans="6:6" x14ac:dyDescent="0.2">
      <c r="F2801" s="258"/>
    </row>
    <row r="2802" spans="6:6" x14ac:dyDescent="0.2">
      <c r="F2802" s="258"/>
    </row>
    <row r="2803" spans="6:6" x14ac:dyDescent="0.2">
      <c r="F2803" s="258"/>
    </row>
    <row r="2804" spans="6:6" x14ac:dyDescent="0.2">
      <c r="F2804" s="258"/>
    </row>
    <row r="2805" spans="6:6" x14ac:dyDescent="0.2">
      <c r="F2805" s="258"/>
    </row>
    <row r="2806" spans="6:6" x14ac:dyDescent="0.2">
      <c r="F2806" s="258"/>
    </row>
    <row r="2807" spans="6:6" x14ac:dyDescent="0.2">
      <c r="F2807" s="258"/>
    </row>
    <row r="2808" spans="6:6" x14ac:dyDescent="0.2">
      <c r="F2808" s="258"/>
    </row>
    <row r="2809" spans="6:6" x14ac:dyDescent="0.2">
      <c r="F2809" s="258"/>
    </row>
    <row r="2810" spans="6:6" x14ac:dyDescent="0.2">
      <c r="F2810" s="258"/>
    </row>
    <row r="2811" spans="6:6" x14ac:dyDescent="0.2">
      <c r="F2811" s="258"/>
    </row>
    <row r="2812" spans="6:6" x14ac:dyDescent="0.2">
      <c r="F2812" s="258"/>
    </row>
    <row r="2813" spans="6:6" x14ac:dyDescent="0.2">
      <c r="F2813" s="258"/>
    </row>
    <row r="2814" spans="6:6" x14ac:dyDescent="0.2">
      <c r="F2814" s="258"/>
    </row>
    <row r="2815" spans="6:6" x14ac:dyDescent="0.2">
      <c r="F2815" s="258"/>
    </row>
    <row r="2816" spans="6:6" x14ac:dyDescent="0.2">
      <c r="F2816" s="258"/>
    </row>
    <row r="2817" spans="6:6" x14ac:dyDescent="0.2">
      <c r="F2817" s="258"/>
    </row>
    <row r="2818" spans="6:6" x14ac:dyDescent="0.2">
      <c r="F2818" s="258"/>
    </row>
    <row r="2819" spans="6:6" x14ac:dyDescent="0.2">
      <c r="F2819" s="258"/>
    </row>
    <row r="2820" spans="6:6" x14ac:dyDescent="0.2">
      <c r="F2820" s="258"/>
    </row>
    <row r="2821" spans="6:6" x14ac:dyDescent="0.2">
      <c r="F2821" s="258"/>
    </row>
    <row r="2822" spans="6:6" x14ac:dyDescent="0.2">
      <c r="F2822" s="258"/>
    </row>
    <row r="2823" spans="6:6" x14ac:dyDescent="0.2">
      <c r="F2823" s="258"/>
    </row>
    <row r="2824" spans="6:6" x14ac:dyDescent="0.2">
      <c r="F2824" s="258"/>
    </row>
    <row r="2825" spans="6:6" x14ac:dyDescent="0.2">
      <c r="F2825" s="258"/>
    </row>
    <row r="2826" spans="6:6" x14ac:dyDescent="0.2">
      <c r="F2826" s="258"/>
    </row>
    <row r="2827" spans="6:6" x14ac:dyDescent="0.2">
      <c r="F2827" s="258"/>
    </row>
    <row r="2828" spans="6:6" x14ac:dyDescent="0.2">
      <c r="F2828" s="258"/>
    </row>
    <row r="2829" spans="6:6" x14ac:dyDescent="0.2">
      <c r="F2829" s="258"/>
    </row>
    <row r="2830" spans="6:6" x14ac:dyDescent="0.2">
      <c r="F2830" s="258"/>
    </row>
    <row r="2831" spans="6:6" x14ac:dyDescent="0.2">
      <c r="F2831" s="258"/>
    </row>
    <row r="2832" spans="6:6" x14ac:dyDescent="0.2">
      <c r="F2832" s="258"/>
    </row>
    <row r="2833" spans="6:6" x14ac:dyDescent="0.2">
      <c r="F2833" s="258"/>
    </row>
    <row r="2834" spans="6:6" x14ac:dyDescent="0.2">
      <c r="F2834" s="258"/>
    </row>
    <row r="2835" spans="6:6" x14ac:dyDescent="0.2">
      <c r="F2835" s="258"/>
    </row>
    <row r="2836" spans="6:6" x14ac:dyDescent="0.2">
      <c r="F2836" s="258"/>
    </row>
    <row r="2837" spans="6:6" x14ac:dyDescent="0.2">
      <c r="F2837" s="258"/>
    </row>
    <row r="2838" spans="6:6" x14ac:dyDescent="0.2">
      <c r="F2838" s="258"/>
    </row>
    <row r="2839" spans="6:6" x14ac:dyDescent="0.2">
      <c r="F2839" s="258"/>
    </row>
    <row r="2840" spans="6:6" x14ac:dyDescent="0.2">
      <c r="F2840" s="258"/>
    </row>
    <row r="2841" spans="6:6" x14ac:dyDescent="0.2">
      <c r="F2841" s="258"/>
    </row>
    <row r="2842" spans="6:6" x14ac:dyDescent="0.2">
      <c r="F2842" s="258"/>
    </row>
    <row r="2843" spans="6:6" x14ac:dyDescent="0.2">
      <c r="F2843" s="258"/>
    </row>
    <row r="2844" spans="6:6" x14ac:dyDescent="0.2">
      <c r="F2844" s="258"/>
    </row>
    <row r="2845" spans="6:6" x14ac:dyDescent="0.2">
      <c r="F2845" s="258"/>
    </row>
    <row r="2846" spans="6:6" x14ac:dyDescent="0.2">
      <c r="F2846" s="258"/>
    </row>
    <row r="2847" spans="6:6" x14ac:dyDescent="0.2">
      <c r="F2847" s="258"/>
    </row>
    <row r="2848" spans="6:6" x14ac:dyDescent="0.2">
      <c r="F2848" s="258"/>
    </row>
    <row r="2849" spans="6:6" x14ac:dyDescent="0.2">
      <c r="F2849" s="258"/>
    </row>
    <row r="2850" spans="6:6" x14ac:dyDescent="0.2">
      <c r="F2850" s="258"/>
    </row>
    <row r="2851" spans="6:6" x14ac:dyDescent="0.2">
      <c r="F2851" s="258"/>
    </row>
    <row r="2852" spans="6:6" x14ac:dyDescent="0.2">
      <c r="F2852" s="258"/>
    </row>
    <row r="2853" spans="6:6" x14ac:dyDescent="0.2">
      <c r="F2853" s="258"/>
    </row>
    <row r="2854" spans="6:6" x14ac:dyDescent="0.2">
      <c r="F2854" s="258"/>
    </row>
    <row r="2855" spans="6:6" x14ac:dyDescent="0.2">
      <c r="F2855" s="258"/>
    </row>
    <row r="2856" spans="6:6" x14ac:dyDescent="0.2">
      <c r="F2856" s="258"/>
    </row>
    <row r="2857" spans="6:6" x14ac:dyDescent="0.2">
      <c r="F2857" s="258"/>
    </row>
    <row r="2858" spans="6:6" x14ac:dyDescent="0.2">
      <c r="F2858" s="258"/>
    </row>
    <row r="2859" spans="6:6" x14ac:dyDescent="0.2">
      <c r="F2859" s="258"/>
    </row>
    <row r="2860" spans="6:6" x14ac:dyDescent="0.2">
      <c r="F2860" s="258"/>
    </row>
    <row r="2861" spans="6:6" x14ac:dyDescent="0.2">
      <c r="F2861" s="258"/>
    </row>
    <row r="2862" spans="6:6" x14ac:dyDescent="0.2">
      <c r="F2862" s="258"/>
    </row>
    <row r="2863" spans="6:6" x14ac:dyDescent="0.2">
      <c r="F2863" s="258"/>
    </row>
    <row r="2864" spans="6:6" x14ac:dyDescent="0.2">
      <c r="F2864" s="258"/>
    </row>
    <row r="2865" spans="6:6" x14ac:dyDescent="0.2">
      <c r="F2865" s="258"/>
    </row>
    <row r="2866" spans="6:6" x14ac:dyDescent="0.2">
      <c r="F2866" s="258"/>
    </row>
    <row r="2867" spans="6:6" x14ac:dyDescent="0.2">
      <c r="F2867" s="258"/>
    </row>
    <row r="2868" spans="6:6" x14ac:dyDescent="0.2">
      <c r="F2868" s="258"/>
    </row>
    <row r="2869" spans="6:6" x14ac:dyDescent="0.2">
      <c r="F2869" s="258"/>
    </row>
    <row r="2870" spans="6:6" x14ac:dyDescent="0.2">
      <c r="F2870" s="258"/>
    </row>
    <row r="2871" spans="6:6" x14ac:dyDescent="0.2">
      <c r="F2871" s="258"/>
    </row>
    <row r="2872" spans="6:6" x14ac:dyDescent="0.2">
      <c r="F2872" s="258"/>
    </row>
    <row r="2873" spans="6:6" x14ac:dyDescent="0.2">
      <c r="F2873" s="258"/>
    </row>
    <row r="2874" spans="6:6" x14ac:dyDescent="0.2">
      <c r="F2874" s="258"/>
    </row>
    <row r="2875" spans="6:6" x14ac:dyDescent="0.2">
      <c r="F2875" s="258"/>
    </row>
    <row r="2876" spans="6:6" x14ac:dyDescent="0.2">
      <c r="F2876" s="258"/>
    </row>
    <row r="2877" spans="6:6" x14ac:dyDescent="0.2">
      <c r="F2877" s="258"/>
    </row>
    <row r="2878" spans="6:6" x14ac:dyDescent="0.2">
      <c r="F2878" s="258"/>
    </row>
    <row r="2879" spans="6:6" x14ac:dyDescent="0.2">
      <c r="F2879" s="258"/>
    </row>
    <row r="2880" spans="6:6" x14ac:dyDescent="0.2">
      <c r="F2880" s="258"/>
    </row>
    <row r="2881" spans="6:6" x14ac:dyDescent="0.2">
      <c r="F2881" s="258"/>
    </row>
    <row r="2882" spans="6:6" x14ac:dyDescent="0.2">
      <c r="F2882" s="258"/>
    </row>
    <row r="2883" spans="6:6" x14ac:dyDescent="0.2">
      <c r="F2883" s="258"/>
    </row>
    <row r="2884" spans="6:6" x14ac:dyDescent="0.2">
      <c r="F2884" s="258"/>
    </row>
    <row r="2885" spans="6:6" x14ac:dyDescent="0.2">
      <c r="F2885" s="258"/>
    </row>
    <row r="2886" spans="6:6" x14ac:dyDescent="0.2">
      <c r="F2886" s="258"/>
    </row>
    <row r="2887" spans="6:6" x14ac:dyDescent="0.2">
      <c r="F2887" s="258"/>
    </row>
    <row r="2888" spans="6:6" x14ac:dyDescent="0.2">
      <c r="F2888" s="258"/>
    </row>
    <row r="2889" spans="6:6" x14ac:dyDescent="0.2">
      <c r="F2889" s="258"/>
    </row>
    <row r="2890" spans="6:6" x14ac:dyDescent="0.2">
      <c r="F2890" s="258"/>
    </row>
    <row r="2891" spans="6:6" x14ac:dyDescent="0.2">
      <c r="F2891" s="258"/>
    </row>
    <row r="2892" spans="6:6" x14ac:dyDescent="0.2">
      <c r="F2892" s="258"/>
    </row>
    <row r="2893" spans="6:6" x14ac:dyDescent="0.2">
      <c r="F2893" s="258"/>
    </row>
    <row r="2894" spans="6:6" x14ac:dyDescent="0.2">
      <c r="F2894" s="258"/>
    </row>
    <row r="2895" spans="6:6" x14ac:dyDescent="0.2">
      <c r="F2895" s="258"/>
    </row>
    <row r="2896" spans="6:6" x14ac:dyDescent="0.2">
      <c r="F2896" s="258"/>
    </row>
    <row r="2897" spans="6:6" x14ac:dyDescent="0.2">
      <c r="F2897" s="258"/>
    </row>
    <row r="2898" spans="6:6" x14ac:dyDescent="0.2">
      <c r="F2898" s="258"/>
    </row>
    <row r="2899" spans="6:6" x14ac:dyDescent="0.2">
      <c r="F2899" s="258"/>
    </row>
    <row r="2900" spans="6:6" x14ac:dyDescent="0.2">
      <c r="F2900" s="258"/>
    </row>
    <row r="2901" spans="6:6" x14ac:dyDescent="0.2">
      <c r="F2901" s="258"/>
    </row>
    <row r="2902" spans="6:6" x14ac:dyDescent="0.2">
      <c r="F2902" s="258"/>
    </row>
    <row r="2903" spans="6:6" x14ac:dyDescent="0.2">
      <c r="F2903" s="258"/>
    </row>
    <row r="2904" spans="6:6" x14ac:dyDescent="0.2">
      <c r="F2904" s="258"/>
    </row>
    <row r="2905" spans="6:6" x14ac:dyDescent="0.2">
      <c r="F2905" s="258"/>
    </row>
    <row r="2906" spans="6:6" x14ac:dyDescent="0.2">
      <c r="F2906" s="258"/>
    </row>
    <row r="2907" spans="6:6" x14ac:dyDescent="0.2">
      <c r="F2907" s="258"/>
    </row>
    <row r="2908" spans="6:6" x14ac:dyDescent="0.2">
      <c r="F2908" s="258"/>
    </row>
    <row r="2909" spans="6:6" x14ac:dyDescent="0.2">
      <c r="F2909" s="258"/>
    </row>
    <row r="2910" spans="6:6" x14ac:dyDescent="0.2">
      <c r="F2910" s="258"/>
    </row>
    <row r="2911" spans="6:6" x14ac:dyDescent="0.2">
      <c r="F2911" s="258"/>
    </row>
    <row r="2912" spans="6:6" x14ac:dyDescent="0.2">
      <c r="F2912" s="258"/>
    </row>
    <row r="2913" spans="6:6" x14ac:dyDescent="0.2">
      <c r="F2913" s="258"/>
    </row>
    <row r="2914" spans="6:6" x14ac:dyDescent="0.2">
      <c r="F2914" s="258"/>
    </row>
    <row r="2915" spans="6:6" x14ac:dyDescent="0.2">
      <c r="F2915" s="258"/>
    </row>
    <row r="2916" spans="6:6" x14ac:dyDescent="0.2">
      <c r="F2916" s="258"/>
    </row>
    <row r="2917" spans="6:6" x14ac:dyDescent="0.2">
      <c r="F2917" s="258"/>
    </row>
    <row r="2918" spans="6:6" x14ac:dyDescent="0.2">
      <c r="F2918" s="258"/>
    </row>
    <row r="2919" spans="6:6" x14ac:dyDescent="0.2">
      <c r="F2919" s="258"/>
    </row>
    <row r="2920" spans="6:6" x14ac:dyDescent="0.2">
      <c r="F2920" s="258"/>
    </row>
    <row r="2921" spans="6:6" x14ac:dyDescent="0.2">
      <c r="F2921" s="258"/>
    </row>
    <row r="2922" spans="6:6" x14ac:dyDescent="0.2">
      <c r="F2922" s="258"/>
    </row>
    <row r="2923" spans="6:6" x14ac:dyDescent="0.2">
      <c r="F2923" s="258"/>
    </row>
    <row r="2924" spans="6:6" x14ac:dyDescent="0.2">
      <c r="F2924" s="258"/>
    </row>
    <row r="2925" spans="6:6" x14ac:dyDescent="0.2">
      <c r="F2925" s="258"/>
    </row>
    <row r="2926" spans="6:6" x14ac:dyDescent="0.2">
      <c r="F2926" s="258"/>
    </row>
    <row r="2927" spans="6:6" x14ac:dyDescent="0.2">
      <c r="F2927" s="258"/>
    </row>
    <row r="2928" spans="6:6" x14ac:dyDescent="0.2">
      <c r="F2928" s="258"/>
    </row>
    <row r="2929" spans="6:6" x14ac:dyDescent="0.2">
      <c r="F2929" s="258"/>
    </row>
    <row r="2930" spans="6:6" x14ac:dyDescent="0.2">
      <c r="F2930" s="258"/>
    </row>
    <row r="2931" spans="6:6" x14ac:dyDescent="0.2">
      <c r="F2931" s="258"/>
    </row>
    <row r="2932" spans="6:6" x14ac:dyDescent="0.2">
      <c r="F2932" s="258"/>
    </row>
    <row r="2933" spans="6:6" x14ac:dyDescent="0.2">
      <c r="F2933" s="258"/>
    </row>
    <row r="2934" spans="6:6" x14ac:dyDescent="0.2">
      <c r="F2934" s="258"/>
    </row>
    <row r="2935" spans="6:6" x14ac:dyDescent="0.2">
      <c r="F2935" s="258"/>
    </row>
    <row r="2936" spans="6:6" x14ac:dyDescent="0.2">
      <c r="F2936" s="258"/>
    </row>
    <row r="2937" spans="6:6" x14ac:dyDescent="0.2">
      <c r="F2937" s="258"/>
    </row>
    <row r="2938" spans="6:6" x14ac:dyDescent="0.2">
      <c r="F2938" s="258"/>
    </row>
    <row r="2939" spans="6:6" x14ac:dyDescent="0.2">
      <c r="F2939" s="258"/>
    </row>
    <row r="2940" spans="6:6" x14ac:dyDescent="0.2">
      <c r="F2940" s="258"/>
    </row>
    <row r="2941" spans="6:6" x14ac:dyDescent="0.2">
      <c r="F2941" s="258"/>
    </row>
    <row r="2942" spans="6:6" x14ac:dyDescent="0.2">
      <c r="F2942" s="258"/>
    </row>
    <row r="2943" spans="6:6" x14ac:dyDescent="0.2">
      <c r="F2943" s="258"/>
    </row>
    <row r="2944" spans="6:6" x14ac:dyDescent="0.2">
      <c r="F2944" s="258"/>
    </row>
    <row r="2945" spans="6:6" x14ac:dyDescent="0.2">
      <c r="F2945" s="258"/>
    </row>
    <row r="2946" spans="6:6" x14ac:dyDescent="0.2">
      <c r="F2946" s="258"/>
    </row>
    <row r="2947" spans="6:6" x14ac:dyDescent="0.2">
      <c r="F2947" s="258"/>
    </row>
    <row r="2948" spans="6:6" x14ac:dyDescent="0.2">
      <c r="F2948" s="258"/>
    </row>
    <row r="2949" spans="6:6" x14ac:dyDescent="0.2">
      <c r="F2949" s="258"/>
    </row>
    <row r="2950" spans="6:6" x14ac:dyDescent="0.2">
      <c r="F2950" s="258"/>
    </row>
    <row r="2951" spans="6:6" x14ac:dyDescent="0.2">
      <c r="F2951" s="258"/>
    </row>
    <row r="2952" spans="6:6" x14ac:dyDescent="0.2">
      <c r="F2952" s="258"/>
    </row>
    <row r="2953" spans="6:6" x14ac:dyDescent="0.2">
      <c r="F2953" s="258"/>
    </row>
    <row r="2954" spans="6:6" x14ac:dyDescent="0.2">
      <c r="F2954" s="258"/>
    </row>
    <row r="2955" spans="6:6" x14ac:dyDescent="0.2">
      <c r="F2955" s="258"/>
    </row>
    <row r="2956" spans="6:6" x14ac:dyDescent="0.2">
      <c r="F2956" s="258"/>
    </row>
    <row r="2957" spans="6:6" x14ac:dyDescent="0.2">
      <c r="F2957" s="258"/>
    </row>
    <row r="2958" spans="6:6" x14ac:dyDescent="0.2">
      <c r="F2958" s="258"/>
    </row>
    <row r="2959" spans="6:6" x14ac:dyDescent="0.2">
      <c r="F2959" s="258"/>
    </row>
    <row r="2960" spans="6:6" x14ac:dyDescent="0.2">
      <c r="F2960" s="258"/>
    </row>
    <row r="2961" spans="6:6" x14ac:dyDescent="0.2">
      <c r="F2961" s="258"/>
    </row>
    <row r="2962" spans="6:6" x14ac:dyDescent="0.2">
      <c r="F2962" s="258"/>
    </row>
    <row r="2963" spans="6:6" x14ac:dyDescent="0.2">
      <c r="F2963" s="258"/>
    </row>
    <row r="2964" spans="6:6" x14ac:dyDescent="0.2">
      <c r="F2964" s="258"/>
    </row>
    <row r="2965" spans="6:6" x14ac:dyDescent="0.2">
      <c r="F2965" s="258"/>
    </row>
    <row r="2966" spans="6:6" x14ac:dyDescent="0.2">
      <c r="F2966" s="258"/>
    </row>
    <row r="2967" spans="6:6" x14ac:dyDescent="0.2">
      <c r="F2967" s="258"/>
    </row>
    <row r="2968" spans="6:6" x14ac:dyDescent="0.2">
      <c r="F2968" s="258"/>
    </row>
    <row r="2969" spans="6:6" x14ac:dyDescent="0.2">
      <c r="F2969" s="258"/>
    </row>
    <row r="2970" spans="6:6" x14ac:dyDescent="0.2">
      <c r="F2970" s="258"/>
    </row>
    <row r="2971" spans="6:6" x14ac:dyDescent="0.2">
      <c r="F2971" s="258"/>
    </row>
    <row r="2972" spans="6:6" x14ac:dyDescent="0.2">
      <c r="F2972" s="258"/>
    </row>
    <row r="2973" spans="6:6" x14ac:dyDescent="0.2">
      <c r="F2973" s="258"/>
    </row>
    <row r="2974" spans="6:6" x14ac:dyDescent="0.2">
      <c r="F2974" s="258"/>
    </row>
    <row r="2975" spans="6:6" x14ac:dyDescent="0.2">
      <c r="F2975" s="258"/>
    </row>
    <row r="2976" spans="6:6" x14ac:dyDescent="0.2">
      <c r="F2976" s="258"/>
    </row>
    <row r="2977" spans="6:6" x14ac:dyDescent="0.2">
      <c r="F2977" s="258"/>
    </row>
    <row r="2978" spans="6:6" x14ac:dyDescent="0.2">
      <c r="F2978" s="258"/>
    </row>
    <row r="2979" spans="6:6" x14ac:dyDescent="0.2">
      <c r="F2979" s="258"/>
    </row>
    <row r="2980" spans="6:6" x14ac:dyDescent="0.2">
      <c r="F2980" s="258"/>
    </row>
    <row r="2981" spans="6:6" x14ac:dyDescent="0.2">
      <c r="F2981" s="258"/>
    </row>
    <row r="2982" spans="6:6" x14ac:dyDescent="0.2">
      <c r="F2982" s="258"/>
    </row>
    <row r="2983" spans="6:6" x14ac:dyDescent="0.2">
      <c r="F2983" s="258"/>
    </row>
    <row r="2984" spans="6:6" x14ac:dyDescent="0.2">
      <c r="F2984" s="258"/>
    </row>
    <row r="2985" spans="6:6" x14ac:dyDescent="0.2">
      <c r="F2985" s="258"/>
    </row>
    <row r="2986" spans="6:6" x14ac:dyDescent="0.2">
      <c r="F2986" s="258"/>
    </row>
    <row r="2987" spans="6:6" x14ac:dyDescent="0.2">
      <c r="F2987" s="258"/>
    </row>
    <row r="2988" spans="6:6" x14ac:dyDescent="0.2">
      <c r="F2988" s="258"/>
    </row>
    <row r="2989" spans="6:6" x14ac:dyDescent="0.2">
      <c r="F2989" s="258"/>
    </row>
    <row r="2990" spans="6:6" x14ac:dyDescent="0.2">
      <c r="F2990" s="258"/>
    </row>
    <row r="2991" spans="6:6" x14ac:dyDescent="0.2">
      <c r="F2991" s="258"/>
    </row>
    <row r="2992" spans="6:6" x14ac:dyDescent="0.2">
      <c r="F2992" s="258"/>
    </row>
    <row r="2993" spans="6:6" x14ac:dyDescent="0.2">
      <c r="F2993" s="258"/>
    </row>
    <row r="2994" spans="6:6" x14ac:dyDescent="0.2">
      <c r="F2994" s="258"/>
    </row>
    <row r="2995" spans="6:6" x14ac:dyDescent="0.2">
      <c r="F2995" s="258"/>
    </row>
    <row r="2996" spans="6:6" x14ac:dyDescent="0.2">
      <c r="F2996" s="258"/>
    </row>
    <row r="2997" spans="6:6" x14ac:dyDescent="0.2">
      <c r="F2997" s="258"/>
    </row>
    <row r="2998" spans="6:6" x14ac:dyDescent="0.2">
      <c r="F2998" s="258"/>
    </row>
    <row r="2999" spans="6:6" x14ac:dyDescent="0.2">
      <c r="F2999" s="258"/>
    </row>
    <row r="3000" spans="6:6" x14ac:dyDescent="0.2">
      <c r="F3000" s="258"/>
    </row>
    <row r="3001" spans="6:6" x14ac:dyDescent="0.2">
      <c r="F3001" s="258"/>
    </row>
    <row r="3002" spans="6:6" x14ac:dyDescent="0.2">
      <c r="F3002" s="258"/>
    </row>
    <row r="3003" spans="6:6" x14ac:dyDescent="0.2">
      <c r="F3003" s="258"/>
    </row>
    <row r="3004" spans="6:6" x14ac:dyDescent="0.2">
      <c r="F3004" s="258"/>
    </row>
    <row r="3005" spans="6:6" x14ac:dyDescent="0.2">
      <c r="F3005" s="258"/>
    </row>
    <row r="3006" spans="6:6" x14ac:dyDescent="0.2">
      <c r="F3006" s="258"/>
    </row>
    <row r="3007" spans="6:6" x14ac:dyDescent="0.2">
      <c r="F3007" s="258"/>
    </row>
    <row r="3008" spans="6:6" x14ac:dyDescent="0.2">
      <c r="F3008" s="258"/>
    </row>
    <row r="3009" spans="6:6" x14ac:dyDescent="0.2">
      <c r="F3009" s="258"/>
    </row>
    <row r="3010" spans="6:6" x14ac:dyDescent="0.2">
      <c r="F3010" s="258"/>
    </row>
    <row r="3011" spans="6:6" x14ac:dyDescent="0.2">
      <c r="F3011" s="258"/>
    </row>
    <row r="3012" spans="6:6" x14ac:dyDescent="0.2">
      <c r="F3012" s="258"/>
    </row>
    <row r="3013" spans="6:6" x14ac:dyDescent="0.2">
      <c r="F3013" s="258"/>
    </row>
    <row r="3014" spans="6:6" x14ac:dyDescent="0.2">
      <c r="F3014" s="258"/>
    </row>
    <row r="3015" spans="6:6" x14ac:dyDescent="0.2">
      <c r="F3015" s="258"/>
    </row>
    <row r="3016" spans="6:6" x14ac:dyDescent="0.2">
      <c r="F3016" s="258"/>
    </row>
    <row r="3017" spans="6:6" x14ac:dyDescent="0.2">
      <c r="F3017" s="258"/>
    </row>
    <row r="3018" spans="6:6" x14ac:dyDescent="0.2">
      <c r="F3018" s="258"/>
    </row>
    <row r="3019" spans="6:6" x14ac:dyDescent="0.2">
      <c r="F3019" s="258"/>
    </row>
    <row r="3020" spans="6:6" x14ac:dyDescent="0.2">
      <c r="F3020" s="258"/>
    </row>
    <row r="3021" spans="6:6" x14ac:dyDescent="0.2">
      <c r="F3021" s="258"/>
    </row>
    <row r="3022" spans="6:6" x14ac:dyDescent="0.2">
      <c r="F3022" s="258"/>
    </row>
    <row r="3023" spans="6:6" x14ac:dyDescent="0.2">
      <c r="F3023" s="258"/>
    </row>
    <row r="3024" spans="6:6" x14ac:dyDescent="0.2">
      <c r="F3024" s="258"/>
    </row>
    <row r="3025" spans="6:6" x14ac:dyDescent="0.2">
      <c r="F3025" s="258"/>
    </row>
    <row r="3026" spans="6:6" x14ac:dyDescent="0.2">
      <c r="F3026" s="258"/>
    </row>
    <row r="3027" spans="6:6" x14ac:dyDescent="0.2">
      <c r="F3027" s="258"/>
    </row>
    <row r="3028" spans="6:6" x14ac:dyDescent="0.2">
      <c r="F3028" s="258"/>
    </row>
    <row r="3029" spans="6:6" x14ac:dyDescent="0.2">
      <c r="F3029" s="258"/>
    </row>
    <row r="3030" spans="6:6" x14ac:dyDescent="0.2">
      <c r="F3030" s="258"/>
    </row>
    <row r="3031" spans="6:6" x14ac:dyDescent="0.2">
      <c r="F3031" s="258"/>
    </row>
    <row r="3032" spans="6:6" x14ac:dyDescent="0.2">
      <c r="F3032" s="258"/>
    </row>
    <row r="3033" spans="6:6" x14ac:dyDescent="0.2">
      <c r="F3033" s="258"/>
    </row>
    <row r="3034" spans="6:6" x14ac:dyDescent="0.2">
      <c r="F3034" s="258"/>
    </row>
    <row r="3035" spans="6:6" x14ac:dyDescent="0.2">
      <c r="F3035" s="258"/>
    </row>
    <row r="3036" spans="6:6" x14ac:dyDescent="0.2">
      <c r="F3036" s="258"/>
    </row>
    <row r="3037" spans="6:6" x14ac:dyDescent="0.2">
      <c r="F3037" s="258"/>
    </row>
    <row r="3038" spans="6:6" x14ac:dyDescent="0.2">
      <c r="F3038" s="258"/>
    </row>
    <row r="3039" spans="6:6" x14ac:dyDescent="0.2">
      <c r="F3039" s="258"/>
    </row>
    <row r="3040" spans="6:6" x14ac:dyDescent="0.2">
      <c r="F3040" s="258"/>
    </row>
    <row r="3041" spans="6:6" x14ac:dyDescent="0.2">
      <c r="F3041" s="258"/>
    </row>
    <row r="3042" spans="6:6" x14ac:dyDescent="0.2">
      <c r="F3042" s="258"/>
    </row>
    <row r="3043" spans="6:6" x14ac:dyDescent="0.2">
      <c r="F3043" s="258"/>
    </row>
    <row r="3044" spans="6:6" x14ac:dyDescent="0.2">
      <c r="F3044" s="258"/>
    </row>
    <row r="3045" spans="6:6" x14ac:dyDescent="0.2">
      <c r="F3045" s="258"/>
    </row>
    <row r="3046" spans="6:6" x14ac:dyDescent="0.2">
      <c r="F3046" s="258"/>
    </row>
    <row r="3047" spans="6:6" x14ac:dyDescent="0.2">
      <c r="F3047" s="258"/>
    </row>
    <row r="3048" spans="6:6" x14ac:dyDescent="0.2">
      <c r="F3048" s="258"/>
    </row>
    <row r="3049" spans="6:6" x14ac:dyDescent="0.2">
      <c r="F3049" s="258"/>
    </row>
    <row r="3050" spans="6:6" x14ac:dyDescent="0.2">
      <c r="F3050" s="258"/>
    </row>
    <row r="3051" spans="6:6" x14ac:dyDescent="0.2">
      <c r="F3051" s="258"/>
    </row>
    <row r="3052" spans="6:6" x14ac:dyDescent="0.2">
      <c r="F3052" s="258"/>
    </row>
    <row r="3053" spans="6:6" x14ac:dyDescent="0.2">
      <c r="F3053" s="258"/>
    </row>
    <row r="3054" spans="6:6" x14ac:dyDescent="0.2">
      <c r="F3054" s="258"/>
    </row>
    <row r="3055" spans="6:6" x14ac:dyDescent="0.2">
      <c r="F3055" s="258"/>
    </row>
    <row r="3056" spans="6:6" x14ac:dyDescent="0.2">
      <c r="F3056" s="258"/>
    </row>
    <row r="3057" spans="6:6" x14ac:dyDescent="0.2">
      <c r="F3057" s="258"/>
    </row>
    <row r="3058" spans="6:6" x14ac:dyDescent="0.2">
      <c r="F3058" s="258"/>
    </row>
    <row r="3059" spans="6:6" x14ac:dyDescent="0.2">
      <c r="F3059" s="258"/>
    </row>
    <row r="3060" spans="6:6" x14ac:dyDescent="0.2">
      <c r="F3060" s="258"/>
    </row>
    <row r="3061" spans="6:6" x14ac:dyDescent="0.2">
      <c r="F3061" s="258"/>
    </row>
    <row r="3062" spans="6:6" x14ac:dyDescent="0.2">
      <c r="F3062" s="258"/>
    </row>
    <row r="3063" spans="6:6" x14ac:dyDescent="0.2">
      <c r="F3063" s="258"/>
    </row>
    <row r="3064" spans="6:6" x14ac:dyDescent="0.2">
      <c r="F3064" s="258"/>
    </row>
    <row r="3065" spans="6:6" x14ac:dyDescent="0.2">
      <c r="F3065" s="258"/>
    </row>
    <row r="3066" spans="6:6" x14ac:dyDescent="0.2">
      <c r="F3066" s="258"/>
    </row>
    <row r="3067" spans="6:6" x14ac:dyDescent="0.2">
      <c r="F3067" s="258"/>
    </row>
    <row r="3068" spans="6:6" x14ac:dyDescent="0.2">
      <c r="F3068" s="258"/>
    </row>
    <row r="3069" spans="6:6" x14ac:dyDescent="0.2">
      <c r="F3069" s="258"/>
    </row>
    <row r="3070" spans="6:6" x14ac:dyDescent="0.2">
      <c r="F3070" s="258"/>
    </row>
    <row r="3071" spans="6:6" x14ac:dyDescent="0.2">
      <c r="F3071" s="258"/>
    </row>
    <row r="3072" spans="6:6" x14ac:dyDescent="0.2">
      <c r="F3072" s="258"/>
    </row>
    <row r="3073" spans="6:6" x14ac:dyDescent="0.2">
      <c r="F3073" s="258"/>
    </row>
    <row r="3074" spans="6:6" x14ac:dyDescent="0.2">
      <c r="F3074" s="258"/>
    </row>
    <row r="3075" spans="6:6" x14ac:dyDescent="0.2">
      <c r="F3075" s="258"/>
    </row>
    <row r="3076" spans="6:6" x14ac:dyDescent="0.2">
      <c r="F3076" s="258"/>
    </row>
    <row r="3077" spans="6:6" x14ac:dyDescent="0.2">
      <c r="F3077" s="258"/>
    </row>
    <row r="3078" spans="6:6" x14ac:dyDescent="0.2">
      <c r="F3078" s="258"/>
    </row>
    <row r="3079" spans="6:6" x14ac:dyDescent="0.2">
      <c r="F3079" s="258"/>
    </row>
    <row r="3080" spans="6:6" x14ac:dyDescent="0.2">
      <c r="F3080" s="258"/>
    </row>
    <row r="3081" spans="6:6" x14ac:dyDescent="0.2">
      <c r="F3081" s="258"/>
    </row>
    <row r="3082" spans="6:6" x14ac:dyDescent="0.2">
      <c r="F3082" s="258"/>
    </row>
    <row r="3083" spans="6:6" x14ac:dyDescent="0.2">
      <c r="F3083" s="258"/>
    </row>
    <row r="3084" spans="6:6" x14ac:dyDescent="0.2">
      <c r="F3084" s="258"/>
    </row>
    <row r="3085" spans="6:6" x14ac:dyDescent="0.2">
      <c r="F3085" s="258"/>
    </row>
    <row r="3086" spans="6:6" x14ac:dyDescent="0.2">
      <c r="F3086" s="258"/>
    </row>
    <row r="3087" spans="6:6" x14ac:dyDescent="0.2">
      <c r="F3087" s="258"/>
    </row>
    <row r="3088" spans="6:6" x14ac:dyDescent="0.2">
      <c r="F3088" s="258"/>
    </row>
    <row r="3089" spans="6:6" x14ac:dyDescent="0.2">
      <c r="F3089" s="258"/>
    </row>
    <row r="3090" spans="6:6" x14ac:dyDescent="0.2">
      <c r="F3090" s="258"/>
    </row>
    <row r="3091" spans="6:6" x14ac:dyDescent="0.2">
      <c r="F3091" s="258"/>
    </row>
    <row r="3092" spans="6:6" x14ac:dyDescent="0.2">
      <c r="F3092" s="258"/>
    </row>
    <row r="3093" spans="6:6" x14ac:dyDescent="0.2">
      <c r="F3093" s="258"/>
    </row>
    <row r="3094" spans="6:6" x14ac:dyDescent="0.2">
      <c r="F3094" s="258"/>
    </row>
    <row r="3095" spans="6:6" x14ac:dyDescent="0.2">
      <c r="F3095" s="258"/>
    </row>
    <row r="3096" spans="6:6" x14ac:dyDescent="0.2">
      <c r="F3096" s="258"/>
    </row>
    <row r="3097" spans="6:6" x14ac:dyDescent="0.2">
      <c r="F3097" s="258"/>
    </row>
    <row r="3098" spans="6:6" x14ac:dyDescent="0.2">
      <c r="F3098" s="258"/>
    </row>
    <row r="3099" spans="6:6" x14ac:dyDescent="0.2">
      <c r="F3099" s="258"/>
    </row>
    <row r="3100" spans="6:6" x14ac:dyDescent="0.2">
      <c r="F3100" s="258"/>
    </row>
    <row r="3101" spans="6:6" x14ac:dyDescent="0.2">
      <c r="F3101" s="258"/>
    </row>
    <row r="3102" spans="6:6" x14ac:dyDescent="0.2">
      <c r="F3102" s="258"/>
    </row>
    <row r="3103" spans="6:6" x14ac:dyDescent="0.2">
      <c r="F3103" s="258"/>
    </row>
    <row r="3104" spans="6:6" x14ac:dyDescent="0.2">
      <c r="F3104" s="258"/>
    </row>
    <row r="3105" spans="6:6" x14ac:dyDescent="0.2">
      <c r="F3105" s="258"/>
    </row>
    <row r="3106" spans="6:6" x14ac:dyDescent="0.2">
      <c r="F3106" s="258"/>
    </row>
    <row r="3107" spans="6:6" x14ac:dyDescent="0.2">
      <c r="F3107" s="258"/>
    </row>
    <row r="3108" spans="6:6" x14ac:dyDescent="0.2">
      <c r="F3108" s="258"/>
    </row>
    <row r="3109" spans="6:6" x14ac:dyDescent="0.2">
      <c r="F3109" s="258"/>
    </row>
    <row r="3110" spans="6:6" x14ac:dyDescent="0.2">
      <c r="F3110" s="258"/>
    </row>
    <row r="3111" spans="6:6" x14ac:dyDescent="0.2">
      <c r="F3111" s="258"/>
    </row>
    <row r="3112" spans="6:6" x14ac:dyDescent="0.2">
      <c r="F3112" s="258"/>
    </row>
    <row r="3113" spans="6:6" x14ac:dyDescent="0.2">
      <c r="F3113" s="258"/>
    </row>
    <row r="3114" spans="6:6" x14ac:dyDescent="0.2">
      <c r="F3114" s="258"/>
    </row>
    <row r="3115" spans="6:6" x14ac:dyDescent="0.2">
      <c r="F3115" s="258"/>
    </row>
    <row r="3116" spans="6:6" x14ac:dyDescent="0.2">
      <c r="F3116" s="258"/>
    </row>
    <row r="3117" spans="6:6" x14ac:dyDescent="0.2">
      <c r="F3117" s="258"/>
    </row>
    <row r="3118" spans="6:6" x14ac:dyDescent="0.2">
      <c r="F3118" s="258"/>
    </row>
    <row r="3119" spans="6:6" x14ac:dyDescent="0.2">
      <c r="F3119" s="258"/>
    </row>
    <row r="3120" spans="6:6" x14ac:dyDescent="0.2">
      <c r="F3120" s="258"/>
    </row>
    <row r="3121" spans="6:6" x14ac:dyDescent="0.2">
      <c r="F3121" s="258"/>
    </row>
    <row r="3122" spans="6:6" x14ac:dyDescent="0.2">
      <c r="F3122" s="258"/>
    </row>
    <row r="3123" spans="6:6" x14ac:dyDescent="0.2">
      <c r="F3123" s="258"/>
    </row>
    <row r="3124" spans="6:6" x14ac:dyDescent="0.2">
      <c r="F3124" s="258"/>
    </row>
    <row r="3125" spans="6:6" x14ac:dyDescent="0.2">
      <c r="F3125" s="258"/>
    </row>
    <row r="3126" spans="6:6" x14ac:dyDescent="0.2">
      <c r="F3126" s="258"/>
    </row>
    <row r="3127" spans="6:6" x14ac:dyDescent="0.2">
      <c r="F3127" s="258"/>
    </row>
    <row r="3128" spans="6:6" x14ac:dyDescent="0.2">
      <c r="F3128" s="258"/>
    </row>
    <row r="3129" spans="6:6" x14ac:dyDescent="0.2">
      <c r="F3129" s="258"/>
    </row>
    <row r="3130" spans="6:6" x14ac:dyDescent="0.2">
      <c r="F3130" s="258"/>
    </row>
    <row r="3131" spans="6:6" x14ac:dyDescent="0.2">
      <c r="F3131" s="258"/>
    </row>
    <row r="3132" spans="6:6" x14ac:dyDescent="0.2">
      <c r="F3132" s="258"/>
    </row>
    <row r="3133" spans="6:6" x14ac:dyDescent="0.2">
      <c r="F3133" s="258"/>
    </row>
    <row r="3134" spans="6:6" x14ac:dyDescent="0.2">
      <c r="F3134" s="258"/>
    </row>
    <row r="3135" spans="6:6" x14ac:dyDescent="0.2">
      <c r="F3135" s="258"/>
    </row>
    <row r="3136" spans="6:6" x14ac:dyDescent="0.2">
      <c r="F3136" s="258"/>
    </row>
    <row r="3137" spans="6:6" x14ac:dyDescent="0.2">
      <c r="F3137" s="258"/>
    </row>
    <row r="3138" spans="6:6" x14ac:dyDescent="0.2">
      <c r="F3138" s="258"/>
    </row>
    <row r="3139" spans="6:6" x14ac:dyDescent="0.2">
      <c r="F3139" s="258"/>
    </row>
    <row r="3140" spans="6:6" x14ac:dyDescent="0.2">
      <c r="F3140" s="258"/>
    </row>
    <row r="3141" spans="6:6" x14ac:dyDescent="0.2">
      <c r="F3141" s="258"/>
    </row>
    <row r="3142" spans="6:6" x14ac:dyDescent="0.2">
      <c r="F3142" s="258"/>
    </row>
    <row r="3143" spans="6:6" x14ac:dyDescent="0.2">
      <c r="F3143" s="258"/>
    </row>
    <row r="3144" spans="6:6" x14ac:dyDescent="0.2">
      <c r="F3144" s="258"/>
    </row>
    <row r="3145" spans="6:6" x14ac:dyDescent="0.2">
      <c r="F3145" s="258"/>
    </row>
    <row r="3146" spans="6:6" x14ac:dyDescent="0.2">
      <c r="F3146" s="258"/>
    </row>
    <row r="3147" spans="6:6" x14ac:dyDescent="0.2">
      <c r="F3147" s="258"/>
    </row>
    <row r="3148" spans="6:6" x14ac:dyDescent="0.2">
      <c r="F3148" s="258"/>
    </row>
    <row r="3149" spans="6:6" x14ac:dyDescent="0.2">
      <c r="F3149" s="258"/>
    </row>
    <row r="3150" spans="6:6" x14ac:dyDescent="0.2">
      <c r="F3150" s="258"/>
    </row>
    <row r="3151" spans="6:6" x14ac:dyDescent="0.2">
      <c r="F3151" s="258"/>
    </row>
    <row r="3152" spans="6:6" x14ac:dyDescent="0.2">
      <c r="F3152" s="258"/>
    </row>
    <row r="3153" spans="6:6" x14ac:dyDescent="0.2">
      <c r="F3153" s="258"/>
    </row>
    <row r="3154" spans="6:6" x14ac:dyDescent="0.2">
      <c r="F3154" s="258"/>
    </row>
    <row r="3155" spans="6:6" x14ac:dyDescent="0.2">
      <c r="F3155" s="258"/>
    </row>
    <row r="3156" spans="6:6" x14ac:dyDescent="0.2">
      <c r="F3156" s="258"/>
    </row>
    <row r="3157" spans="6:6" x14ac:dyDescent="0.2">
      <c r="F3157" s="258"/>
    </row>
    <row r="3158" spans="6:6" x14ac:dyDescent="0.2">
      <c r="F3158" s="258"/>
    </row>
    <row r="3159" spans="6:6" x14ac:dyDescent="0.2">
      <c r="F3159" s="258"/>
    </row>
    <row r="3160" spans="6:6" x14ac:dyDescent="0.2">
      <c r="F3160" s="258"/>
    </row>
    <row r="3161" spans="6:6" x14ac:dyDescent="0.2">
      <c r="F3161" s="258"/>
    </row>
    <row r="3162" spans="6:6" x14ac:dyDescent="0.2">
      <c r="F3162" s="258"/>
    </row>
    <row r="3163" spans="6:6" x14ac:dyDescent="0.2">
      <c r="F3163" s="258"/>
    </row>
    <row r="3164" spans="6:6" x14ac:dyDescent="0.2">
      <c r="F3164" s="258"/>
    </row>
    <row r="3165" spans="6:6" x14ac:dyDescent="0.2">
      <c r="F3165" s="258"/>
    </row>
    <row r="3166" spans="6:6" x14ac:dyDescent="0.2">
      <c r="F3166" s="258"/>
    </row>
    <row r="3167" spans="6:6" x14ac:dyDescent="0.2">
      <c r="F3167" s="258"/>
    </row>
    <row r="3168" spans="6:6" x14ac:dyDescent="0.2">
      <c r="F3168" s="258"/>
    </row>
    <row r="3169" spans="6:6" x14ac:dyDescent="0.2">
      <c r="F3169" s="258"/>
    </row>
    <row r="3170" spans="6:6" x14ac:dyDescent="0.2">
      <c r="F3170" s="258"/>
    </row>
    <row r="3171" spans="6:6" x14ac:dyDescent="0.2">
      <c r="F3171" s="258"/>
    </row>
    <row r="3172" spans="6:6" x14ac:dyDescent="0.2">
      <c r="F3172" s="258"/>
    </row>
    <row r="3173" spans="6:6" x14ac:dyDescent="0.2">
      <c r="F3173" s="258"/>
    </row>
    <row r="3174" spans="6:6" x14ac:dyDescent="0.2">
      <c r="F3174" s="258"/>
    </row>
    <row r="3175" spans="6:6" x14ac:dyDescent="0.2">
      <c r="F3175" s="258"/>
    </row>
    <row r="3176" spans="6:6" x14ac:dyDescent="0.2">
      <c r="F3176" s="258"/>
    </row>
    <row r="3177" spans="6:6" x14ac:dyDescent="0.2">
      <c r="F3177" s="258"/>
    </row>
    <row r="3178" spans="6:6" x14ac:dyDescent="0.2">
      <c r="F3178" s="258"/>
    </row>
    <row r="3179" spans="6:6" x14ac:dyDescent="0.2">
      <c r="F3179" s="258"/>
    </row>
    <row r="3180" spans="6:6" x14ac:dyDescent="0.2">
      <c r="F3180" s="258"/>
    </row>
    <row r="3181" spans="6:6" x14ac:dyDescent="0.2">
      <c r="F3181" s="258"/>
    </row>
    <row r="3182" spans="6:6" x14ac:dyDescent="0.2">
      <c r="F3182" s="258"/>
    </row>
    <row r="3183" spans="6:6" x14ac:dyDescent="0.2">
      <c r="F3183" s="258"/>
    </row>
    <row r="3184" spans="6:6" x14ac:dyDescent="0.2">
      <c r="F3184" s="258"/>
    </row>
    <row r="3185" spans="6:6" x14ac:dyDescent="0.2">
      <c r="F3185" s="258"/>
    </row>
    <row r="3186" spans="6:6" x14ac:dyDescent="0.2">
      <c r="F3186" s="258"/>
    </row>
    <row r="3187" spans="6:6" x14ac:dyDescent="0.2">
      <c r="F3187" s="258"/>
    </row>
    <row r="3188" spans="6:6" x14ac:dyDescent="0.2">
      <c r="F3188" s="258"/>
    </row>
    <row r="3189" spans="6:6" x14ac:dyDescent="0.2">
      <c r="F3189" s="258"/>
    </row>
    <row r="3190" spans="6:6" x14ac:dyDescent="0.2">
      <c r="F3190" s="258"/>
    </row>
    <row r="3191" spans="6:6" x14ac:dyDescent="0.2">
      <c r="F3191" s="258"/>
    </row>
    <row r="3192" spans="6:6" x14ac:dyDescent="0.2">
      <c r="F3192" s="258"/>
    </row>
    <row r="3193" spans="6:6" x14ac:dyDescent="0.2">
      <c r="F3193" s="258"/>
    </row>
    <row r="3194" spans="6:6" x14ac:dyDescent="0.2">
      <c r="F3194" s="258"/>
    </row>
    <row r="3195" spans="6:6" x14ac:dyDescent="0.2">
      <c r="F3195" s="258"/>
    </row>
    <row r="3196" spans="6:6" x14ac:dyDescent="0.2">
      <c r="F3196" s="258"/>
    </row>
    <row r="3197" spans="6:6" x14ac:dyDescent="0.2">
      <c r="F3197" s="258"/>
    </row>
    <row r="3198" spans="6:6" x14ac:dyDescent="0.2">
      <c r="F3198" s="258"/>
    </row>
    <row r="3199" spans="6:6" x14ac:dyDescent="0.2">
      <c r="F3199" s="258"/>
    </row>
    <row r="3200" spans="6:6" x14ac:dyDescent="0.2">
      <c r="F3200" s="258"/>
    </row>
    <row r="3201" spans="6:6" x14ac:dyDescent="0.2">
      <c r="F3201" s="258"/>
    </row>
    <row r="3202" spans="6:6" x14ac:dyDescent="0.2">
      <c r="F3202" s="258"/>
    </row>
    <row r="3203" spans="6:6" x14ac:dyDescent="0.2">
      <c r="F3203" s="258"/>
    </row>
    <row r="3204" spans="6:6" x14ac:dyDescent="0.2">
      <c r="F3204" s="258"/>
    </row>
    <row r="3205" spans="6:6" x14ac:dyDescent="0.2">
      <c r="F3205" s="258"/>
    </row>
    <row r="3206" spans="6:6" x14ac:dyDescent="0.2">
      <c r="F3206" s="258"/>
    </row>
    <row r="3207" spans="6:6" x14ac:dyDescent="0.2">
      <c r="F3207" s="258"/>
    </row>
    <row r="3208" spans="6:6" x14ac:dyDescent="0.2">
      <c r="F3208" s="258"/>
    </row>
    <row r="3209" spans="6:6" x14ac:dyDescent="0.2">
      <c r="F3209" s="258"/>
    </row>
    <row r="3210" spans="6:6" x14ac:dyDescent="0.2">
      <c r="F3210" s="258"/>
    </row>
    <row r="3211" spans="6:6" x14ac:dyDescent="0.2">
      <c r="F3211" s="258"/>
    </row>
    <row r="3212" spans="6:6" x14ac:dyDescent="0.2">
      <c r="F3212" s="258"/>
    </row>
    <row r="3213" spans="6:6" x14ac:dyDescent="0.2">
      <c r="F3213" s="258"/>
    </row>
    <row r="3214" spans="6:6" x14ac:dyDescent="0.2">
      <c r="F3214" s="258"/>
    </row>
    <row r="3215" spans="6:6" x14ac:dyDescent="0.2">
      <c r="F3215" s="258"/>
    </row>
    <row r="3216" spans="6:6" x14ac:dyDescent="0.2">
      <c r="F3216" s="258"/>
    </row>
    <row r="3217" spans="6:6" x14ac:dyDescent="0.2">
      <c r="F3217" s="258"/>
    </row>
    <row r="3218" spans="6:6" x14ac:dyDescent="0.2">
      <c r="F3218" s="258"/>
    </row>
    <row r="3219" spans="6:6" x14ac:dyDescent="0.2">
      <c r="F3219" s="258"/>
    </row>
    <row r="3220" spans="6:6" x14ac:dyDescent="0.2">
      <c r="F3220" s="258"/>
    </row>
    <row r="3221" spans="6:6" x14ac:dyDescent="0.2">
      <c r="F3221" s="258"/>
    </row>
    <row r="3222" spans="6:6" x14ac:dyDescent="0.2">
      <c r="F3222" s="258"/>
    </row>
    <row r="3223" spans="6:6" x14ac:dyDescent="0.2">
      <c r="F3223" s="258"/>
    </row>
    <row r="3224" spans="6:6" x14ac:dyDescent="0.2">
      <c r="F3224" s="258"/>
    </row>
    <row r="3225" spans="6:6" x14ac:dyDescent="0.2">
      <c r="F3225" s="258"/>
    </row>
    <row r="3226" spans="6:6" x14ac:dyDescent="0.2">
      <c r="F3226" s="258"/>
    </row>
    <row r="3227" spans="6:6" x14ac:dyDescent="0.2">
      <c r="F3227" s="258"/>
    </row>
    <row r="3228" spans="6:6" x14ac:dyDescent="0.2">
      <c r="F3228" s="258"/>
    </row>
    <row r="3229" spans="6:6" x14ac:dyDescent="0.2">
      <c r="F3229" s="258"/>
    </row>
    <row r="3230" spans="6:6" x14ac:dyDescent="0.2">
      <c r="F3230" s="258"/>
    </row>
    <row r="3231" spans="6:6" x14ac:dyDescent="0.2">
      <c r="F3231" s="258"/>
    </row>
    <row r="3232" spans="6:6" x14ac:dyDescent="0.2">
      <c r="F3232" s="258"/>
    </row>
    <row r="3233" spans="6:6" x14ac:dyDescent="0.2">
      <c r="F3233" s="258"/>
    </row>
    <row r="3234" spans="6:6" x14ac:dyDescent="0.2">
      <c r="F3234" s="258"/>
    </row>
    <row r="3235" spans="6:6" x14ac:dyDescent="0.2">
      <c r="F3235" s="258"/>
    </row>
    <row r="3236" spans="6:6" x14ac:dyDescent="0.2">
      <c r="F3236" s="258"/>
    </row>
    <row r="3237" spans="6:6" x14ac:dyDescent="0.2">
      <c r="F3237" s="258"/>
    </row>
    <row r="3238" spans="6:6" x14ac:dyDescent="0.2">
      <c r="F3238" s="258"/>
    </row>
    <row r="3239" spans="6:6" x14ac:dyDescent="0.2">
      <c r="F3239" s="258"/>
    </row>
    <row r="3240" spans="6:6" x14ac:dyDescent="0.2">
      <c r="F3240" s="258"/>
    </row>
    <row r="3241" spans="6:6" x14ac:dyDescent="0.2">
      <c r="F3241" s="258"/>
    </row>
    <row r="3242" spans="6:6" x14ac:dyDescent="0.2">
      <c r="F3242" s="258"/>
    </row>
    <row r="3243" spans="6:6" x14ac:dyDescent="0.2">
      <c r="F3243" s="258"/>
    </row>
    <row r="3244" spans="6:6" x14ac:dyDescent="0.2">
      <c r="F3244" s="258"/>
    </row>
    <row r="3245" spans="6:6" x14ac:dyDescent="0.2">
      <c r="F3245" s="258"/>
    </row>
    <row r="3246" spans="6:6" x14ac:dyDescent="0.2">
      <c r="F3246" s="258"/>
    </row>
    <row r="3247" spans="6:6" x14ac:dyDescent="0.2">
      <c r="F3247" s="258"/>
    </row>
    <row r="3248" spans="6:6" x14ac:dyDescent="0.2">
      <c r="F3248" s="258"/>
    </row>
    <row r="3249" spans="6:6" x14ac:dyDescent="0.2">
      <c r="F3249" s="258"/>
    </row>
    <row r="3250" spans="6:6" x14ac:dyDescent="0.2">
      <c r="F3250" s="258"/>
    </row>
    <row r="3251" spans="6:6" x14ac:dyDescent="0.2">
      <c r="F3251" s="258"/>
    </row>
    <row r="3252" spans="6:6" x14ac:dyDescent="0.2">
      <c r="F3252" s="258"/>
    </row>
    <row r="3253" spans="6:6" x14ac:dyDescent="0.2">
      <c r="F3253" s="258"/>
    </row>
    <row r="3254" spans="6:6" x14ac:dyDescent="0.2">
      <c r="F3254" s="258"/>
    </row>
    <row r="3255" spans="6:6" x14ac:dyDescent="0.2">
      <c r="F3255" s="258"/>
    </row>
    <row r="3256" spans="6:6" x14ac:dyDescent="0.2">
      <c r="F3256" s="258"/>
    </row>
    <row r="3257" spans="6:6" x14ac:dyDescent="0.2">
      <c r="F3257" s="258"/>
    </row>
    <row r="3258" spans="6:6" x14ac:dyDescent="0.2">
      <c r="F3258" s="258"/>
    </row>
    <row r="3259" spans="6:6" x14ac:dyDescent="0.2">
      <c r="F3259" s="258"/>
    </row>
    <row r="3260" spans="6:6" x14ac:dyDescent="0.2">
      <c r="F3260" s="258"/>
    </row>
    <row r="3261" spans="6:6" x14ac:dyDescent="0.2">
      <c r="F3261" s="258"/>
    </row>
    <row r="3262" spans="6:6" x14ac:dyDescent="0.2">
      <c r="F3262" s="258"/>
    </row>
    <row r="3263" spans="6:6" x14ac:dyDescent="0.2">
      <c r="F3263" s="258"/>
    </row>
    <row r="3264" spans="6:6" x14ac:dyDescent="0.2">
      <c r="F3264" s="258"/>
    </row>
    <row r="3265" spans="6:6" x14ac:dyDescent="0.2">
      <c r="F3265" s="258"/>
    </row>
    <row r="3266" spans="6:6" x14ac:dyDescent="0.2">
      <c r="F3266" s="258"/>
    </row>
    <row r="3267" spans="6:6" x14ac:dyDescent="0.2">
      <c r="F3267" s="258"/>
    </row>
    <row r="3268" spans="6:6" x14ac:dyDescent="0.2">
      <c r="F3268" s="258"/>
    </row>
    <row r="3269" spans="6:6" x14ac:dyDescent="0.2">
      <c r="F3269" s="258"/>
    </row>
    <row r="3270" spans="6:6" x14ac:dyDescent="0.2">
      <c r="F3270" s="258"/>
    </row>
    <row r="3271" spans="6:6" x14ac:dyDescent="0.2">
      <c r="F3271" s="258"/>
    </row>
    <row r="3272" spans="6:6" x14ac:dyDescent="0.2">
      <c r="F3272" s="258"/>
    </row>
    <row r="3273" spans="6:6" x14ac:dyDescent="0.2">
      <c r="F3273" s="258"/>
    </row>
    <row r="3274" spans="6:6" x14ac:dyDescent="0.2">
      <c r="F3274" s="258"/>
    </row>
    <row r="3275" spans="6:6" x14ac:dyDescent="0.2">
      <c r="F3275" s="258"/>
    </row>
    <row r="3276" spans="6:6" x14ac:dyDescent="0.2">
      <c r="F3276" s="258"/>
    </row>
    <row r="3277" spans="6:6" x14ac:dyDescent="0.2">
      <c r="F3277" s="258"/>
    </row>
    <row r="3278" spans="6:6" x14ac:dyDescent="0.2">
      <c r="F3278" s="258"/>
    </row>
    <row r="3279" spans="6:6" x14ac:dyDescent="0.2">
      <c r="F3279" s="258"/>
    </row>
    <row r="3280" spans="6:6" x14ac:dyDescent="0.2">
      <c r="F3280" s="258"/>
    </row>
    <row r="3281" spans="6:6" x14ac:dyDescent="0.2">
      <c r="F3281" s="258"/>
    </row>
    <row r="3282" spans="6:6" x14ac:dyDescent="0.2">
      <c r="F3282" s="258"/>
    </row>
    <row r="3283" spans="6:6" x14ac:dyDescent="0.2">
      <c r="F3283" s="258"/>
    </row>
    <row r="3284" spans="6:6" x14ac:dyDescent="0.2">
      <c r="F3284" s="258"/>
    </row>
    <row r="3285" spans="6:6" x14ac:dyDescent="0.2">
      <c r="F3285" s="258"/>
    </row>
    <row r="3286" spans="6:6" x14ac:dyDescent="0.2">
      <c r="F3286" s="258"/>
    </row>
    <row r="3287" spans="6:6" x14ac:dyDescent="0.2">
      <c r="F3287" s="258"/>
    </row>
    <row r="3288" spans="6:6" x14ac:dyDescent="0.2">
      <c r="F3288" s="258"/>
    </row>
    <row r="3289" spans="6:6" x14ac:dyDescent="0.2">
      <c r="F3289" s="258"/>
    </row>
    <row r="3290" spans="6:6" x14ac:dyDescent="0.2">
      <c r="F3290" s="258"/>
    </row>
    <row r="3291" spans="6:6" x14ac:dyDescent="0.2">
      <c r="F3291" s="258"/>
    </row>
    <row r="3292" spans="6:6" x14ac:dyDescent="0.2">
      <c r="F3292" s="258"/>
    </row>
    <row r="3293" spans="6:6" x14ac:dyDescent="0.2">
      <c r="F3293" s="258"/>
    </row>
    <row r="3294" spans="6:6" x14ac:dyDescent="0.2">
      <c r="F3294" s="258"/>
    </row>
    <row r="3295" spans="6:6" x14ac:dyDescent="0.2">
      <c r="F3295" s="258"/>
    </row>
    <row r="3296" spans="6:6" x14ac:dyDescent="0.2">
      <c r="F3296" s="258"/>
    </row>
    <row r="3297" spans="6:6" x14ac:dyDescent="0.2">
      <c r="F3297" s="258"/>
    </row>
    <row r="3298" spans="6:6" x14ac:dyDescent="0.2">
      <c r="F3298" s="258"/>
    </row>
    <row r="3299" spans="6:6" x14ac:dyDescent="0.2">
      <c r="F3299" s="258"/>
    </row>
    <row r="3300" spans="6:6" x14ac:dyDescent="0.2">
      <c r="F3300" s="258"/>
    </row>
    <row r="3301" spans="6:6" x14ac:dyDescent="0.2">
      <c r="F3301" s="258"/>
    </row>
    <row r="3302" spans="6:6" x14ac:dyDescent="0.2">
      <c r="F3302" s="258"/>
    </row>
    <row r="3303" spans="6:6" x14ac:dyDescent="0.2">
      <c r="F3303" s="258"/>
    </row>
    <row r="3304" spans="6:6" x14ac:dyDescent="0.2">
      <c r="F3304" s="258"/>
    </row>
    <row r="3305" spans="6:6" x14ac:dyDescent="0.2">
      <c r="F3305" s="258"/>
    </row>
    <row r="3306" spans="6:6" x14ac:dyDescent="0.2">
      <c r="F3306" s="258"/>
    </row>
    <row r="3307" spans="6:6" x14ac:dyDescent="0.2">
      <c r="F3307" s="258"/>
    </row>
    <row r="3308" spans="6:6" x14ac:dyDescent="0.2">
      <c r="F3308" s="258"/>
    </row>
    <row r="3309" spans="6:6" x14ac:dyDescent="0.2">
      <c r="F3309" s="258"/>
    </row>
    <row r="3310" spans="6:6" x14ac:dyDescent="0.2">
      <c r="F3310" s="258"/>
    </row>
    <row r="3311" spans="6:6" x14ac:dyDescent="0.2">
      <c r="F3311" s="258"/>
    </row>
    <row r="3312" spans="6:6" x14ac:dyDescent="0.2">
      <c r="F3312" s="258"/>
    </row>
    <row r="3313" spans="6:6" x14ac:dyDescent="0.2">
      <c r="F3313" s="258"/>
    </row>
    <row r="3314" spans="6:6" x14ac:dyDescent="0.2">
      <c r="F3314" s="258"/>
    </row>
    <row r="3315" spans="6:6" x14ac:dyDescent="0.2">
      <c r="F3315" s="258"/>
    </row>
    <row r="3316" spans="6:6" x14ac:dyDescent="0.2">
      <c r="F3316" s="258"/>
    </row>
    <row r="3317" spans="6:6" x14ac:dyDescent="0.2">
      <c r="F3317" s="258"/>
    </row>
    <row r="3318" spans="6:6" x14ac:dyDescent="0.2">
      <c r="F3318" s="258"/>
    </row>
    <row r="3319" spans="6:6" x14ac:dyDescent="0.2">
      <c r="F3319" s="258"/>
    </row>
    <row r="3320" spans="6:6" x14ac:dyDescent="0.2">
      <c r="F3320" s="258"/>
    </row>
    <row r="3321" spans="6:6" x14ac:dyDescent="0.2">
      <c r="F3321" s="258"/>
    </row>
    <row r="3322" spans="6:6" x14ac:dyDescent="0.2">
      <c r="F3322" s="258"/>
    </row>
    <row r="3323" spans="6:6" x14ac:dyDescent="0.2">
      <c r="F3323" s="258"/>
    </row>
    <row r="3324" spans="6:6" x14ac:dyDescent="0.2">
      <c r="F3324" s="258"/>
    </row>
    <row r="3325" spans="6:6" x14ac:dyDescent="0.2">
      <c r="F3325" s="258"/>
    </row>
    <row r="3326" spans="6:6" x14ac:dyDescent="0.2">
      <c r="F3326" s="258"/>
    </row>
    <row r="3327" spans="6:6" x14ac:dyDescent="0.2">
      <c r="F3327" s="258"/>
    </row>
    <row r="3328" spans="6:6" x14ac:dyDescent="0.2">
      <c r="F3328" s="258"/>
    </row>
    <row r="3329" spans="6:6" x14ac:dyDescent="0.2">
      <c r="F3329" s="258"/>
    </row>
    <row r="3330" spans="6:6" x14ac:dyDescent="0.2">
      <c r="F3330" s="258"/>
    </row>
    <row r="3331" spans="6:6" x14ac:dyDescent="0.2">
      <c r="F3331" s="258"/>
    </row>
    <row r="3332" spans="6:6" x14ac:dyDescent="0.2">
      <c r="F3332" s="258"/>
    </row>
    <row r="3333" spans="6:6" x14ac:dyDescent="0.2">
      <c r="F3333" s="258"/>
    </row>
    <row r="3334" spans="6:6" x14ac:dyDescent="0.2">
      <c r="F3334" s="258"/>
    </row>
    <row r="3335" spans="6:6" x14ac:dyDescent="0.2">
      <c r="F3335" s="258"/>
    </row>
    <row r="3336" spans="6:6" x14ac:dyDescent="0.2">
      <c r="F3336" s="258"/>
    </row>
    <row r="3337" spans="6:6" x14ac:dyDescent="0.2">
      <c r="F3337" s="258"/>
    </row>
    <row r="3338" spans="6:6" x14ac:dyDescent="0.2">
      <c r="F3338" s="258"/>
    </row>
    <row r="3339" spans="6:6" x14ac:dyDescent="0.2">
      <c r="F3339" s="258"/>
    </row>
    <row r="3340" spans="6:6" x14ac:dyDescent="0.2">
      <c r="F3340" s="258"/>
    </row>
    <row r="3341" spans="6:6" x14ac:dyDescent="0.2">
      <c r="F3341" s="258"/>
    </row>
    <row r="3342" spans="6:6" x14ac:dyDescent="0.2">
      <c r="F3342" s="258"/>
    </row>
    <row r="3343" spans="6:6" x14ac:dyDescent="0.2">
      <c r="F3343" s="258"/>
    </row>
    <row r="3344" spans="6:6" x14ac:dyDescent="0.2">
      <c r="F3344" s="258"/>
    </row>
    <row r="3345" spans="6:6" x14ac:dyDescent="0.2">
      <c r="F3345" s="258"/>
    </row>
    <row r="3346" spans="6:6" x14ac:dyDescent="0.2">
      <c r="F3346" s="258"/>
    </row>
    <row r="3347" spans="6:6" x14ac:dyDescent="0.2">
      <c r="F3347" s="258"/>
    </row>
    <row r="3348" spans="6:6" x14ac:dyDescent="0.2">
      <c r="F3348" s="258"/>
    </row>
    <row r="3349" spans="6:6" x14ac:dyDescent="0.2">
      <c r="F3349" s="258"/>
    </row>
    <row r="3350" spans="6:6" x14ac:dyDescent="0.2">
      <c r="F3350" s="258"/>
    </row>
    <row r="3351" spans="6:6" x14ac:dyDescent="0.2">
      <c r="F3351" s="258"/>
    </row>
    <row r="3352" spans="6:6" x14ac:dyDescent="0.2">
      <c r="F3352" s="258"/>
    </row>
    <row r="3353" spans="6:6" x14ac:dyDescent="0.2">
      <c r="F3353" s="258"/>
    </row>
    <row r="3354" spans="6:6" x14ac:dyDescent="0.2">
      <c r="F3354" s="258"/>
    </row>
    <row r="3355" spans="6:6" x14ac:dyDescent="0.2">
      <c r="F3355" s="258"/>
    </row>
    <row r="3356" spans="6:6" x14ac:dyDescent="0.2">
      <c r="F3356" s="258"/>
    </row>
    <row r="3357" spans="6:6" x14ac:dyDescent="0.2">
      <c r="F3357" s="258"/>
    </row>
    <row r="3358" spans="6:6" x14ac:dyDescent="0.2">
      <c r="F3358" s="258"/>
    </row>
    <row r="3359" spans="6:6" x14ac:dyDescent="0.2">
      <c r="F3359" s="258"/>
    </row>
    <row r="3360" spans="6:6" x14ac:dyDescent="0.2">
      <c r="F3360" s="258"/>
    </row>
    <row r="3361" spans="6:6" x14ac:dyDescent="0.2">
      <c r="F3361" s="258"/>
    </row>
    <row r="3362" spans="6:6" x14ac:dyDescent="0.2">
      <c r="F3362" s="258"/>
    </row>
    <row r="3363" spans="6:6" x14ac:dyDescent="0.2">
      <c r="F3363" s="258"/>
    </row>
    <row r="3364" spans="6:6" x14ac:dyDescent="0.2">
      <c r="F3364" s="258"/>
    </row>
    <row r="3365" spans="6:6" x14ac:dyDescent="0.2">
      <c r="F3365" s="258"/>
    </row>
    <row r="3366" spans="6:6" x14ac:dyDescent="0.2">
      <c r="F3366" s="258"/>
    </row>
    <row r="3367" spans="6:6" x14ac:dyDescent="0.2">
      <c r="F3367" s="258"/>
    </row>
    <row r="3368" spans="6:6" x14ac:dyDescent="0.2">
      <c r="F3368" s="258"/>
    </row>
    <row r="3369" spans="6:6" x14ac:dyDescent="0.2">
      <c r="F3369" s="258"/>
    </row>
    <row r="3370" spans="6:6" x14ac:dyDescent="0.2">
      <c r="F3370" s="258"/>
    </row>
    <row r="3371" spans="6:6" x14ac:dyDescent="0.2">
      <c r="F3371" s="258"/>
    </row>
    <row r="3372" spans="6:6" x14ac:dyDescent="0.2">
      <c r="F3372" s="258"/>
    </row>
    <row r="3373" spans="6:6" x14ac:dyDescent="0.2">
      <c r="F3373" s="258"/>
    </row>
    <row r="3374" spans="6:6" x14ac:dyDescent="0.2">
      <c r="F3374" s="258"/>
    </row>
    <row r="3375" spans="6:6" x14ac:dyDescent="0.2">
      <c r="F3375" s="258"/>
    </row>
    <row r="3376" spans="6:6" x14ac:dyDescent="0.2">
      <c r="F3376" s="258"/>
    </row>
    <row r="3377" spans="6:6" x14ac:dyDescent="0.2">
      <c r="F3377" s="258"/>
    </row>
    <row r="3378" spans="6:6" x14ac:dyDescent="0.2">
      <c r="F3378" s="258"/>
    </row>
    <row r="3379" spans="6:6" x14ac:dyDescent="0.2">
      <c r="F3379" s="258"/>
    </row>
    <row r="3380" spans="6:6" x14ac:dyDescent="0.2">
      <c r="F3380" s="258"/>
    </row>
    <row r="3381" spans="6:6" x14ac:dyDescent="0.2">
      <c r="F3381" s="258"/>
    </row>
    <row r="3382" spans="6:6" x14ac:dyDescent="0.2">
      <c r="F3382" s="258"/>
    </row>
    <row r="3383" spans="6:6" x14ac:dyDescent="0.2">
      <c r="F3383" s="258"/>
    </row>
    <row r="3384" spans="6:6" x14ac:dyDescent="0.2">
      <c r="F3384" s="258"/>
    </row>
    <row r="3385" spans="6:6" x14ac:dyDescent="0.2">
      <c r="F3385" s="258"/>
    </row>
    <row r="3386" spans="6:6" x14ac:dyDescent="0.2">
      <c r="F3386" s="258"/>
    </row>
    <row r="3387" spans="6:6" x14ac:dyDescent="0.2">
      <c r="F3387" s="258"/>
    </row>
    <row r="3388" spans="6:6" x14ac:dyDescent="0.2">
      <c r="F3388" s="258"/>
    </row>
    <row r="3389" spans="6:6" x14ac:dyDescent="0.2">
      <c r="F3389" s="258"/>
    </row>
    <row r="3390" spans="6:6" x14ac:dyDescent="0.2">
      <c r="F3390" s="258"/>
    </row>
    <row r="3391" spans="6:6" x14ac:dyDescent="0.2">
      <c r="F3391" s="258"/>
    </row>
    <row r="3392" spans="6:6" x14ac:dyDescent="0.2">
      <c r="F3392" s="258"/>
    </row>
    <row r="3393" spans="6:6" x14ac:dyDescent="0.2">
      <c r="F3393" s="258"/>
    </row>
    <row r="3394" spans="6:6" x14ac:dyDescent="0.2">
      <c r="F3394" s="258"/>
    </row>
    <row r="3395" spans="6:6" x14ac:dyDescent="0.2">
      <c r="F3395" s="258"/>
    </row>
    <row r="3396" spans="6:6" x14ac:dyDescent="0.2">
      <c r="F3396" s="258"/>
    </row>
    <row r="3397" spans="6:6" x14ac:dyDescent="0.2">
      <c r="F3397" s="258"/>
    </row>
    <row r="3398" spans="6:6" x14ac:dyDescent="0.2">
      <c r="F3398" s="258"/>
    </row>
    <row r="3399" spans="6:6" x14ac:dyDescent="0.2">
      <c r="F3399" s="258"/>
    </row>
    <row r="3400" spans="6:6" x14ac:dyDescent="0.2">
      <c r="F3400" s="258"/>
    </row>
    <row r="3401" spans="6:6" x14ac:dyDescent="0.2">
      <c r="F3401" s="258"/>
    </row>
    <row r="3402" spans="6:6" x14ac:dyDescent="0.2">
      <c r="F3402" s="258"/>
    </row>
    <row r="3403" spans="6:6" x14ac:dyDescent="0.2">
      <c r="F3403" s="258"/>
    </row>
    <row r="3404" spans="6:6" x14ac:dyDescent="0.2">
      <c r="F3404" s="258"/>
    </row>
    <row r="3405" spans="6:6" x14ac:dyDescent="0.2">
      <c r="F3405" s="258"/>
    </row>
    <row r="3406" spans="6:6" x14ac:dyDescent="0.2">
      <c r="F3406" s="258"/>
    </row>
    <row r="3407" spans="6:6" x14ac:dyDescent="0.2">
      <c r="F3407" s="258"/>
    </row>
    <row r="3408" spans="6:6" x14ac:dyDescent="0.2">
      <c r="F3408" s="258"/>
    </row>
    <row r="3409" spans="6:6" x14ac:dyDescent="0.2">
      <c r="F3409" s="258"/>
    </row>
    <row r="3410" spans="6:6" x14ac:dyDescent="0.2">
      <c r="F3410" s="258"/>
    </row>
    <row r="3411" spans="6:6" x14ac:dyDescent="0.2">
      <c r="F3411" s="258"/>
    </row>
    <row r="3412" spans="6:6" x14ac:dyDescent="0.2">
      <c r="F3412" s="258"/>
    </row>
    <row r="3413" spans="6:6" x14ac:dyDescent="0.2">
      <c r="F3413" s="258"/>
    </row>
    <row r="3414" spans="6:6" x14ac:dyDescent="0.2">
      <c r="F3414" s="258"/>
    </row>
    <row r="3415" spans="6:6" x14ac:dyDescent="0.2">
      <c r="F3415" s="258"/>
    </row>
    <row r="3416" spans="6:6" x14ac:dyDescent="0.2">
      <c r="F3416" s="258"/>
    </row>
    <row r="3417" spans="6:6" x14ac:dyDescent="0.2">
      <c r="F3417" s="258"/>
    </row>
    <row r="3418" spans="6:6" x14ac:dyDescent="0.2">
      <c r="F3418" s="258"/>
    </row>
    <row r="3419" spans="6:6" x14ac:dyDescent="0.2">
      <c r="F3419" s="258"/>
    </row>
    <row r="3420" spans="6:6" x14ac:dyDescent="0.2">
      <c r="F3420" s="258"/>
    </row>
    <row r="3421" spans="6:6" x14ac:dyDescent="0.2">
      <c r="F3421" s="258"/>
    </row>
    <row r="3422" spans="6:6" x14ac:dyDescent="0.2">
      <c r="F3422" s="258"/>
    </row>
    <row r="3423" spans="6:6" x14ac:dyDescent="0.2">
      <c r="F3423" s="258"/>
    </row>
    <row r="3424" spans="6:6" x14ac:dyDescent="0.2">
      <c r="F3424" s="258"/>
    </row>
    <row r="3425" spans="6:6" x14ac:dyDescent="0.2">
      <c r="F3425" s="258"/>
    </row>
    <row r="3426" spans="6:6" x14ac:dyDescent="0.2">
      <c r="F3426" s="258"/>
    </row>
    <row r="3427" spans="6:6" x14ac:dyDescent="0.2">
      <c r="F3427" s="258"/>
    </row>
    <row r="3428" spans="6:6" x14ac:dyDescent="0.2">
      <c r="F3428" s="258"/>
    </row>
    <row r="3429" spans="6:6" x14ac:dyDescent="0.2">
      <c r="F3429" s="258"/>
    </row>
    <row r="3430" spans="6:6" x14ac:dyDescent="0.2">
      <c r="F3430" s="258"/>
    </row>
    <row r="3431" spans="6:6" x14ac:dyDescent="0.2">
      <c r="F3431" s="258"/>
    </row>
    <row r="3432" spans="6:6" x14ac:dyDescent="0.2">
      <c r="F3432" s="258"/>
    </row>
    <row r="3433" spans="6:6" x14ac:dyDescent="0.2">
      <c r="F3433" s="258"/>
    </row>
    <row r="3434" spans="6:6" x14ac:dyDescent="0.2">
      <c r="F3434" s="258"/>
    </row>
    <row r="3435" spans="6:6" x14ac:dyDescent="0.2">
      <c r="F3435" s="258"/>
    </row>
    <row r="3436" spans="6:6" x14ac:dyDescent="0.2">
      <c r="F3436" s="258"/>
    </row>
    <row r="3437" spans="6:6" x14ac:dyDescent="0.2">
      <c r="F3437" s="258"/>
    </row>
    <row r="3438" spans="6:6" x14ac:dyDescent="0.2">
      <c r="F3438" s="258"/>
    </row>
    <row r="3439" spans="6:6" x14ac:dyDescent="0.2">
      <c r="F3439" s="258"/>
    </row>
    <row r="3440" spans="6:6" x14ac:dyDescent="0.2">
      <c r="F3440" s="258"/>
    </row>
    <row r="3441" spans="6:6" x14ac:dyDescent="0.2">
      <c r="F3441" s="258"/>
    </row>
    <row r="3442" spans="6:6" x14ac:dyDescent="0.2">
      <c r="F3442" s="258"/>
    </row>
    <row r="3443" spans="6:6" x14ac:dyDescent="0.2">
      <c r="F3443" s="258"/>
    </row>
    <row r="3444" spans="6:6" x14ac:dyDescent="0.2">
      <c r="F3444" s="258"/>
    </row>
    <row r="3445" spans="6:6" x14ac:dyDescent="0.2">
      <c r="F3445" s="258"/>
    </row>
    <row r="3446" spans="6:6" x14ac:dyDescent="0.2">
      <c r="F3446" s="258"/>
    </row>
    <row r="3447" spans="6:6" x14ac:dyDescent="0.2">
      <c r="F3447" s="258"/>
    </row>
    <row r="3448" spans="6:6" x14ac:dyDescent="0.2">
      <c r="F3448" s="258"/>
    </row>
    <row r="3449" spans="6:6" x14ac:dyDescent="0.2">
      <c r="F3449" s="258"/>
    </row>
    <row r="3450" spans="6:6" x14ac:dyDescent="0.2">
      <c r="F3450" s="258"/>
    </row>
    <row r="3451" spans="6:6" x14ac:dyDescent="0.2">
      <c r="F3451" s="258"/>
    </row>
    <row r="3452" spans="6:6" x14ac:dyDescent="0.2">
      <c r="F3452" s="258"/>
    </row>
    <row r="3453" spans="6:6" x14ac:dyDescent="0.2">
      <c r="F3453" s="258"/>
    </row>
    <row r="3454" spans="6:6" x14ac:dyDescent="0.2">
      <c r="F3454" s="258"/>
    </row>
    <row r="3455" spans="6:6" x14ac:dyDescent="0.2">
      <c r="F3455" s="258"/>
    </row>
    <row r="3456" spans="6:6" x14ac:dyDescent="0.2">
      <c r="F3456" s="258"/>
    </row>
    <row r="3457" spans="6:6" x14ac:dyDescent="0.2">
      <c r="F3457" s="258"/>
    </row>
    <row r="3458" spans="6:6" x14ac:dyDescent="0.2">
      <c r="F3458" s="258"/>
    </row>
    <row r="3459" spans="6:6" x14ac:dyDescent="0.2">
      <c r="F3459" s="258"/>
    </row>
    <row r="3460" spans="6:6" x14ac:dyDescent="0.2">
      <c r="F3460" s="258"/>
    </row>
    <row r="3461" spans="6:6" x14ac:dyDescent="0.2">
      <c r="F3461" s="258"/>
    </row>
    <row r="3462" spans="6:6" x14ac:dyDescent="0.2">
      <c r="F3462" s="258"/>
    </row>
    <row r="3463" spans="6:6" x14ac:dyDescent="0.2">
      <c r="F3463" s="258"/>
    </row>
    <row r="3464" spans="6:6" x14ac:dyDescent="0.2">
      <c r="F3464" s="258"/>
    </row>
    <row r="3465" spans="6:6" x14ac:dyDescent="0.2">
      <c r="F3465" s="258"/>
    </row>
    <row r="3466" spans="6:6" x14ac:dyDescent="0.2">
      <c r="F3466" s="258"/>
    </row>
    <row r="3467" spans="6:6" x14ac:dyDescent="0.2">
      <c r="F3467" s="258"/>
    </row>
    <row r="3468" spans="6:6" x14ac:dyDescent="0.2">
      <c r="F3468" s="258"/>
    </row>
    <row r="3469" spans="6:6" x14ac:dyDescent="0.2">
      <c r="F3469" s="258"/>
    </row>
    <row r="3470" spans="6:6" x14ac:dyDescent="0.2">
      <c r="F3470" s="258"/>
    </row>
    <row r="3471" spans="6:6" x14ac:dyDescent="0.2">
      <c r="F3471" s="258"/>
    </row>
    <row r="3472" spans="6:6" x14ac:dyDescent="0.2">
      <c r="F3472" s="258"/>
    </row>
    <row r="3473" spans="6:6" x14ac:dyDescent="0.2">
      <c r="F3473" s="258"/>
    </row>
    <row r="3474" spans="6:6" x14ac:dyDescent="0.2">
      <c r="F3474" s="258"/>
    </row>
    <row r="3475" spans="6:6" x14ac:dyDescent="0.2">
      <c r="F3475" s="258"/>
    </row>
    <row r="3476" spans="6:6" x14ac:dyDescent="0.2">
      <c r="F3476" s="258"/>
    </row>
    <row r="3477" spans="6:6" x14ac:dyDescent="0.2">
      <c r="F3477" s="258"/>
    </row>
    <row r="3478" spans="6:6" x14ac:dyDescent="0.2">
      <c r="F3478" s="258"/>
    </row>
    <row r="3479" spans="6:6" x14ac:dyDescent="0.2">
      <c r="F3479" s="258"/>
    </row>
    <row r="3480" spans="6:6" x14ac:dyDescent="0.2">
      <c r="F3480" s="258"/>
    </row>
    <row r="3481" spans="6:6" x14ac:dyDescent="0.2">
      <c r="F3481" s="258"/>
    </row>
    <row r="3482" spans="6:6" x14ac:dyDescent="0.2">
      <c r="F3482" s="258"/>
    </row>
    <row r="3483" spans="6:6" x14ac:dyDescent="0.2">
      <c r="F3483" s="258"/>
    </row>
    <row r="3484" spans="6:6" x14ac:dyDescent="0.2">
      <c r="F3484" s="258"/>
    </row>
    <row r="3485" spans="6:6" x14ac:dyDescent="0.2">
      <c r="F3485" s="258"/>
    </row>
    <row r="3486" spans="6:6" x14ac:dyDescent="0.2">
      <c r="F3486" s="258"/>
    </row>
    <row r="3487" spans="6:6" x14ac:dyDescent="0.2">
      <c r="F3487" s="258"/>
    </row>
    <row r="3488" spans="6:6" x14ac:dyDescent="0.2">
      <c r="F3488" s="258"/>
    </row>
    <row r="3489" spans="6:6" x14ac:dyDescent="0.2">
      <c r="F3489" s="258"/>
    </row>
    <row r="3490" spans="6:6" x14ac:dyDescent="0.2">
      <c r="F3490" s="258"/>
    </row>
    <row r="3491" spans="6:6" x14ac:dyDescent="0.2">
      <c r="F3491" s="258"/>
    </row>
    <row r="3492" spans="6:6" x14ac:dyDescent="0.2">
      <c r="F3492" s="258"/>
    </row>
    <row r="3493" spans="6:6" x14ac:dyDescent="0.2">
      <c r="F3493" s="258"/>
    </row>
    <row r="3494" spans="6:6" x14ac:dyDescent="0.2">
      <c r="F3494" s="258"/>
    </row>
    <row r="3495" spans="6:6" x14ac:dyDescent="0.2">
      <c r="F3495" s="258"/>
    </row>
    <row r="3496" spans="6:6" x14ac:dyDescent="0.2">
      <c r="F3496" s="258"/>
    </row>
    <row r="3497" spans="6:6" x14ac:dyDescent="0.2">
      <c r="F3497" s="258"/>
    </row>
    <row r="3498" spans="6:6" x14ac:dyDescent="0.2">
      <c r="F3498" s="258"/>
    </row>
    <row r="3499" spans="6:6" x14ac:dyDescent="0.2">
      <c r="F3499" s="258"/>
    </row>
    <row r="3500" spans="6:6" x14ac:dyDescent="0.2">
      <c r="F3500" s="258"/>
    </row>
    <row r="3501" spans="6:6" x14ac:dyDescent="0.2">
      <c r="F3501" s="258"/>
    </row>
    <row r="3502" spans="6:6" x14ac:dyDescent="0.2">
      <c r="F3502" s="258"/>
    </row>
    <row r="3503" spans="6:6" x14ac:dyDescent="0.2">
      <c r="F3503" s="258"/>
    </row>
    <row r="3504" spans="6:6" x14ac:dyDescent="0.2">
      <c r="F3504" s="258"/>
    </row>
    <row r="3505" spans="6:6" x14ac:dyDescent="0.2">
      <c r="F3505" s="258"/>
    </row>
    <row r="3506" spans="6:6" x14ac:dyDescent="0.2">
      <c r="F3506" s="258"/>
    </row>
    <row r="3507" spans="6:6" x14ac:dyDescent="0.2">
      <c r="F3507" s="258"/>
    </row>
    <row r="3508" spans="6:6" x14ac:dyDescent="0.2">
      <c r="F3508" s="258"/>
    </row>
    <row r="3509" spans="6:6" x14ac:dyDescent="0.2">
      <c r="F3509" s="258"/>
    </row>
    <row r="3510" spans="6:6" x14ac:dyDescent="0.2">
      <c r="F3510" s="258"/>
    </row>
    <row r="3511" spans="6:6" x14ac:dyDescent="0.2">
      <c r="F3511" s="258"/>
    </row>
    <row r="3512" spans="6:6" x14ac:dyDescent="0.2">
      <c r="F3512" s="258"/>
    </row>
    <row r="3513" spans="6:6" x14ac:dyDescent="0.2">
      <c r="F3513" s="258"/>
    </row>
    <row r="3514" spans="6:6" x14ac:dyDescent="0.2">
      <c r="F3514" s="258"/>
    </row>
    <row r="3515" spans="6:6" x14ac:dyDescent="0.2">
      <c r="F3515" s="258"/>
    </row>
    <row r="3516" spans="6:6" x14ac:dyDescent="0.2">
      <c r="F3516" s="258"/>
    </row>
    <row r="3517" spans="6:6" x14ac:dyDescent="0.2">
      <c r="F3517" s="258"/>
    </row>
    <row r="3518" spans="6:6" x14ac:dyDescent="0.2">
      <c r="F3518" s="258"/>
    </row>
    <row r="3519" spans="6:6" x14ac:dyDescent="0.2">
      <c r="F3519" s="258"/>
    </row>
    <row r="3520" spans="6:6" x14ac:dyDescent="0.2">
      <c r="F3520" s="258"/>
    </row>
    <row r="3521" spans="6:6" x14ac:dyDescent="0.2">
      <c r="F3521" s="258"/>
    </row>
    <row r="3522" spans="6:6" x14ac:dyDescent="0.2">
      <c r="F3522" s="258"/>
    </row>
    <row r="3523" spans="6:6" x14ac:dyDescent="0.2">
      <c r="F3523" s="258"/>
    </row>
    <row r="3524" spans="6:6" x14ac:dyDescent="0.2">
      <c r="F3524" s="258"/>
    </row>
    <row r="3525" spans="6:6" x14ac:dyDescent="0.2">
      <c r="F3525" s="258"/>
    </row>
    <row r="3526" spans="6:6" x14ac:dyDescent="0.2">
      <c r="F3526" s="258"/>
    </row>
    <row r="3527" spans="6:6" x14ac:dyDescent="0.2">
      <c r="F3527" s="258"/>
    </row>
    <row r="3528" spans="6:6" x14ac:dyDescent="0.2">
      <c r="F3528" s="258"/>
    </row>
    <row r="3529" spans="6:6" x14ac:dyDescent="0.2">
      <c r="F3529" s="258"/>
    </row>
    <row r="3530" spans="6:6" x14ac:dyDescent="0.2">
      <c r="F3530" s="258"/>
    </row>
    <row r="3531" spans="6:6" x14ac:dyDescent="0.2">
      <c r="F3531" s="258"/>
    </row>
    <row r="3532" spans="6:6" x14ac:dyDescent="0.2">
      <c r="F3532" s="258"/>
    </row>
    <row r="3533" spans="6:6" x14ac:dyDescent="0.2">
      <c r="F3533" s="258"/>
    </row>
    <row r="3534" spans="6:6" x14ac:dyDescent="0.2">
      <c r="F3534" s="258"/>
    </row>
    <row r="3535" spans="6:6" x14ac:dyDescent="0.2">
      <c r="F3535" s="258"/>
    </row>
    <row r="3536" spans="6:6" x14ac:dyDescent="0.2">
      <c r="F3536" s="258"/>
    </row>
    <row r="3537" spans="6:6" x14ac:dyDescent="0.2">
      <c r="F3537" s="258"/>
    </row>
    <row r="3538" spans="6:6" x14ac:dyDescent="0.2">
      <c r="F3538" s="258"/>
    </row>
    <row r="3539" spans="6:6" x14ac:dyDescent="0.2">
      <c r="F3539" s="258"/>
    </row>
    <row r="3540" spans="6:6" x14ac:dyDescent="0.2">
      <c r="F3540" s="258"/>
    </row>
    <row r="3541" spans="6:6" x14ac:dyDescent="0.2">
      <c r="F3541" s="258"/>
    </row>
    <row r="3542" spans="6:6" x14ac:dyDescent="0.2">
      <c r="F3542" s="258"/>
    </row>
    <row r="3543" spans="6:6" x14ac:dyDescent="0.2">
      <c r="F3543" s="258"/>
    </row>
    <row r="3544" spans="6:6" x14ac:dyDescent="0.2">
      <c r="F3544" s="258"/>
    </row>
    <row r="3545" spans="6:6" x14ac:dyDescent="0.2">
      <c r="F3545" s="258"/>
    </row>
    <row r="3546" spans="6:6" x14ac:dyDescent="0.2">
      <c r="F3546" s="258"/>
    </row>
    <row r="3547" spans="6:6" x14ac:dyDescent="0.2">
      <c r="F3547" s="258"/>
    </row>
    <row r="3548" spans="6:6" x14ac:dyDescent="0.2">
      <c r="F3548" s="258"/>
    </row>
    <row r="3549" spans="6:6" x14ac:dyDescent="0.2">
      <c r="F3549" s="258"/>
    </row>
    <row r="3550" spans="6:6" x14ac:dyDescent="0.2">
      <c r="F3550" s="258"/>
    </row>
    <row r="3551" spans="6:6" x14ac:dyDescent="0.2">
      <c r="F3551" s="258"/>
    </row>
    <row r="3552" spans="6:6" x14ac:dyDescent="0.2">
      <c r="F3552" s="258"/>
    </row>
    <row r="3553" spans="6:6" x14ac:dyDescent="0.2">
      <c r="F3553" s="258"/>
    </row>
    <row r="3554" spans="6:6" x14ac:dyDescent="0.2">
      <c r="F3554" s="258"/>
    </row>
    <row r="3555" spans="6:6" x14ac:dyDescent="0.2">
      <c r="F3555" s="258"/>
    </row>
    <row r="3556" spans="6:6" x14ac:dyDescent="0.2">
      <c r="F3556" s="258"/>
    </row>
    <row r="3557" spans="6:6" x14ac:dyDescent="0.2">
      <c r="F3557" s="258"/>
    </row>
    <row r="3558" spans="6:6" x14ac:dyDescent="0.2">
      <c r="F3558" s="258"/>
    </row>
    <row r="3559" spans="6:6" x14ac:dyDescent="0.2">
      <c r="F3559" s="258"/>
    </row>
    <row r="3560" spans="6:6" x14ac:dyDescent="0.2">
      <c r="F3560" s="258"/>
    </row>
    <row r="3561" spans="6:6" x14ac:dyDescent="0.2">
      <c r="F3561" s="258"/>
    </row>
    <row r="3562" spans="6:6" x14ac:dyDescent="0.2">
      <c r="F3562" s="258"/>
    </row>
    <row r="3563" spans="6:6" x14ac:dyDescent="0.2">
      <c r="F3563" s="258"/>
    </row>
    <row r="3564" spans="6:6" x14ac:dyDescent="0.2">
      <c r="F3564" s="258"/>
    </row>
    <row r="3565" spans="6:6" x14ac:dyDescent="0.2">
      <c r="F3565" s="258"/>
    </row>
    <row r="3566" spans="6:6" x14ac:dyDescent="0.2">
      <c r="F3566" s="258"/>
    </row>
    <row r="3567" spans="6:6" x14ac:dyDescent="0.2">
      <c r="F3567" s="258"/>
    </row>
    <row r="3568" spans="6:6" x14ac:dyDescent="0.2">
      <c r="F3568" s="258"/>
    </row>
    <row r="3569" spans="6:6" x14ac:dyDescent="0.2">
      <c r="F3569" s="258"/>
    </row>
    <row r="3570" spans="6:6" x14ac:dyDescent="0.2">
      <c r="F3570" s="258"/>
    </row>
    <row r="3571" spans="6:6" x14ac:dyDescent="0.2">
      <c r="F3571" s="258"/>
    </row>
    <row r="3572" spans="6:6" x14ac:dyDescent="0.2">
      <c r="F3572" s="258"/>
    </row>
    <row r="3573" spans="6:6" x14ac:dyDescent="0.2">
      <c r="F3573" s="258"/>
    </row>
    <row r="3574" spans="6:6" x14ac:dyDescent="0.2">
      <c r="F3574" s="258"/>
    </row>
    <row r="3575" spans="6:6" x14ac:dyDescent="0.2">
      <c r="F3575" s="258"/>
    </row>
    <row r="3576" spans="6:6" x14ac:dyDescent="0.2">
      <c r="F3576" s="258"/>
    </row>
    <row r="3577" spans="6:6" x14ac:dyDescent="0.2">
      <c r="F3577" s="258"/>
    </row>
    <row r="3578" spans="6:6" x14ac:dyDescent="0.2">
      <c r="F3578" s="258"/>
    </row>
    <row r="3579" spans="6:6" x14ac:dyDescent="0.2">
      <c r="F3579" s="258"/>
    </row>
    <row r="3580" spans="6:6" x14ac:dyDescent="0.2">
      <c r="F3580" s="258"/>
    </row>
    <row r="3581" spans="6:6" x14ac:dyDescent="0.2">
      <c r="F3581" s="258"/>
    </row>
    <row r="3582" spans="6:6" x14ac:dyDescent="0.2">
      <c r="F3582" s="258"/>
    </row>
    <row r="3583" spans="6:6" x14ac:dyDescent="0.2">
      <c r="F3583" s="258"/>
    </row>
    <row r="3584" spans="6:6" x14ac:dyDescent="0.2">
      <c r="F3584" s="258"/>
    </row>
    <row r="3585" spans="6:6" x14ac:dyDescent="0.2">
      <c r="F3585" s="258"/>
    </row>
    <row r="3586" spans="6:6" x14ac:dyDescent="0.2">
      <c r="F3586" s="258"/>
    </row>
    <row r="3587" spans="6:6" x14ac:dyDescent="0.2">
      <c r="F3587" s="258"/>
    </row>
    <row r="3588" spans="6:6" x14ac:dyDescent="0.2">
      <c r="F3588" s="258"/>
    </row>
    <row r="3589" spans="6:6" x14ac:dyDescent="0.2">
      <c r="F3589" s="258"/>
    </row>
    <row r="3590" spans="6:6" x14ac:dyDescent="0.2">
      <c r="F3590" s="258"/>
    </row>
    <row r="3591" spans="6:6" x14ac:dyDescent="0.2">
      <c r="F3591" s="258"/>
    </row>
    <row r="3592" spans="6:6" x14ac:dyDescent="0.2">
      <c r="F3592" s="258"/>
    </row>
    <row r="3593" spans="6:6" x14ac:dyDescent="0.2">
      <c r="F3593" s="258"/>
    </row>
    <row r="3594" spans="6:6" x14ac:dyDescent="0.2">
      <c r="F3594" s="258"/>
    </row>
    <row r="3595" spans="6:6" x14ac:dyDescent="0.2">
      <c r="F3595" s="258"/>
    </row>
    <row r="3596" spans="6:6" x14ac:dyDescent="0.2">
      <c r="F3596" s="258"/>
    </row>
    <row r="3597" spans="6:6" x14ac:dyDescent="0.2">
      <c r="F3597" s="258"/>
    </row>
    <row r="3598" spans="6:6" x14ac:dyDescent="0.2">
      <c r="F3598" s="258"/>
    </row>
    <row r="3599" spans="6:6" x14ac:dyDescent="0.2">
      <c r="F3599" s="258"/>
    </row>
    <row r="3600" spans="6:6" x14ac:dyDescent="0.2">
      <c r="F3600" s="258"/>
    </row>
    <row r="3601" spans="6:6" x14ac:dyDescent="0.2">
      <c r="F3601" s="258"/>
    </row>
    <row r="3602" spans="6:6" x14ac:dyDescent="0.2">
      <c r="F3602" s="258"/>
    </row>
    <row r="3603" spans="6:6" x14ac:dyDescent="0.2">
      <c r="F3603" s="258"/>
    </row>
    <row r="3604" spans="6:6" x14ac:dyDescent="0.2">
      <c r="F3604" s="258"/>
    </row>
    <row r="3605" spans="6:6" x14ac:dyDescent="0.2">
      <c r="F3605" s="258"/>
    </row>
    <row r="3606" spans="6:6" x14ac:dyDescent="0.2">
      <c r="F3606" s="258"/>
    </row>
    <row r="3607" spans="6:6" x14ac:dyDescent="0.2">
      <c r="F3607" s="258"/>
    </row>
    <row r="3608" spans="6:6" x14ac:dyDescent="0.2">
      <c r="F3608" s="258"/>
    </row>
    <row r="3609" spans="6:6" x14ac:dyDescent="0.2">
      <c r="F3609" s="258"/>
    </row>
    <row r="3610" spans="6:6" x14ac:dyDescent="0.2">
      <c r="F3610" s="258"/>
    </row>
    <row r="3611" spans="6:6" x14ac:dyDescent="0.2">
      <c r="F3611" s="258"/>
    </row>
    <row r="3612" spans="6:6" x14ac:dyDescent="0.2">
      <c r="F3612" s="258"/>
    </row>
    <row r="3613" spans="6:6" x14ac:dyDescent="0.2">
      <c r="F3613" s="258"/>
    </row>
    <row r="3614" spans="6:6" x14ac:dyDescent="0.2">
      <c r="F3614" s="258"/>
    </row>
    <row r="3615" spans="6:6" x14ac:dyDescent="0.2">
      <c r="F3615" s="258"/>
    </row>
    <row r="3616" spans="6:6" x14ac:dyDescent="0.2">
      <c r="F3616" s="258"/>
    </row>
    <row r="3617" spans="6:6" x14ac:dyDescent="0.2">
      <c r="F3617" s="258"/>
    </row>
    <row r="3618" spans="6:6" x14ac:dyDescent="0.2">
      <c r="F3618" s="258"/>
    </row>
    <row r="3619" spans="6:6" x14ac:dyDescent="0.2">
      <c r="F3619" s="258"/>
    </row>
    <row r="3620" spans="6:6" x14ac:dyDescent="0.2">
      <c r="F3620" s="258"/>
    </row>
    <row r="3621" spans="6:6" x14ac:dyDescent="0.2">
      <c r="F3621" s="258"/>
    </row>
    <row r="3622" spans="6:6" x14ac:dyDescent="0.2">
      <c r="F3622" s="258"/>
    </row>
    <row r="3623" spans="6:6" x14ac:dyDescent="0.2">
      <c r="F3623" s="258"/>
    </row>
    <row r="3624" spans="6:6" x14ac:dyDescent="0.2">
      <c r="F3624" s="258"/>
    </row>
    <row r="3625" spans="6:6" x14ac:dyDescent="0.2">
      <c r="F3625" s="258"/>
    </row>
    <row r="3626" spans="6:6" x14ac:dyDescent="0.2">
      <c r="F3626" s="258"/>
    </row>
    <row r="3627" spans="6:6" x14ac:dyDescent="0.2">
      <c r="F3627" s="258"/>
    </row>
    <row r="3628" spans="6:6" x14ac:dyDescent="0.2">
      <c r="F3628" s="258"/>
    </row>
    <row r="3629" spans="6:6" x14ac:dyDescent="0.2">
      <c r="F3629" s="258"/>
    </row>
    <row r="3630" spans="6:6" x14ac:dyDescent="0.2">
      <c r="F3630" s="258"/>
    </row>
    <row r="3631" spans="6:6" x14ac:dyDescent="0.2">
      <c r="F3631" s="258"/>
    </row>
    <row r="3632" spans="6:6" x14ac:dyDescent="0.2">
      <c r="F3632" s="258"/>
    </row>
    <row r="3633" spans="6:6" x14ac:dyDescent="0.2">
      <c r="F3633" s="258"/>
    </row>
    <row r="3634" spans="6:6" x14ac:dyDescent="0.2">
      <c r="F3634" s="258"/>
    </row>
    <row r="3635" spans="6:6" x14ac:dyDescent="0.2">
      <c r="F3635" s="258"/>
    </row>
    <row r="3636" spans="6:6" x14ac:dyDescent="0.2">
      <c r="F3636" s="258"/>
    </row>
    <row r="3637" spans="6:6" x14ac:dyDescent="0.2">
      <c r="F3637" s="258"/>
    </row>
    <row r="3638" spans="6:6" x14ac:dyDescent="0.2">
      <c r="F3638" s="258"/>
    </row>
    <row r="3639" spans="6:6" x14ac:dyDescent="0.2">
      <c r="F3639" s="258"/>
    </row>
    <row r="3640" spans="6:6" x14ac:dyDescent="0.2">
      <c r="F3640" s="258"/>
    </row>
    <row r="3641" spans="6:6" x14ac:dyDescent="0.2">
      <c r="F3641" s="258"/>
    </row>
    <row r="3642" spans="6:6" x14ac:dyDescent="0.2">
      <c r="F3642" s="258"/>
    </row>
    <row r="3643" spans="6:6" x14ac:dyDescent="0.2">
      <c r="F3643" s="258"/>
    </row>
    <row r="3644" spans="6:6" x14ac:dyDescent="0.2">
      <c r="F3644" s="258"/>
    </row>
    <row r="3645" spans="6:6" x14ac:dyDescent="0.2">
      <c r="F3645" s="258"/>
    </row>
    <row r="3646" spans="6:6" x14ac:dyDescent="0.2">
      <c r="F3646" s="258"/>
    </row>
    <row r="3647" spans="6:6" x14ac:dyDescent="0.2">
      <c r="F3647" s="258"/>
    </row>
    <row r="3648" spans="6:6" x14ac:dyDescent="0.2">
      <c r="F3648" s="258"/>
    </row>
    <row r="3649" spans="6:6" x14ac:dyDescent="0.2">
      <c r="F3649" s="258"/>
    </row>
    <row r="3650" spans="6:6" x14ac:dyDescent="0.2">
      <c r="F3650" s="258"/>
    </row>
    <row r="3651" spans="6:6" x14ac:dyDescent="0.2">
      <c r="F3651" s="258"/>
    </row>
    <row r="3652" spans="6:6" x14ac:dyDescent="0.2">
      <c r="F3652" s="258"/>
    </row>
    <row r="3653" spans="6:6" x14ac:dyDescent="0.2">
      <c r="F3653" s="258"/>
    </row>
    <row r="3654" spans="6:6" x14ac:dyDescent="0.2">
      <c r="F3654" s="258"/>
    </row>
    <row r="3655" spans="6:6" x14ac:dyDescent="0.2">
      <c r="F3655" s="258"/>
    </row>
    <row r="3656" spans="6:6" x14ac:dyDescent="0.2">
      <c r="F3656" s="258"/>
    </row>
    <row r="3657" spans="6:6" x14ac:dyDescent="0.2">
      <c r="F3657" s="258"/>
    </row>
    <row r="3658" spans="6:6" x14ac:dyDescent="0.2">
      <c r="F3658" s="258"/>
    </row>
    <row r="3659" spans="6:6" x14ac:dyDescent="0.2">
      <c r="F3659" s="258"/>
    </row>
    <row r="3660" spans="6:6" x14ac:dyDescent="0.2">
      <c r="F3660" s="258"/>
    </row>
    <row r="3661" spans="6:6" x14ac:dyDescent="0.2">
      <c r="F3661" s="258"/>
    </row>
    <row r="3662" spans="6:6" x14ac:dyDescent="0.2">
      <c r="F3662" s="258"/>
    </row>
    <row r="3663" spans="6:6" x14ac:dyDescent="0.2">
      <c r="F3663" s="258"/>
    </row>
    <row r="3664" spans="6:6" x14ac:dyDescent="0.2">
      <c r="F3664" s="258"/>
    </row>
    <row r="3665" spans="6:6" x14ac:dyDescent="0.2">
      <c r="F3665" s="258"/>
    </row>
    <row r="3666" spans="6:6" x14ac:dyDescent="0.2">
      <c r="F3666" s="258"/>
    </row>
    <row r="3667" spans="6:6" x14ac:dyDescent="0.2">
      <c r="F3667" s="258"/>
    </row>
    <row r="3668" spans="6:6" x14ac:dyDescent="0.2">
      <c r="F3668" s="258"/>
    </row>
    <row r="3669" spans="6:6" x14ac:dyDescent="0.2">
      <c r="F3669" s="258"/>
    </row>
    <row r="3670" spans="6:6" x14ac:dyDescent="0.2">
      <c r="F3670" s="258"/>
    </row>
    <row r="3671" spans="6:6" x14ac:dyDescent="0.2">
      <c r="F3671" s="258"/>
    </row>
    <row r="3672" spans="6:6" x14ac:dyDescent="0.2">
      <c r="F3672" s="258"/>
    </row>
    <row r="3673" spans="6:6" x14ac:dyDescent="0.2">
      <c r="F3673" s="258"/>
    </row>
    <row r="3674" spans="6:6" x14ac:dyDescent="0.2">
      <c r="F3674" s="258"/>
    </row>
    <row r="3675" spans="6:6" x14ac:dyDescent="0.2">
      <c r="F3675" s="258"/>
    </row>
    <row r="3676" spans="6:6" x14ac:dyDescent="0.2">
      <c r="F3676" s="258"/>
    </row>
    <row r="3677" spans="6:6" x14ac:dyDescent="0.2">
      <c r="F3677" s="258"/>
    </row>
    <row r="3678" spans="6:6" x14ac:dyDescent="0.2">
      <c r="F3678" s="258"/>
    </row>
    <row r="3679" spans="6:6" x14ac:dyDescent="0.2">
      <c r="F3679" s="258"/>
    </row>
    <row r="3680" spans="6:6" x14ac:dyDescent="0.2">
      <c r="F3680" s="258"/>
    </row>
    <row r="3681" spans="6:6" x14ac:dyDescent="0.2">
      <c r="F3681" s="258"/>
    </row>
    <row r="3682" spans="6:6" x14ac:dyDescent="0.2">
      <c r="F3682" s="258"/>
    </row>
    <row r="3683" spans="6:6" x14ac:dyDescent="0.2">
      <c r="F3683" s="258"/>
    </row>
    <row r="3684" spans="6:6" x14ac:dyDescent="0.2">
      <c r="F3684" s="258"/>
    </row>
    <row r="3685" spans="6:6" x14ac:dyDescent="0.2">
      <c r="F3685" s="258"/>
    </row>
    <row r="3686" spans="6:6" x14ac:dyDescent="0.2">
      <c r="F3686" s="258"/>
    </row>
    <row r="3687" spans="6:6" x14ac:dyDescent="0.2">
      <c r="F3687" s="258"/>
    </row>
    <row r="3688" spans="6:6" x14ac:dyDescent="0.2">
      <c r="F3688" s="258"/>
    </row>
    <row r="3689" spans="6:6" x14ac:dyDescent="0.2">
      <c r="F3689" s="258"/>
    </row>
    <row r="3690" spans="6:6" x14ac:dyDescent="0.2">
      <c r="F3690" s="258"/>
    </row>
    <row r="3691" spans="6:6" x14ac:dyDescent="0.2">
      <c r="F3691" s="258"/>
    </row>
    <row r="3692" spans="6:6" x14ac:dyDescent="0.2">
      <c r="F3692" s="258"/>
    </row>
    <row r="3693" spans="6:6" x14ac:dyDescent="0.2">
      <c r="F3693" s="258"/>
    </row>
    <row r="3694" spans="6:6" x14ac:dyDescent="0.2">
      <c r="F3694" s="258"/>
    </row>
    <row r="3695" spans="6:6" x14ac:dyDescent="0.2">
      <c r="F3695" s="258"/>
    </row>
    <row r="3696" spans="6:6" x14ac:dyDescent="0.2">
      <c r="F3696" s="258"/>
    </row>
    <row r="3697" spans="6:6" x14ac:dyDescent="0.2">
      <c r="F3697" s="258"/>
    </row>
    <row r="3698" spans="6:6" x14ac:dyDescent="0.2">
      <c r="F3698" s="258"/>
    </row>
    <row r="3699" spans="6:6" x14ac:dyDescent="0.2">
      <c r="F3699" s="258"/>
    </row>
    <row r="3700" spans="6:6" x14ac:dyDescent="0.2">
      <c r="F3700" s="258"/>
    </row>
    <row r="3701" spans="6:6" x14ac:dyDescent="0.2">
      <c r="F3701" s="258"/>
    </row>
    <row r="3702" spans="6:6" x14ac:dyDescent="0.2">
      <c r="F3702" s="258"/>
    </row>
    <row r="3703" spans="6:6" x14ac:dyDescent="0.2">
      <c r="F3703" s="258"/>
    </row>
    <row r="3704" spans="6:6" x14ac:dyDescent="0.2">
      <c r="F3704" s="258"/>
    </row>
    <row r="3705" spans="6:6" x14ac:dyDescent="0.2">
      <c r="F3705" s="258"/>
    </row>
    <row r="3706" spans="6:6" x14ac:dyDescent="0.2">
      <c r="F3706" s="258"/>
    </row>
    <row r="3707" spans="6:6" x14ac:dyDescent="0.2">
      <c r="F3707" s="258"/>
    </row>
    <row r="3708" spans="6:6" x14ac:dyDescent="0.2">
      <c r="F3708" s="258"/>
    </row>
    <row r="3709" spans="6:6" x14ac:dyDescent="0.2">
      <c r="F3709" s="258"/>
    </row>
    <row r="3710" spans="6:6" x14ac:dyDescent="0.2">
      <c r="F3710" s="258"/>
    </row>
    <row r="3711" spans="6:6" x14ac:dyDescent="0.2">
      <c r="F3711" s="258"/>
    </row>
    <row r="3712" spans="6:6" x14ac:dyDescent="0.2">
      <c r="F3712" s="258"/>
    </row>
    <row r="3713" spans="6:6" x14ac:dyDescent="0.2">
      <c r="F3713" s="258"/>
    </row>
    <row r="3714" spans="6:6" x14ac:dyDescent="0.2">
      <c r="F3714" s="258"/>
    </row>
    <row r="3715" spans="6:6" x14ac:dyDescent="0.2">
      <c r="F3715" s="258"/>
    </row>
    <row r="3716" spans="6:6" x14ac:dyDescent="0.2">
      <c r="F3716" s="258"/>
    </row>
    <row r="3717" spans="6:6" x14ac:dyDescent="0.2">
      <c r="F3717" s="258"/>
    </row>
    <row r="3718" spans="6:6" x14ac:dyDescent="0.2">
      <c r="F3718" s="258"/>
    </row>
    <row r="3719" spans="6:6" x14ac:dyDescent="0.2">
      <c r="F3719" s="258"/>
    </row>
    <row r="3720" spans="6:6" x14ac:dyDescent="0.2">
      <c r="F3720" s="258"/>
    </row>
    <row r="3721" spans="6:6" x14ac:dyDescent="0.2">
      <c r="F3721" s="258"/>
    </row>
    <row r="3722" spans="6:6" x14ac:dyDescent="0.2">
      <c r="F3722" s="258"/>
    </row>
    <row r="3723" spans="6:6" x14ac:dyDescent="0.2">
      <c r="F3723" s="258"/>
    </row>
    <row r="3724" spans="6:6" x14ac:dyDescent="0.2">
      <c r="F3724" s="258"/>
    </row>
    <row r="3725" spans="6:6" x14ac:dyDescent="0.2">
      <c r="F3725" s="258"/>
    </row>
    <row r="3726" spans="6:6" x14ac:dyDescent="0.2">
      <c r="F3726" s="258"/>
    </row>
    <row r="3727" spans="6:6" x14ac:dyDescent="0.2">
      <c r="F3727" s="258"/>
    </row>
    <row r="3728" spans="6:6" x14ac:dyDescent="0.2">
      <c r="F3728" s="258"/>
    </row>
    <row r="3729" spans="6:6" x14ac:dyDescent="0.2">
      <c r="F3729" s="258"/>
    </row>
    <row r="3730" spans="6:6" x14ac:dyDescent="0.2">
      <c r="F3730" s="258"/>
    </row>
    <row r="3731" spans="6:6" x14ac:dyDescent="0.2">
      <c r="F3731" s="258"/>
    </row>
    <row r="3732" spans="6:6" x14ac:dyDescent="0.2">
      <c r="F3732" s="258"/>
    </row>
    <row r="3733" spans="6:6" x14ac:dyDescent="0.2">
      <c r="F3733" s="258"/>
    </row>
    <row r="3734" spans="6:6" x14ac:dyDescent="0.2">
      <c r="F3734" s="258"/>
    </row>
    <row r="3735" spans="6:6" x14ac:dyDescent="0.2">
      <c r="F3735" s="258"/>
    </row>
    <row r="3736" spans="6:6" x14ac:dyDescent="0.2">
      <c r="F3736" s="258"/>
    </row>
    <row r="3737" spans="6:6" x14ac:dyDescent="0.2">
      <c r="F3737" s="258"/>
    </row>
    <row r="3738" spans="6:6" x14ac:dyDescent="0.2">
      <c r="F3738" s="258"/>
    </row>
    <row r="3739" spans="6:6" x14ac:dyDescent="0.2">
      <c r="F3739" s="258"/>
    </row>
    <row r="3740" spans="6:6" x14ac:dyDescent="0.2">
      <c r="F3740" s="258"/>
    </row>
    <row r="3741" spans="6:6" x14ac:dyDescent="0.2">
      <c r="F3741" s="258"/>
    </row>
    <row r="3742" spans="6:6" x14ac:dyDescent="0.2">
      <c r="F3742" s="258"/>
    </row>
    <row r="3743" spans="6:6" x14ac:dyDescent="0.2">
      <c r="F3743" s="258"/>
    </row>
    <row r="3744" spans="6:6" x14ac:dyDescent="0.2">
      <c r="F3744" s="258"/>
    </row>
    <row r="3745" spans="6:6" x14ac:dyDescent="0.2">
      <c r="F3745" s="258"/>
    </row>
    <row r="3746" spans="6:6" x14ac:dyDescent="0.2">
      <c r="F3746" s="258"/>
    </row>
    <row r="3747" spans="6:6" x14ac:dyDescent="0.2">
      <c r="F3747" s="258"/>
    </row>
    <row r="3748" spans="6:6" x14ac:dyDescent="0.2">
      <c r="F3748" s="258"/>
    </row>
    <row r="3749" spans="6:6" x14ac:dyDescent="0.2">
      <c r="F3749" s="258"/>
    </row>
    <row r="3750" spans="6:6" x14ac:dyDescent="0.2">
      <c r="F3750" s="258"/>
    </row>
    <row r="3751" spans="6:6" x14ac:dyDescent="0.2">
      <c r="F3751" s="258"/>
    </row>
    <row r="3752" spans="6:6" x14ac:dyDescent="0.2">
      <c r="F3752" s="258"/>
    </row>
    <row r="3753" spans="6:6" x14ac:dyDescent="0.2">
      <c r="F3753" s="258"/>
    </row>
    <row r="3754" spans="6:6" x14ac:dyDescent="0.2">
      <c r="F3754" s="258"/>
    </row>
    <row r="3755" spans="6:6" x14ac:dyDescent="0.2">
      <c r="F3755" s="258"/>
    </row>
    <row r="3756" spans="6:6" x14ac:dyDescent="0.2">
      <c r="F3756" s="258"/>
    </row>
    <row r="3757" spans="6:6" x14ac:dyDescent="0.2">
      <c r="F3757" s="258"/>
    </row>
    <row r="3758" spans="6:6" x14ac:dyDescent="0.2">
      <c r="F3758" s="258"/>
    </row>
    <row r="3759" spans="6:6" x14ac:dyDescent="0.2">
      <c r="F3759" s="258"/>
    </row>
    <row r="3760" spans="6:6" x14ac:dyDescent="0.2">
      <c r="F3760" s="258"/>
    </row>
    <row r="3761" spans="6:6" x14ac:dyDescent="0.2">
      <c r="F3761" s="258"/>
    </row>
    <row r="3762" spans="6:6" x14ac:dyDescent="0.2">
      <c r="F3762" s="258"/>
    </row>
    <row r="3763" spans="6:6" x14ac:dyDescent="0.2">
      <c r="F3763" s="258"/>
    </row>
    <row r="3764" spans="6:6" x14ac:dyDescent="0.2">
      <c r="F3764" s="258"/>
    </row>
    <row r="3765" spans="6:6" x14ac:dyDescent="0.2">
      <c r="F3765" s="258"/>
    </row>
    <row r="3766" spans="6:6" x14ac:dyDescent="0.2">
      <c r="F3766" s="258"/>
    </row>
    <row r="3767" spans="6:6" x14ac:dyDescent="0.2">
      <c r="F3767" s="258"/>
    </row>
    <row r="3768" spans="6:6" x14ac:dyDescent="0.2">
      <c r="F3768" s="258"/>
    </row>
    <row r="3769" spans="6:6" x14ac:dyDescent="0.2">
      <c r="F3769" s="258"/>
    </row>
    <row r="3770" spans="6:6" x14ac:dyDescent="0.2">
      <c r="F3770" s="258"/>
    </row>
    <row r="3771" spans="6:6" x14ac:dyDescent="0.2">
      <c r="F3771" s="258"/>
    </row>
    <row r="3772" spans="6:6" x14ac:dyDescent="0.2">
      <c r="F3772" s="258"/>
    </row>
    <row r="3773" spans="6:6" x14ac:dyDescent="0.2">
      <c r="F3773" s="258"/>
    </row>
    <row r="3774" spans="6:6" x14ac:dyDescent="0.2">
      <c r="F3774" s="258"/>
    </row>
    <row r="3775" spans="6:6" x14ac:dyDescent="0.2">
      <c r="F3775" s="258"/>
    </row>
    <row r="3776" spans="6:6" x14ac:dyDescent="0.2">
      <c r="F3776" s="258"/>
    </row>
    <row r="3777" spans="6:6" x14ac:dyDescent="0.2">
      <c r="F3777" s="258"/>
    </row>
    <row r="3778" spans="6:6" x14ac:dyDescent="0.2">
      <c r="F3778" s="258"/>
    </row>
    <row r="3779" spans="6:6" x14ac:dyDescent="0.2">
      <c r="F3779" s="258"/>
    </row>
    <row r="3780" spans="6:6" x14ac:dyDescent="0.2">
      <c r="F3780" s="258"/>
    </row>
  </sheetData>
  <autoFilter ref="A7:AK490"/>
  <dataConsolidate link="1"/>
  <mergeCells count="430">
    <mergeCell ref="E457:E481"/>
    <mergeCell ref="C457:C481"/>
    <mergeCell ref="D457:D481"/>
    <mergeCell ref="D482:D488"/>
    <mergeCell ref="C482:C488"/>
    <mergeCell ref="B482:B488"/>
    <mergeCell ref="C334:C343"/>
    <mergeCell ref="B326:B346"/>
    <mergeCell ref="C326:C333"/>
    <mergeCell ref="E413:E455"/>
    <mergeCell ref="E405:E411"/>
    <mergeCell ref="D412:D456"/>
    <mergeCell ref="C412:C456"/>
    <mergeCell ref="B412:B456"/>
    <mergeCell ref="E482:E488"/>
    <mergeCell ref="C344:C346"/>
    <mergeCell ref="E327:E328"/>
    <mergeCell ref="E352:E358"/>
    <mergeCell ref="D352:D358"/>
    <mergeCell ref="E347:E348"/>
    <mergeCell ref="B376:B381"/>
    <mergeCell ref="B352:B358"/>
    <mergeCell ref="C359:C375"/>
    <mergeCell ref="B359:B375"/>
    <mergeCell ref="D359:D375"/>
    <mergeCell ref="D326:D348"/>
    <mergeCell ref="F359:F375"/>
    <mergeCell ref="D376:D381"/>
    <mergeCell ref="F376:F381"/>
    <mergeCell ref="L5:L6"/>
    <mergeCell ref="G278:G279"/>
    <mergeCell ref="I278:I279"/>
    <mergeCell ref="F278:F279"/>
    <mergeCell ref="E278:E279"/>
    <mergeCell ref="E29:E38"/>
    <mergeCell ref="E202:E223"/>
    <mergeCell ref="E225:E226"/>
    <mergeCell ref="I135:I136"/>
    <mergeCell ref="F132:F133"/>
    <mergeCell ref="F135:F136"/>
    <mergeCell ref="I101:I104"/>
    <mergeCell ref="G101:G103"/>
    <mergeCell ref="F46:F53"/>
    <mergeCell ref="E46:E53"/>
    <mergeCell ref="I64:I67"/>
    <mergeCell ref="D267:D273"/>
    <mergeCell ref="F24:F28"/>
    <mergeCell ref="G24:G28"/>
    <mergeCell ref="B101:B107"/>
    <mergeCell ref="D101:D107"/>
    <mergeCell ref="B68:B69"/>
    <mergeCell ref="C68:C69"/>
    <mergeCell ref="D54:D69"/>
    <mergeCell ref="F352:F358"/>
    <mergeCell ref="C105:C107"/>
    <mergeCell ref="G130:G131"/>
    <mergeCell ref="B179:B182"/>
    <mergeCell ref="B168:B170"/>
    <mergeCell ref="C179:C182"/>
    <mergeCell ref="C193:C201"/>
    <mergeCell ref="C186:C192"/>
    <mergeCell ref="B177:B178"/>
    <mergeCell ref="B193:B201"/>
    <mergeCell ref="F220:F223"/>
    <mergeCell ref="B186:B192"/>
    <mergeCell ref="B172:B176"/>
    <mergeCell ref="E172:E176"/>
    <mergeCell ref="E186:E192"/>
    <mergeCell ref="E179:E182"/>
    <mergeCell ref="F126:F127"/>
    <mergeCell ref="B126:B134"/>
    <mergeCell ref="C126:C134"/>
    <mergeCell ref="A383:A488"/>
    <mergeCell ref="S229:V229"/>
    <mergeCell ref="S239:V239"/>
    <mergeCell ref="J298:J299"/>
    <mergeCell ref="C383:C411"/>
    <mergeCell ref="C352:C358"/>
    <mergeCell ref="B457:B481"/>
    <mergeCell ref="B347:B348"/>
    <mergeCell ref="C347:C348"/>
    <mergeCell ref="F303:F310"/>
    <mergeCell ref="C350:C351"/>
    <mergeCell ref="B350:B351"/>
    <mergeCell ref="C376:C381"/>
    <mergeCell ref="E376:E381"/>
    <mergeCell ref="D349:D351"/>
    <mergeCell ref="B383:B411"/>
    <mergeCell ref="D383:D404"/>
    <mergeCell ref="D405:D411"/>
    <mergeCell ref="C229:C233"/>
    <mergeCell ref="B229:B233"/>
    <mergeCell ref="F229:F231"/>
    <mergeCell ref="G247:G248"/>
    <mergeCell ref="F239:F245"/>
    <mergeCell ref="G259:G261"/>
    <mergeCell ref="G46:G52"/>
    <mergeCell ref="E70:E88"/>
    <mergeCell ref="E21:E23"/>
    <mergeCell ref="E68:E69"/>
    <mergeCell ref="B64:B67"/>
    <mergeCell ref="C64:C67"/>
    <mergeCell ref="E64:E67"/>
    <mergeCell ref="F64:F66"/>
    <mergeCell ref="E54:E63"/>
    <mergeCell ref="F54:F63"/>
    <mergeCell ref="G77:G79"/>
    <mergeCell ref="D70:D100"/>
    <mergeCell ref="C46:C53"/>
    <mergeCell ref="C21:C23"/>
    <mergeCell ref="D21:D23"/>
    <mergeCell ref="C54:C63"/>
    <mergeCell ref="B54:B63"/>
    <mergeCell ref="A8:A106"/>
    <mergeCell ref="G482:G488"/>
    <mergeCell ref="G457:G478"/>
    <mergeCell ref="I457:I478"/>
    <mergeCell ref="G413:G416"/>
    <mergeCell ref="G417:G451"/>
    <mergeCell ref="G453:G455"/>
    <mergeCell ref="F453:F455"/>
    <mergeCell ref="F417:F451"/>
    <mergeCell ref="I417:I452"/>
    <mergeCell ref="F413:F416"/>
    <mergeCell ref="I413:I416"/>
    <mergeCell ref="I453:I455"/>
    <mergeCell ref="F457:F481"/>
    <mergeCell ref="G81:G82"/>
    <mergeCell ref="E89:E100"/>
    <mergeCell ref="E105:E107"/>
    <mergeCell ref="F105:F107"/>
    <mergeCell ref="F21:F23"/>
    <mergeCell ref="G21:G23"/>
    <mergeCell ref="G106:G107"/>
    <mergeCell ref="F70:F88"/>
    <mergeCell ref="I70:I88"/>
    <mergeCell ref="I158:I159"/>
    <mergeCell ref="I109:I125"/>
    <mergeCell ref="I137:I138"/>
    <mergeCell ref="F89:F96"/>
    <mergeCell ref="G109:G125"/>
    <mergeCell ref="E137:E138"/>
    <mergeCell ref="I132:I133"/>
    <mergeCell ref="E142:E167"/>
    <mergeCell ref="F137:F138"/>
    <mergeCell ref="G162:G163"/>
    <mergeCell ref="I97:I99"/>
    <mergeCell ref="E109:E125"/>
    <mergeCell ref="F109:F125"/>
    <mergeCell ref="E126:E134"/>
    <mergeCell ref="F142:F156"/>
    <mergeCell ref="G128:G129"/>
    <mergeCell ref="F162:F163"/>
    <mergeCell ref="E135:E136"/>
    <mergeCell ref="E139:E141"/>
    <mergeCell ref="A109:A225"/>
    <mergeCell ref="I142:I156"/>
    <mergeCell ref="G186:G188"/>
    <mergeCell ref="G184:G185"/>
    <mergeCell ref="E183:E185"/>
    <mergeCell ref="E234:E265"/>
    <mergeCell ref="I164:I165"/>
    <mergeCell ref="I202:I219"/>
    <mergeCell ref="I166:I167"/>
    <mergeCell ref="G234:G237"/>
    <mergeCell ref="H128:H129"/>
    <mergeCell ref="H130:H131"/>
    <mergeCell ref="I234:I237"/>
    <mergeCell ref="C168:C170"/>
    <mergeCell ref="F128:F129"/>
    <mergeCell ref="E168:E170"/>
    <mergeCell ref="D168:D170"/>
    <mergeCell ref="B109:B125"/>
    <mergeCell ref="C109:C125"/>
    <mergeCell ref="C172:C176"/>
    <mergeCell ref="D202:D226"/>
    <mergeCell ref="G180:G182"/>
    <mergeCell ref="F186:F192"/>
    <mergeCell ref="F180:F182"/>
    <mergeCell ref="B135:B167"/>
    <mergeCell ref="C135:C167"/>
    <mergeCell ref="B183:B185"/>
    <mergeCell ref="C183:C185"/>
    <mergeCell ref="B202:B226"/>
    <mergeCell ref="C202:C226"/>
    <mergeCell ref="F193:F201"/>
    <mergeCell ref="F172:F176"/>
    <mergeCell ref="F168:F170"/>
    <mergeCell ref="I172:I176"/>
    <mergeCell ref="D109:D125"/>
    <mergeCell ref="F139:F141"/>
    <mergeCell ref="F158:F159"/>
    <mergeCell ref="F164:F165"/>
    <mergeCell ref="F166:F167"/>
    <mergeCell ref="F130:F131"/>
    <mergeCell ref="F234:F237"/>
    <mergeCell ref="A108:N108"/>
    <mergeCell ref="D228:D233"/>
    <mergeCell ref="E229:E233"/>
    <mergeCell ref="I186:I192"/>
    <mergeCell ref="I193:I201"/>
    <mergeCell ref="I168:I170"/>
    <mergeCell ref="G168:G169"/>
    <mergeCell ref="D177:D178"/>
    <mergeCell ref="E193:E201"/>
    <mergeCell ref="D234:D266"/>
    <mergeCell ref="G172:G176"/>
    <mergeCell ref="G255:G258"/>
    <mergeCell ref="I247:I265"/>
    <mergeCell ref="I180:I182"/>
    <mergeCell ref="G229:G231"/>
    <mergeCell ref="F246:F265"/>
    <mergeCell ref="C101:C104"/>
    <mergeCell ref="B8:B14"/>
    <mergeCell ref="C70:C100"/>
    <mergeCell ref="B70:B100"/>
    <mergeCell ref="C8:C14"/>
    <mergeCell ref="D8:D14"/>
    <mergeCell ref="G8:G14"/>
    <mergeCell ref="I39:I45"/>
    <mergeCell ref="F39:F45"/>
    <mergeCell ref="E39:E45"/>
    <mergeCell ref="I36:I37"/>
    <mergeCell ref="I8:I14"/>
    <mergeCell ref="E8:E14"/>
    <mergeCell ref="F8:F14"/>
    <mergeCell ref="I24:I28"/>
    <mergeCell ref="F36:F37"/>
    <mergeCell ref="G75:G76"/>
    <mergeCell ref="F15:F16"/>
    <mergeCell ref="E15:E16"/>
    <mergeCell ref="C29:C38"/>
    <mergeCell ref="B29:B38"/>
    <mergeCell ref="I46:I52"/>
    <mergeCell ref="G54:G69"/>
    <mergeCell ref="B46:B53"/>
    <mergeCell ref="I15:I16"/>
    <mergeCell ref="I17:I20"/>
    <mergeCell ref="E17:E20"/>
    <mergeCell ref="J83:J84"/>
    <mergeCell ref="D46:D53"/>
    <mergeCell ref="F97:F99"/>
    <mergeCell ref="B39:B45"/>
    <mergeCell ref="C39:C45"/>
    <mergeCell ref="G39:G45"/>
    <mergeCell ref="C15:C16"/>
    <mergeCell ref="B15:B20"/>
    <mergeCell ref="C17:C20"/>
    <mergeCell ref="G15:G16"/>
    <mergeCell ref="G17:G20"/>
    <mergeCell ref="D24:D28"/>
    <mergeCell ref="D39:D45"/>
    <mergeCell ref="G29:G34"/>
    <mergeCell ref="F29:F34"/>
    <mergeCell ref="E24:E28"/>
    <mergeCell ref="C24:C28"/>
    <mergeCell ref="B24:B28"/>
    <mergeCell ref="D29:D38"/>
    <mergeCell ref="D15:D20"/>
    <mergeCell ref="I29:I34"/>
    <mergeCell ref="AG5:AI5"/>
    <mergeCell ref="A1:AH4"/>
    <mergeCell ref="J5:J6"/>
    <mergeCell ref="M5:M6"/>
    <mergeCell ref="N5:N6"/>
    <mergeCell ref="F5:F6"/>
    <mergeCell ref="A5:A6"/>
    <mergeCell ref="B5:B6"/>
    <mergeCell ref="C5:C6"/>
    <mergeCell ref="P5:P6"/>
    <mergeCell ref="K5:K6"/>
    <mergeCell ref="D5:D6"/>
    <mergeCell ref="E5:E6"/>
    <mergeCell ref="Q5:Q6"/>
    <mergeCell ref="O5:O6"/>
    <mergeCell ref="H5:H6"/>
    <mergeCell ref="G5:G6"/>
    <mergeCell ref="I5:I6"/>
    <mergeCell ref="AA5:AC5"/>
    <mergeCell ref="AD5:AF5"/>
    <mergeCell ref="J492:R493"/>
    <mergeCell ref="D320:D325"/>
    <mergeCell ref="A227:N227"/>
    <mergeCell ref="G376:G377"/>
    <mergeCell ref="J359:J367"/>
    <mergeCell ref="U492:X493"/>
    <mergeCell ref="J368:J372"/>
    <mergeCell ref="I54:I62"/>
    <mergeCell ref="F17:F20"/>
    <mergeCell ref="I21:I23"/>
    <mergeCell ref="I89:I96"/>
    <mergeCell ref="I105:I107"/>
    <mergeCell ref="I68:I69"/>
    <mergeCell ref="S227:V227"/>
    <mergeCell ref="S108:V108"/>
    <mergeCell ref="J290:J296"/>
    <mergeCell ref="E283:E284"/>
    <mergeCell ref="G283:G284"/>
    <mergeCell ref="E274:E276"/>
    <mergeCell ref="J162:J163"/>
    <mergeCell ref="I239:I245"/>
    <mergeCell ref="G239:G245"/>
    <mergeCell ref="I220:I222"/>
    <mergeCell ref="I229:I231"/>
    <mergeCell ref="S489:V489"/>
    <mergeCell ref="I376:I378"/>
    <mergeCell ref="I352:I358"/>
    <mergeCell ref="F482:F488"/>
    <mergeCell ref="I482:I488"/>
    <mergeCell ref="F410:F411"/>
    <mergeCell ref="K383:K387"/>
    <mergeCell ref="Y492:Y493"/>
    <mergeCell ref="R5:R6"/>
    <mergeCell ref="W5:Y5"/>
    <mergeCell ref="S5:V5"/>
    <mergeCell ref="A492:I493"/>
    <mergeCell ref="D172:D176"/>
    <mergeCell ref="D126:D167"/>
    <mergeCell ref="D179:D201"/>
    <mergeCell ref="D274:D289"/>
    <mergeCell ref="A382:N382"/>
    <mergeCell ref="A228:A375"/>
    <mergeCell ref="G359:G367"/>
    <mergeCell ref="G368:G372"/>
    <mergeCell ref="E101:E104"/>
    <mergeCell ref="F101:F104"/>
    <mergeCell ref="S492:T493"/>
    <mergeCell ref="A489:N489"/>
    <mergeCell ref="I392:I404"/>
    <mergeCell ref="F389:F391"/>
    <mergeCell ref="F392:F404"/>
    <mergeCell ref="E389:E404"/>
    <mergeCell ref="I389:I391"/>
    <mergeCell ref="E383:E388"/>
    <mergeCell ref="E298:E299"/>
    <mergeCell ref="F298:F299"/>
    <mergeCell ref="F320:F324"/>
    <mergeCell ref="G303:G310"/>
    <mergeCell ref="E303:E310"/>
    <mergeCell ref="F313:F314"/>
    <mergeCell ref="I298:I299"/>
    <mergeCell ref="I350:I351"/>
    <mergeCell ref="F350:F351"/>
    <mergeCell ref="G320:G324"/>
    <mergeCell ref="I329:I332"/>
    <mergeCell ref="E315:E316"/>
    <mergeCell ref="E359:E375"/>
    <mergeCell ref="I407:I408"/>
    <mergeCell ref="G251:G254"/>
    <mergeCell ref="G262:G265"/>
    <mergeCell ref="G334:G343"/>
    <mergeCell ref="G290:G296"/>
    <mergeCell ref="I290:I296"/>
    <mergeCell ref="I274:I275"/>
    <mergeCell ref="F327:F328"/>
    <mergeCell ref="E329:E332"/>
    <mergeCell ref="E320:E324"/>
    <mergeCell ref="F283:F284"/>
    <mergeCell ref="F344:F346"/>
    <mergeCell ref="E313:E314"/>
    <mergeCell ref="E300:E301"/>
    <mergeCell ref="E334:E343"/>
    <mergeCell ref="F334:F343"/>
    <mergeCell ref="F407:F408"/>
    <mergeCell ref="E269:E270"/>
    <mergeCell ref="F269:F270"/>
    <mergeCell ref="G285:G288"/>
    <mergeCell ref="I320:I324"/>
    <mergeCell ref="I303:I310"/>
    <mergeCell ref="I315:I316"/>
    <mergeCell ref="G315:G316"/>
    <mergeCell ref="C320:C324"/>
    <mergeCell ref="B320:B324"/>
    <mergeCell ref="C278:C282"/>
    <mergeCell ref="C274:C276"/>
    <mergeCell ref="B274:B276"/>
    <mergeCell ref="B278:B284"/>
    <mergeCell ref="C283:C284"/>
    <mergeCell ref="B311:B316"/>
    <mergeCell ref="C315:C316"/>
    <mergeCell ref="B317:B318"/>
    <mergeCell ref="C287:C288"/>
    <mergeCell ref="C267:C270"/>
    <mergeCell ref="B298:B302"/>
    <mergeCell ref="C298:C302"/>
    <mergeCell ref="B290:B296"/>
    <mergeCell ref="C290:C296"/>
    <mergeCell ref="B303:B310"/>
    <mergeCell ref="C303:C310"/>
    <mergeCell ref="C311:C314"/>
    <mergeCell ref="C234:C265"/>
    <mergeCell ref="B285:B289"/>
    <mergeCell ref="B234:B265"/>
    <mergeCell ref="B267:B273"/>
    <mergeCell ref="C271:C273"/>
    <mergeCell ref="J334:J343"/>
    <mergeCell ref="I344:I346"/>
    <mergeCell ref="G345:G346"/>
    <mergeCell ref="F329:F332"/>
    <mergeCell ref="G329:G332"/>
    <mergeCell ref="F383:F387"/>
    <mergeCell ref="I359:I375"/>
    <mergeCell ref="AB239:AB241"/>
    <mergeCell ref="AC239:AC241"/>
    <mergeCell ref="I379:I381"/>
    <mergeCell ref="R245:S245"/>
    <mergeCell ref="T245:U245"/>
    <mergeCell ref="R242:S242"/>
    <mergeCell ref="T242:U242"/>
    <mergeCell ref="J320:J324"/>
    <mergeCell ref="J274:J275"/>
    <mergeCell ref="I383:I387"/>
    <mergeCell ref="G352:G358"/>
    <mergeCell ref="F315:F316"/>
    <mergeCell ref="G298:G299"/>
    <mergeCell ref="F274:F275"/>
    <mergeCell ref="F290:F296"/>
    <mergeCell ref="G274:G275"/>
    <mergeCell ref="F285:F288"/>
    <mergeCell ref="D303:D319"/>
    <mergeCell ref="F347:F348"/>
    <mergeCell ref="E344:E346"/>
    <mergeCell ref="D290:D302"/>
    <mergeCell ref="E271:E272"/>
    <mergeCell ref="E350:E351"/>
    <mergeCell ref="E290:E296"/>
    <mergeCell ref="E285:E288"/>
    <mergeCell ref="G193:G201"/>
    <mergeCell ref="G249:G250"/>
    <mergeCell ref="F202:F219"/>
  </mergeCells>
  <conditionalFormatting sqref="Q489">
    <cfRule type="colorScale" priority="627">
      <colorScale>
        <cfvo type="num" val="50"/>
        <cfvo type="num" val="70"/>
        <cfvo type="num" val="90"/>
        <color rgb="FFF8696B"/>
        <color rgb="FFFFEB84"/>
        <color rgb="FF63BE7B"/>
      </colorScale>
    </cfRule>
    <cfRule type="colorScale" priority="628">
      <colorScale>
        <cfvo type="min"/>
        <cfvo type="percentile" val="50"/>
        <cfvo type="max"/>
        <color rgb="FFF8696B"/>
        <color rgb="FFFFEB84"/>
        <color rgb="FF63BE7B"/>
      </colorScale>
    </cfRule>
  </conditionalFormatting>
  <conditionalFormatting sqref="R489">
    <cfRule type="colorScale" priority="604">
      <colorScale>
        <cfvo type="num" val="50"/>
        <cfvo type="num" val="70"/>
        <cfvo type="num" val="90"/>
        <color rgb="FFF8696B"/>
        <color rgb="FFFFEB84"/>
        <color rgb="FF63BE7B"/>
      </colorScale>
    </cfRule>
    <cfRule type="colorScale" priority="605">
      <colorScale>
        <cfvo type="min"/>
        <cfvo type="percentile" val="50"/>
        <cfvo type="max"/>
        <color rgb="FFF8696B"/>
        <color rgb="FFFFEB84"/>
        <color rgb="FF63BE7B"/>
      </colorScale>
    </cfRule>
  </conditionalFormatting>
  <conditionalFormatting sqref="X8:X14">
    <cfRule type="iconSet" priority="558">
      <iconSet iconSet="3Symbols">
        <cfvo type="percent" val="0"/>
        <cfvo type="percent" val="33"/>
        <cfvo type="percent" val="67"/>
      </iconSet>
    </cfRule>
  </conditionalFormatting>
  <conditionalFormatting sqref="Q382">
    <cfRule type="colorScale" priority="417">
      <colorScale>
        <cfvo type="num" val="50"/>
        <cfvo type="num" val="70"/>
        <cfvo type="num" val="90"/>
        <color rgb="FFF8696B"/>
        <color rgb="FFFFEB84"/>
        <color rgb="FF63BE7B"/>
      </colorScale>
    </cfRule>
    <cfRule type="colorScale" priority="418">
      <colorScale>
        <cfvo type="min"/>
        <cfvo type="percentile" val="50"/>
        <cfvo type="max"/>
        <color rgb="FFF8696B"/>
        <color rgb="FFFFEB84"/>
        <color rgb="FF63BE7B"/>
      </colorScale>
    </cfRule>
  </conditionalFormatting>
  <conditionalFormatting sqref="R382">
    <cfRule type="colorScale" priority="415">
      <colorScale>
        <cfvo type="num" val="50"/>
        <cfvo type="num" val="70"/>
        <cfvo type="num" val="90"/>
        <color rgb="FFF8696B"/>
        <color rgb="FFFFEB84"/>
        <color rgb="FF63BE7B"/>
      </colorScale>
    </cfRule>
    <cfRule type="colorScale" priority="416">
      <colorScale>
        <cfvo type="min"/>
        <cfvo type="percentile" val="50"/>
        <cfvo type="max"/>
        <color rgb="FFF8696B"/>
        <color rgb="FFFFEB84"/>
        <color rgb="FF63BE7B"/>
      </colorScale>
    </cfRule>
  </conditionalFormatting>
  <conditionalFormatting sqref="Q227">
    <cfRule type="colorScale" priority="413">
      <colorScale>
        <cfvo type="num" val="50"/>
        <cfvo type="num" val="70"/>
        <cfvo type="num" val="90"/>
        <color rgb="FFF8696B"/>
        <color rgb="FFFFEB84"/>
        <color rgb="FF63BE7B"/>
      </colorScale>
    </cfRule>
    <cfRule type="colorScale" priority="414">
      <colorScale>
        <cfvo type="min"/>
        <cfvo type="percentile" val="50"/>
        <cfvo type="max"/>
        <color rgb="FFF8696B"/>
        <color rgb="FFFFEB84"/>
        <color rgb="FF63BE7B"/>
      </colorScale>
    </cfRule>
  </conditionalFormatting>
  <conditionalFormatting sqref="R227">
    <cfRule type="colorScale" priority="411">
      <colorScale>
        <cfvo type="num" val="50"/>
        <cfvo type="num" val="70"/>
        <cfvo type="num" val="90"/>
        <color rgb="FFF8696B"/>
        <color rgb="FFFFEB84"/>
        <color rgb="FF63BE7B"/>
      </colorScale>
    </cfRule>
    <cfRule type="colorScale" priority="412">
      <colorScale>
        <cfvo type="min"/>
        <cfvo type="percentile" val="50"/>
        <cfvo type="max"/>
        <color rgb="FFF8696B"/>
        <color rgb="FFFFEB84"/>
        <color rgb="FF63BE7B"/>
      </colorScale>
    </cfRule>
  </conditionalFormatting>
  <conditionalFormatting sqref="Y255">
    <cfRule type="iconSet" priority="29">
      <iconSet iconSet="3Symbols" showValue="0">
        <cfvo type="percent" val="0"/>
        <cfvo type="num" val="65"/>
        <cfvo type="num" val="90"/>
      </iconSet>
    </cfRule>
  </conditionalFormatting>
  <conditionalFormatting sqref="Y256">
    <cfRule type="iconSet" priority="28">
      <iconSet iconSet="3Symbols" showValue="0">
        <cfvo type="percent" val="0"/>
        <cfvo type="num" val="65"/>
        <cfvo type="num" val="90"/>
      </iconSet>
    </cfRule>
  </conditionalFormatting>
  <conditionalFormatting sqref="Y257">
    <cfRule type="iconSet" priority="27">
      <iconSet iconSet="3Symbols" showValue="0">
        <cfvo type="percent" val="0"/>
        <cfvo type="num" val="65"/>
        <cfvo type="num" val="90"/>
      </iconSet>
    </cfRule>
  </conditionalFormatting>
  <conditionalFormatting sqref="Y258">
    <cfRule type="iconSet" priority="26">
      <iconSet iconSet="3Symbols" showValue="0">
        <cfvo type="percent" val="0"/>
        <cfvo type="num" val="65"/>
        <cfvo type="num" val="90"/>
      </iconSet>
    </cfRule>
  </conditionalFormatting>
  <conditionalFormatting sqref="W227">
    <cfRule type="colorScale" priority="24">
      <colorScale>
        <cfvo type="num" val="50"/>
        <cfvo type="num" val="70"/>
        <cfvo type="num" val="90"/>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Q108">
    <cfRule type="colorScale" priority="22">
      <colorScale>
        <cfvo type="num" val="50"/>
        <cfvo type="num" val="70"/>
        <cfvo type="num" val="90"/>
        <color rgb="FFF8696B"/>
        <color rgb="FFFFEB84"/>
        <color rgb="FF63BE7B"/>
      </colorScale>
    </cfRule>
    <cfRule type="colorScale" priority="23">
      <colorScale>
        <cfvo type="min"/>
        <cfvo type="percentile" val="50"/>
        <cfvo type="max"/>
        <color rgb="FFF8696B"/>
        <color rgb="FFFFEB84"/>
        <color rgb="FF63BE7B"/>
      </colorScale>
    </cfRule>
  </conditionalFormatting>
  <conditionalFormatting sqref="R108">
    <cfRule type="colorScale" priority="20">
      <colorScale>
        <cfvo type="num" val="50"/>
        <cfvo type="num" val="70"/>
        <cfvo type="num" val="90"/>
        <color rgb="FFF8696B"/>
        <color rgb="FFFFEB84"/>
        <color rgb="FF63BE7B"/>
      </colorScale>
    </cfRule>
    <cfRule type="colorScale" priority="21">
      <colorScale>
        <cfvo type="min"/>
        <cfvo type="percentile" val="50"/>
        <cfvo type="max"/>
        <color rgb="FFF8696B"/>
        <color rgb="FFFFEB84"/>
        <color rgb="FF63BE7B"/>
      </colorScale>
    </cfRule>
  </conditionalFormatting>
  <conditionalFormatting sqref="W108">
    <cfRule type="colorScale" priority="18">
      <colorScale>
        <cfvo type="num" val="50"/>
        <cfvo type="num" val="70"/>
        <cfvo type="num" val="90"/>
        <color rgb="FFF8696B"/>
        <color rgb="FFFFEB84"/>
        <color rgb="FF63BE7B"/>
      </colorScale>
    </cfRule>
    <cfRule type="colorScale" priority="19">
      <colorScale>
        <cfvo type="min"/>
        <cfvo type="percentile" val="50"/>
        <cfvo type="max"/>
        <color rgb="FFF8696B"/>
        <color rgb="FFFFEB84"/>
        <color rgb="FF63BE7B"/>
      </colorScale>
    </cfRule>
  </conditionalFormatting>
  <conditionalFormatting sqref="W382">
    <cfRule type="colorScale" priority="16">
      <colorScale>
        <cfvo type="num" val="50"/>
        <cfvo type="num" val="70"/>
        <cfvo type="num" val="90"/>
        <color rgb="FFF8696B"/>
        <color rgb="FFFFEB84"/>
        <color rgb="FF63BE7B"/>
      </colorScale>
    </cfRule>
    <cfRule type="colorScale" priority="17">
      <colorScale>
        <cfvo type="min"/>
        <cfvo type="percentile" val="50"/>
        <cfvo type="max"/>
        <color rgb="FFF8696B"/>
        <color rgb="FFFFEB84"/>
        <color rgb="FF63BE7B"/>
      </colorScale>
    </cfRule>
  </conditionalFormatting>
  <conditionalFormatting sqref="W489">
    <cfRule type="colorScale" priority="14">
      <colorScale>
        <cfvo type="num" val="50"/>
        <cfvo type="num" val="70"/>
        <cfvo type="num" val="90"/>
        <color rgb="FFF8696B"/>
        <color rgb="FFFFEB84"/>
        <color rgb="FF63BE7B"/>
      </colorScale>
    </cfRule>
    <cfRule type="colorScale" priority="15">
      <colorScale>
        <cfvo type="min"/>
        <cfvo type="percentile" val="50"/>
        <cfvo type="max"/>
        <color rgb="FFF8696B"/>
        <color rgb="FFFFEB84"/>
        <color rgb="FF63BE7B"/>
      </colorScale>
    </cfRule>
  </conditionalFormatting>
  <conditionalFormatting sqref="AB8:AB14">
    <cfRule type="iconSet" priority="11">
      <iconSet iconSet="3Symbols">
        <cfvo type="percent" val="0"/>
        <cfvo type="percent" val="33"/>
        <cfvo type="percent" val="67"/>
      </iconSet>
    </cfRule>
  </conditionalFormatting>
  <conditionalFormatting sqref="AA108">
    <cfRule type="colorScale" priority="7">
      <colorScale>
        <cfvo type="num" val="50"/>
        <cfvo type="num" val="70"/>
        <cfvo type="num" val="90"/>
        <color rgb="FFF8696B"/>
        <color rgb="FFFFEB84"/>
        <color rgb="FF63BE7B"/>
      </colorScale>
    </cfRule>
    <cfRule type="colorScale" priority="8">
      <colorScale>
        <cfvo type="min"/>
        <cfvo type="percentile" val="50"/>
        <cfvo type="max"/>
        <color rgb="FFF8696B"/>
        <color rgb="FFFFEB84"/>
        <color rgb="FF63BE7B"/>
      </colorScale>
    </cfRule>
  </conditionalFormatting>
  <conditionalFormatting sqref="AA227">
    <cfRule type="colorScale" priority="5">
      <colorScale>
        <cfvo type="num" val="50"/>
        <cfvo type="num" val="70"/>
        <cfvo type="num" val="90"/>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AA382">
    <cfRule type="colorScale" priority="3">
      <colorScale>
        <cfvo type="num" val="50"/>
        <cfvo type="num" val="70"/>
        <cfvo type="num" val="90"/>
        <color rgb="FFF8696B"/>
        <color rgb="FFFFEB84"/>
        <color rgb="FF63BE7B"/>
      </colorScale>
    </cfRule>
    <cfRule type="colorScale" priority="4">
      <colorScale>
        <cfvo type="min"/>
        <cfvo type="percentile" val="50"/>
        <cfvo type="max"/>
        <color rgb="FFF8696B"/>
        <color rgb="FFFFEB84"/>
        <color rgb="FF63BE7B"/>
      </colorScale>
    </cfRule>
  </conditionalFormatting>
  <conditionalFormatting sqref="AA489">
    <cfRule type="colorScale" priority="1">
      <colorScale>
        <cfvo type="num" val="50"/>
        <cfvo type="num" val="70"/>
        <cfvo type="num" val="90"/>
        <color rgb="FFF8696B"/>
        <color rgb="FFFFEB84"/>
        <color rgb="FF63BE7B"/>
      </colorScale>
    </cfRule>
    <cfRule type="colorScale" priority="2">
      <colorScale>
        <cfvo type="min"/>
        <cfvo type="percentile" val="50"/>
        <cfvo type="max"/>
        <color rgb="FFF8696B"/>
        <color rgb="FFFFEB84"/>
        <color rgb="FF63BE7B"/>
      </colorScale>
    </cfRule>
  </conditionalFormatting>
  <dataValidations disablePrompts="1" count="1">
    <dataValidation type="list" allowBlank="1" showInputMessage="1" showErrorMessage="1" sqref="G8 G17:G18">
      <formula1>ETAPAS</formula1>
    </dataValidation>
  </dataValidations>
  <hyperlinks>
    <hyperlink ref="Y45" r:id="rId1"/>
    <hyperlink ref="Y8" r:id="rId2"/>
    <hyperlink ref="Y9" r:id="rId3" display="https://www.etitc.edu.co/archives/infoderechosautor21.pdf"/>
    <hyperlink ref="Y10" r:id="rId4" display="https://www.etitc.edu.co/archives/informeausteridad26.pdf"/>
    <hyperlink ref="Y11" r:id="rId5"/>
    <hyperlink ref="Y13" r:id="rId6"/>
    <hyperlink ref="Y107" r:id="rId7"/>
    <hyperlink ref="Y319" r:id="rId8"/>
    <hyperlink ref="Y318" r:id="rId9"/>
    <hyperlink ref="Y317" r:id="rId10"/>
    <hyperlink ref="Y314" r:id="rId11"/>
    <hyperlink ref="Y313" r:id="rId12"/>
    <hyperlink ref="Y312" r:id="rId13"/>
    <hyperlink ref="Y311" r:id="rId14"/>
    <hyperlink ref="Y310" r:id="rId15"/>
    <hyperlink ref="Y309" r:id="rId16"/>
    <hyperlink ref="Y308" r:id="rId17"/>
    <hyperlink ref="Y307" r:id="rId18"/>
    <hyperlink ref="Y306" r:id="rId19"/>
    <hyperlink ref="Y305" r:id="rId20"/>
    <hyperlink ref="Y304" r:id="rId21"/>
    <hyperlink ref="Y303" r:id="rId22"/>
    <hyperlink ref="Y167" display="https://itceduco-my.sharepoint.com/personal/arquitectura_itc_edu_co/_layouts/15/onedrive.aspx?id=%2Fpersonal%2Farquitectura%5Fitc%5Fedu%5Fco%2FDocuments%2FPLANTA%20F%C3%8DSICA%2F3%2E%202022%2F2%2E%20Planeaci%C3%B3n%202022%2FPLAN%20DE%20ACCI%C3%93N%202022&amp;"/>
    <hyperlink ref="Y166" display="https://itceduco-my.sharepoint.com/personal/arquitectura_itc_edu_co/_layouts/15/onedrive.aspx?id=%2Fpersonal%2Farquitectura%5Fitc%5Fedu%5Fco%2FDocuments%2FPLANTA%20F%C3%8DSICA%2F3%2E%202022%2F2%2E%20Planeaci%C3%B3n%202022%2FPLAN%20DE%20ACCI%C3%93N%202022&amp;"/>
    <hyperlink ref="Y163" display="https://itceduco-my.sharepoint.com/personal/arquitectura_itc_edu_co/_layouts/15/onedrive.aspx?id=%2Fpersonal%2Farquitectura%5Fitc%5Fedu%5Fco%2FDocuments%2FPLANTA%20F%C3%8DSICA%2F3%2E%202022%2F2%2E%20Planeaci%C3%B3n%202022%2FPLAN%20DE%20ACCI%C3%93N%202022&amp;"/>
    <hyperlink ref="Y161" display="https://itceduco-my.sharepoint.com/personal/arquitectura_itc_edu_co/_layouts/15/onedrive.aspx?id=%2Fpersonal%2Farquitectura%5Fitc%5Fedu%5Fco%2FDocuments%2FPLANTA%20F%C3%8DSICA%2F3%2E%202022%2F2%2E%20Planeaci%C3%B3n%202022%2FPLAN%20DE%20ACCI%C3%93N%202022&amp;"/>
    <hyperlink ref="Y160" display="https://itceduco-my.sharepoint.com/personal/arquitectura_itc_edu_co/_layouts/15/onedrive.aspx?id=%2Fpersonal%2Farquitectura%5Fitc%5Fedu%5Fco%2FDocuments%2FPLANTA%20F%C3%8DSICA%2F3%2E%202022%2F2%2E%20Planeaci%C3%B3n%202022%2FPLAN%20DE%20ACCI%C3%93N%202022&amp;"/>
    <hyperlink ref="Y159" display="https://itceduco-my.sharepoint.com/personal/arquitectura_itc_edu_co/_layouts/15/onedrive.aspx?id=%2Fpersonal%2Farquitectura%5Fitc%5Fedu%5Fco%2FDocuments%2FPLANTA%20F%C3%8DSICA%2F3%2E%202022%2F2%2E%20Planeaci%C3%B3n%202022%2FPLAN%20DE%20ACCI%C3%93N%202022&amp;"/>
    <hyperlink ref="Y156" display="https://itceduco-my.sharepoint.com/personal/arquitectura_itc_edu_co/_layouts/15/onedrive.aspx?id=%2Fpersonal%2Farquitectura%5Fitc%5Fedu%5Fco%2FDocuments%2FPLANTA%20F%C3%8DSICA%2F3%2E%202022%2F2%2E%20Planeaci%C3%B3n%202022%2FPLAN%20DE%20ACCI%C3%93N%202022&amp;"/>
    <hyperlink ref="Y155" display="https://itceduco-my.sharepoint.com/personal/arquitectura_itc_edu_co/_layouts/15/onedrive.aspx?id=%2Fpersonal%2Farquitectura%5Fitc%5Fedu%5Fco%2FDocuments%2FPLANTA%20F%C3%8DSICA%2F3%2E%202022%2F2%2E%20Planeaci%C3%B3n%202022%2FPLAN%20DE%20ACCI%C3%93N%202022&amp;"/>
    <hyperlink ref="Y153" display="https://itceduco-my.sharepoint.com/personal/arquitectura_itc_edu_co/_layouts/15/onedrive.aspx?id=%2Fpersonal%2Farquitectura%5Fitc%5Fedu%5Fco%2FDocuments%2FPLANTA%20F%C3%8DSICA%2F3%2E%202022%2F2%2E%20Planeaci%C3%B3n%202022%2FPLAN%20DE%20ACCI%C3%93N%202022&amp;"/>
    <hyperlink ref="Y151" display="https://itceduco-my.sharepoint.com/personal/arquitectura_itc_edu_co/_layouts/15/onedrive.aspx?id=%2Fpersonal%2Farquitectura%5Fitc%5Fedu%5Fco%2FDocuments%2FPLANTA%20F%C3%8DSICA%2F3%2E%202022%2F2%2E%20Planeaci%C3%B3n%202022%2FPLAN%20DE%20ACCI%C3%93N%202022&amp;"/>
    <hyperlink ref="Y145" display="https://itceduco-my.sharepoint.com/personal/arquitectura_itc_edu_co/_layouts/15/onedrive.aspx?id=%2Fpersonal%2Farquitectura%5Fitc%5Fedu%5Fco%2FDocuments%2FPLANTA%20F%C3%8DSICA%2F3%2E%202022%2F2%2E%20Planeaci%C3%B3n%202022%2FPLAN%20DE%20ACCI%C3%93N%202022&amp;"/>
    <hyperlink ref="Y144" display="https://itceduco-my.sharepoint.com/personal/arquitectura_itc_edu_co/_layouts/15/onedrive.aspx?id=%2Fpersonal%2Farquitectura%5Fitc%5Fedu%5Fco%2FDocuments%2FPLANTA%20F%C3%8DSICA%2F3%2E%202022%2F2%2E%20Planeaci%C3%B3n%202022%2FPLAN%20DE%20ACCI%C3%93N%202022&amp;"/>
    <hyperlink ref="Y143" display="https://itceduco-my.sharepoint.com/personal/arquitectura_itc_edu_co/_layouts/15/onedrive.aspx?id=%2Fpersonal%2Farquitectura%5Fitc%5Fedu%5Fco%2FDocuments%2FPLANTA%20F%C3%8DSICA%2F3%2E%202022%2F2%2E%20Planeaci%C3%B3n%202022%2FPLAN%20DE%20ACCI%C3%93N%202022&amp;"/>
    <hyperlink ref="Y141" display="https://itceduco-my.sharepoint.com/personal/arquitectura_itc_edu_co/_layouts/15/onedrive.aspx?id=%2Fpersonal%2Farquitectura%5Fitc%5Fedu%5Fco%2FDocuments%2FPLANTA%20F%C3%8DSICA%2F3%2E%202022%2F2%2E%20Planeaci%C3%B3n%202022%2FPLAN%20DE%20ACCI%C3%93N%202022&amp;"/>
    <hyperlink ref="Y139" display="https://itceduco-my.sharepoint.com/personal/arquitectura_itc_edu_co/_layouts/15/onedrive.aspx?id=%2Fpersonal%2Farquitectura%5Fitc%5Fedu%5Fco%2FDocuments%2FPLANTA%20F%C3%8DSICA%2F3%2E%202022%2F2%2E%20Planeaci%C3%B3n%202022%2FPLAN%20DE%20ACCI%C3%93N%202022&amp;"/>
    <hyperlink ref="Y137" display="https://itceduco-my.sharepoint.com/personal/arquitectura_itc_edu_co/_layouts/15/onedrive.aspx?id=%2Fpersonal%2Farquitectura%5Fitc%5Fedu%5Fco%2FDocuments%2FPLANTA%20F%C3%8DSICA%2F3%2E%202022%2F2%2E%20Planeaci%C3%B3n%202022%2FPLAN%20DE%20ACCI%C3%93N%202022&amp;"/>
    <hyperlink ref="Y136" display="https://itceduco-my.sharepoint.com/personal/arquitectura_itc_edu_co/_layouts/15/onedrive.aspx?id=%2Fpersonal%2Farquitectura%5Fitc%5Fedu%5Fco%2FDocuments%2FPLANTA%20F%C3%8DSICA%2F3%2E%202022%2F2%2E%20Planeaci%C3%B3n%202022%2FPLAN%20DE%20ACCI%C3%93N%202022&amp;"/>
    <hyperlink ref="Y135" display="https://itceduco-my.sharepoint.com/personal/arquitectura_itc_edu_co/_layouts/15/onedrive.aspx?id=%2Fpersonal%2Farquitectura%5Fitc%5Fedu%5Fco%2FDocuments%2FPLANTA%20F%C3%8DSICA%2F3%2E%202022%2F2%2E%20Planeaci%C3%B3n%202022%2FPLAN%20DE%20ACCI%C3%93N%202022&amp;"/>
    <hyperlink ref="Y133" display="https://itceduco-my.sharepoint.com/personal/arquitectura_itc_edu_co/_layouts/15/onedrive.aspx?id=%2Fpersonal%2Farquitectura%5Fitc%5Fedu%5Fco%2FDocuments%2FPLANTA%20F%C3%8DSICA%2F3%2E%202022%2F2%2E%20Planeaci%C3%B3n%202022%2FPLAN%20DE%20ACCI%C3%93N%202022&amp;"/>
    <hyperlink ref="Y131" display="https://itceduco-my.sharepoint.com/personal/arquitectura_itc_edu_co/_layouts/15/onedrive.aspx?id=%2Fpersonal%2Farquitectura%5Fitc%5Fedu%5Fco%2FDocuments%2FPLANTA%20F%C3%8DSICA%2F3%2E%202022%2F2%2E%20Planeaci%C3%B3n%202022%2FPLAN%20DE%20ACCI%C3%93N%202022&amp;"/>
    <hyperlink ref="Y129" display="https://itceduco-my.sharepoint.com/personal/arquitectura_itc_edu_co/_layouts/15/onedrive.aspx?id=%2Fpersonal%2Farquitectura%5Fitc%5Fedu%5Fco%2FDocuments%2FPLANTA%20F%C3%8DSICA%2F3%2E%202022%2F2%2E%20Planeaci%C3%B3n%202022%2FPLAN%20DE%20ACCI%C3%93N%202022&amp;"/>
    <hyperlink ref="Y128" display="https://itceduco-my.sharepoint.com/personal/arquitectura_itc_edu_co/_layouts/15/onedrive.aspx?id=%2Fpersonal%2Farquitectura%5Fitc%5Fedu%5Fco%2FDocuments%2FPLANTA%20F%C3%8DSICA%2F3%2E%202022%2F2%2E%20Planeaci%C3%B3n%202022%2FPLAN%20DE%20ACCI%C3%93N%202022&amp;"/>
    <hyperlink ref="Y126" display="https://itceduco-my.sharepoint.com/personal/arquitectura_itc_edu_co/_layouts/15/onedrive.aspx?id=%2Fpersonal%2Farquitectura%5Fitc%5Fedu%5Fco%2FDocuments%2FPLANTA%20F%C3%8DSICA%2F3%2E%202022%2F2%2E%20Planeaci%C3%B3n%202022%2FPLAN%20DE%20ACCI%C3%93N%202022&amp;"/>
    <hyperlink ref="Y453" r:id="rId23"/>
    <hyperlink ref="Y456" r:id="rId24"/>
    <hyperlink ref="Y405" r:id="rId25"/>
    <hyperlink ref="Y32" r:id="rId26"/>
    <hyperlink ref="Y234" r:id="rId27"/>
    <hyperlink ref="Y235" r:id="rId28"/>
    <hyperlink ref="Y238" r:id="rId29"/>
    <hyperlink ref="Y243" r:id="rId30"/>
    <hyperlink ref="Y244" r:id="rId31"/>
    <hyperlink ref="Y245" r:id="rId32"/>
    <hyperlink ref="Y242" r:id="rId33"/>
    <hyperlink ref="Y246" r:id="rId34"/>
    <hyperlink ref="Y248" r:id="rId35"/>
    <hyperlink ref="Y249" r:id="rId36"/>
    <hyperlink ref="Y255" r:id="rId37"/>
    <hyperlink ref="Y264" r:id="rId38"/>
    <hyperlink ref="Y263" r:id="rId39"/>
    <hyperlink ref="Y262" r:id="rId40"/>
    <hyperlink ref="Y265" r:id="rId41"/>
    <hyperlink ref="Y266" r:id="rId42"/>
    <hyperlink ref="Y259" r:id="rId43"/>
    <hyperlink ref="Y261" r:id="rId44"/>
    <hyperlink ref="Y236" r:id="rId45"/>
    <hyperlink ref="Y237" r:id="rId46"/>
    <hyperlink ref="Y256" r:id="rId47"/>
    <hyperlink ref="Y257" r:id="rId48"/>
    <hyperlink ref="Y258" r:id="rId49"/>
    <hyperlink ref="AC45" r:id="rId50"/>
    <hyperlink ref="AC41" r:id="rId51"/>
    <hyperlink ref="AC234" r:id="rId52"/>
    <hyperlink ref="AC236" r:id="rId53"/>
    <hyperlink ref="AC238" r:id="rId54"/>
    <hyperlink ref="AC237" r:id="rId55"/>
    <hyperlink ref="AC239" r:id="rId56"/>
    <hyperlink ref="AC242" r:id="rId57"/>
    <hyperlink ref="AC243" r:id="rId58"/>
    <hyperlink ref="AC247" r:id="rId59"/>
    <hyperlink ref="AC248" r:id="rId60"/>
    <hyperlink ref="AC249" r:id="rId61"/>
    <hyperlink ref="AC251" r:id="rId62"/>
    <hyperlink ref="AC252" r:id="rId63"/>
    <hyperlink ref="AC253" r:id="rId64"/>
    <hyperlink ref="AC254" r:id="rId65"/>
    <hyperlink ref="AC255" r:id="rId66"/>
    <hyperlink ref="AC257" r:id="rId67"/>
    <hyperlink ref="AC262" r:id="rId68"/>
    <hyperlink ref="AC263" r:id="rId69"/>
    <hyperlink ref="AC264" r:id="rId70"/>
    <hyperlink ref="AC265" r:id="rId71"/>
    <hyperlink ref="AC229" r:id="rId72"/>
    <hyperlink ref="AC8" r:id="rId73"/>
    <hyperlink ref="AC9" r:id="rId74" display="https://www.etitc.edu.co/archives/infoderechosautor21.pdf"/>
    <hyperlink ref="AC10" r:id="rId75" display="https://www.etitc.edu.co/archives/informeausteridad26.pdf"/>
    <hyperlink ref="AC11" r:id="rId76"/>
    <hyperlink ref="AC13" r:id="rId77"/>
    <hyperlink ref="AC24" r:id="rId78" display="https://etitc.edu.co/es/page/nosotros&amp;normatividad&amp;resoluciones"/>
    <hyperlink ref="AC27" display="https://itceduco-my.sharepoint.com/:p:/r/personal/asuntosdisciplinarios_itc_edu_co/_layouts/15/Doc.aspx?sourcedoc=%7B55CFDF4B-A7A2-4ED5-978A-168E9F7E21CB%7D&amp;file=Presentaci%C3%B3n%20Disciplinario%20y%20Protocolos%20docentes%20IBTI.pptx&amp;action=edit&amp;mobiler"/>
    <hyperlink ref="AC26" r:id="rId79"/>
    <hyperlink ref="AC30" r:id="rId80"/>
    <hyperlink ref="AC29" r:id="rId81"/>
    <hyperlink ref="AC34" r:id="rId82" display="https://www.etitc.edu.co/archives/indicadorgestionmar22.xlsx"/>
    <hyperlink ref="AC33" r:id="rId83"/>
    <hyperlink ref="AC49" r:id="rId84"/>
    <hyperlink ref="AC169" r:id="rId85"/>
    <hyperlink ref="AC177" r:id="rId86"/>
    <hyperlink ref="AC394" r:id="rId87"/>
  </hyperlinks>
  <printOptions gridLinesSet="0"/>
  <pageMargins left="0.75" right="0.75" top="1" bottom="1" header="0.5" footer="0.5"/>
  <pageSetup fitToWidth="0" fitToHeight="0" orientation="portrait" r:id="rId88"/>
  <headerFooter alignWithMargins="0"/>
  <drawing r:id="rId89"/>
  <legacyDrawing r:id="rId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2"/>
  <sheetViews>
    <sheetView zoomScale="85" zoomScaleNormal="85" workbookViewId="0">
      <selection activeCell="C8" sqref="C8"/>
    </sheetView>
  </sheetViews>
  <sheetFormatPr baseColWidth="10" defaultColWidth="11.42578125" defaultRowHeight="12.75" x14ac:dyDescent="0.2"/>
  <cols>
    <col min="1" max="1" width="2.7109375" style="18" customWidth="1"/>
    <col min="2" max="4" width="20.85546875" style="18" customWidth="1"/>
    <col min="5" max="5" width="14.140625" style="18" customWidth="1"/>
    <col min="6" max="6" width="9.140625" style="18" customWidth="1"/>
    <col min="7" max="8" width="11.42578125" style="18"/>
    <col min="9" max="10" width="13.5703125" style="18" customWidth="1"/>
    <col min="11" max="11" width="14.28515625" style="18" customWidth="1"/>
    <col min="12" max="12" width="14.85546875" style="18" customWidth="1"/>
    <col min="13" max="13" width="11.42578125" style="18"/>
    <col min="14" max="15" width="16.28515625" style="18" customWidth="1"/>
    <col min="16" max="18" width="11.42578125" style="18"/>
    <col min="19" max="19" width="22.5703125" style="175" customWidth="1"/>
    <col min="20" max="20" width="18" style="18" customWidth="1"/>
    <col min="21" max="21" width="11.42578125" style="384"/>
    <col min="22" max="16384" width="11.42578125" style="18"/>
  </cols>
  <sheetData>
    <row r="1" spans="2:21" ht="81.75" customHeight="1" thickBot="1" x14ac:dyDescent="0.25">
      <c r="B1" s="819" t="s">
        <v>1930</v>
      </c>
      <c r="C1" s="820"/>
      <c r="D1" s="820"/>
      <c r="E1" s="820"/>
      <c r="M1" s="819" t="s">
        <v>1931</v>
      </c>
      <c r="N1" s="820"/>
      <c r="O1" s="820"/>
      <c r="P1" s="820"/>
      <c r="R1" s="177" t="s">
        <v>1932</v>
      </c>
      <c r="S1" s="818" t="s">
        <v>1933</v>
      </c>
      <c r="T1" s="818"/>
      <c r="U1" s="818"/>
    </row>
    <row r="2" spans="2:21" ht="45" customHeight="1" x14ac:dyDescent="0.2">
      <c r="B2" s="177" t="s">
        <v>1934</v>
      </c>
      <c r="C2" s="178" t="s">
        <v>1935</v>
      </c>
      <c r="D2" s="177" t="s">
        <v>1934</v>
      </c>
      <c r="E2" s="177" t="s">
        <v>1936</v>
      </c>
      <c r="G2" s="821" t="s">
        <v>1937</v>
      </c>
      <c r="H2" s="822"/>
      <c r="I2" s="822"/>
      <c r="J2" s="822"/>
      <c r="K2" s="823"/>
      <c r="M2" s="177" t="s">
        <v>1934</v>
      </c>
      <c r="N2" s="178" t="s">
        <v>1935</v>
      </c>
      <c r="O2" s="177" t="s">
        <v>1934</v>
      </c>
      <c r="P2" s="177" t="s">
        <v>1936</v>
      </c>
      <c r="R2" s="94"/>
      <c r="S2" s="177" t="s">
        <v>5</v>
      </c>
      <c r="T2" s="177" t="s">
        <v>1938</v>
      </c>
      <c r="U2" s="177" t="s">
        <v>1939</v>
      </c>
    </row>
    <row r="3" spans="2:21" ht="48.75" customHeight="1" x14ac:dyDescent="0.2">
      <c r="B3" s="453" t="s">
        <v>1940</v>
      </c>
      <c r="C3" s="180">
        <f>AVERAGE('LO INSTITUCIONAL'!Z40+'LO AMBIENTAL'!Z27)/2</f>
        <v>0.49257812499999992</v>
      </c>
      <c r="D3" s="453" t="s">
        <v>1940</v>
      </c>
      <c r="E3" s="179">
        <v>12</v>
      </c>
      <c r="H3" s="234" t="s">
        <v>1941</v>
      </c>
      <c r="I3" s="183" t="s">
        <v>1942</v>
      </c>
      <c r="J3" s="182" t="s">
        <v>1943</v>
      </c>
      <c r="K3" s="234" t="s">
        <v>1944</v>
      </c>
      <c r="M3" s="453" t="s">
        <v>1940</v>
      </c>
      <c r="N3" s="180">
        <f>'Plan de Acción 2022'!AA108</f>
        <v>0.40369999999999978</v>
      </c>
      <c r="O3" s="453" t="s">
        <v>1940</v>
      </c>
      <c r="P3" s="179"/>
      <c r="R3" s="824" t="s">
        <v>1945</v>
      </c>
      <c r="S3" s="393" t="s">
        <v>42</v>
      </c>
      <c r="T3" s="94">
        <v>7</v>
      </c>
      <c r="U3" s="394">
        <f>AVERAGE('Plan de Acción 2022'!W8:W14)</f>
        <v>0.21428571428571427</v>
      </c>
    </row>
    <row r="4" spans="2:21" ht="51.75" customHeight="1" x14ac:dyDescent="0.2">
      <c r="B4" s="461" t="s">
        <v>1946</v>
      </c>
      <c r="C4" s="180">
        <f>AVERAGE('LO INSTITUCIONAL'!Z42+'LO AMBIENTAL'!Z29)/2</f>
        <v>0.53424864561794805</v>
      </c>
      <c r="D4" s="461" t="s">
        <v>1946</v>
      </c>
      <c r="E4" s="179">
        <v>22</v>
      </c>
      <c r="H4" s="185">
        <f>'LO INSTITUCIONAL'!Z39</f>
        <v>0.1424282975715373</v>
      </c>
      <c r="I4" s="179">
        <v>13</v>
      </c>
      <c r="J4" s="184" t="s">
        <v>1947</v>
      </c>
      <c r="K4" s="235">
        <v>26</v>
      </c>
      <c r="M4" s="461" t="s">
        <v>1946</v>
      </c>
      <c r="N4" s="180">
        <f>'Plan de Acción 2022'!AA227</f>
        <v>0.36661016949152536</v>
      </c>
      <c r="O4" s="461" t="s">
        <v>1946</v>
      </c>
      <c r="P4" s="179"/>
      <c r="R4" s="824"/>
      <c r="S4" s="393" t="s">
        <v>74</v>
      </c>
      <c r="T4" s="94">
        <v>5</v>
      </c>
      <c r="U4" s="394">
        <f>AVERAGE('Plan de Acción 2022'!W15:W20)</f>
        <v>0.2</v>
      </c>
    </row>
    <row r="5" spans="2:21" ht="49.5" customHeight="1" x14ac:dyDescent="0.2">
      <c r="B5" s="461" t="s">
        <v>1948</v>
      </c>
      <c r="C5" s="180">
        <f>AVERAGE('LO INSTITUCIONAL'!Z41+'LO SOCIAL'!W34+'LO AMBIENTAL'!Z28)/3</f>
        <v>0.6365729533068375</v>
      </c>
      <c r="D5" s="461" t="s">
        <v>1948</v>
      </c>
      <c r="E5" s="179">
        <v>17</v>
      </c>
      <c r="H5" s="185">
        <f>'LO SOCIAL'!W33</f>
        <v>0.32468307936936208</v>
      </c>
      <c r="I5" s="179">
        <v>8</v>
      </c>
      <c r="J5" s="184" t="s">
        <v>1949</v>
      </c>
      <c r="K5" s="235">
        <v>23</v>
      </c>
      <c r="M5" s="461" t="s">
        <v>1948</v>
      </c>
      <c r="N5" s="180">
        <f>'Plan de Acción 2022'!AA382</f>
        <v>0.41322368421052608</v>
      </c>
      <c r="O5" s="461" t="s">
        <v>1948</v>
      </c>
      <c r="P5" s="179"/>
      <c r="R5" s="824"/>
      <c r="S5" s="393" t="s">
        <v>108</v>
      </c>
      <c r="T5" s="94">
        <v>3</v>
      </c>
      <c r="U5" s="394">
        <f>AVERAGE('Plan de Acción 2022'!W21:W23)</f>
        <v>0.25</v>
      </c>
    </row>
    <row r="6" spans="2:21" ht="48.75" customHeight="1" thickBot="1" x14ac:dyDescent="0.25">
      <c r="B6" s="461" t="s">
        <v>1950</v>
      </c>
      <c r="C6" s="180">
        <f>AVERAGE('LO SOCIAL'!W35)</f>
        <v>0.51023809523809527</v>
      </c>
      <c r="D6" s="461" t="s">
        <v>1950</v>
      </c>
      <c r="E6" s="179">
        <v>14</v>
      </c>
      <c r="H6" s="188">
        <f>'LO AMBIENTAL'!Z26</f>
        <v>0.16285984533984532</v>
      </c>
      <c r="I6" s="187">
        <v>6</v>
      </c>
      <c r="J6" s="186" t="s">
        <v>1951</v>
      </c>
      <c r="K6" s="236">
        <v>16</v>
      </c>
      <c r="M6" s="461" t="s">
        <v>1950</v>
      </c>
      <c r="N6" s="180">
        <f>'Plan de Acción 2022'!AA489</f>
        <v>0.40209523809523806</v>
      </c>
      <c r="O6" s="461" t="s">
        <v>1950</v>
      </c>
      <c r="P6" s="179"/>
      <c r="R6" s="824"/>
      <c r="S6" s="395" t="s">
        <v>125</v>
      </c>
      <c r="T6" s="396">
        <v>5</v>
      </c>
      <c r="U6" s="394">
        <f>AVERAGE('Plan de Acción 2022'!W24:W28)</f>
        <v>0.25</v>
      </c>
    </row>
    <row r="7" spans="2:21" ht="51.75" customHeight="1" x14ac:dyDescent="0.2">
      <c r="B7" s="461" t="s">
        <v>1952</v>
      </c>
      <c r="C7" s="218" t="s">
        <v>53</v>
      </c>
      <c r="D7" s="461" t="s">
        <v>1953</v>
      </c>
      <c r="E7" s="179">
        <v>6</v>
      </c>
      <c r="K7" s="18">
        <f>SUM(K4:K6)</f>
        <v>65</v>
      </c>
      <c r="N7" s="218"/>
      <c r="O7" s="461"/>
      <c r="P7" s="179"/>
      <c r="R7" s="824"/>
      <c r="S7" s="393" t="s">
        <v>146</v>
      </c>
      <c r="T7" s="94">
        <v>10</v>
      </c>
      <c r="U7" s="394">
        <f>AVERAGE('Plan de Acción 2022'!W29:W38)</f>
        <v>0.15</v>
      </c>
    </row>
    <row r="8" spans="2:21" ht="15.75" x14ac:dyDescent="0.25">
      <c r="B8" s="189" t="s">
        <v>1954</v>
      </c>
      <c r="C8" s="385">
        <f>AVERAGE(C3+C4+C5+C6)/4</f>
        <v>0.54340945479072023</v>
      </c>
      <c r="D8" s="191"/>
      <c r="E8" s="190">
        <f>SUM(E3:E7)</f>
        <v>71</v>
      </c>
      <c r="M8" s="189" t="s">
        <v>1954</v>
      </c>
      <c r="N8" s="385">
        <f>AVERAGE(N3+N4+N5+N6)/4</f>
        <v>0.39640727294932232</v>
      </c>
      <c r="O8" s="191"/>
      <c r="P8" s="190">
        <f>SUM(P3:P7)</f>
        <v>0</v>
      </c>
      <c r="R8" s="824"/>
      <c r="S8" s="393" t="s">
        <v>189</v>
      </c>
      <c r="T8" s="94">
        <v>5</v>
      </c>
      <c r="U8" s="394">
        <f>AVERAGE('Plan de Acción 2022'!W40:W45)</f>
        <v>0.20833333333333334</v>
      </c>
    </row>
    <row r="9" spans="2:21" ht="25.5" x14ac:dyDescent="0.2">
      <c r="C9" s="228"/>
      <c r="D9" s="228"/>
      <c r="R9" s="824"/>
      <c r="S9" s="393" t="s">
        <v>228</v>
      </c>
      <c r="T9" s="94">
        <v>8</v>
      </c>
      <c r="U9" s="394">
        <f>AVERAGE('Plan de Acción 2022'!W46:W53)</f>
        <v>0.26874999999999999</v>
      </c>
    </row>
    <row r="10" spans="2:21" ht="15.75" customHeight="1" x14ac:dyDescent="0.2">
      <c r="R10" s="824"/>
      <c r="S10" s="393" t="s">
        <v>257</v>
      </c>
      <c r="T10" s="94">
        <v>12</v>
      </c>
      <c r="U10" s="394">
        <f>AVERAGE('Plan de Acción 2022'!W54:W69)</f>
        <v>0.39200000000000002</v>
      </c>
    </row>
    <row r="11" spans="2:21" s="192" customFormat="1" x14ac:dyDescent="0.2">
      <c r="R11" s="824"/>
      <c r="S11" s="393" t="s">
        <v>309</v>
      </c>
      <c r="T11" s="397">
        <v>31</v>
      </c>
      <c r="U11" s="398">
        <f>AVERAGE('Plan de Acción 2022'!W70:W100)</f>
        <v>0.18870967741935485</v>
      </c>
    </row>
    <row r="12" spans="2:21" ht="25.5" x14ac:dyDescent="0.2">
      <c r="M12" s="229" t="s">
        <v>1955</v>
      </c>
      <c r="N12" s="229" t="s">
        <v>1956</v>
      </c>
      <c r="O12" s="237"/>
      <c r="R12" s="824"/>
      <c r="S12" s="393" t="s">
        <v>463</v>
      </c>
      <c r="T12" s="94">
        <v>7</v>
      </c>
      <c r="U12" s="394">
        <f>AVERAGE('Plan de Acción 2022'!W101:W107)</f>
        <v>0.21428571428571427</v>
      </c>
    </row>
    <row r="13" spans="2:21" ht="24.75" customHeight="1" x14ac:dyDescent="0.2">
      <c r="B13" s="229" t="s">
        <v>1955</v>
      </c>
      <c r="C13" s="229" t="s">
        <v>1956</v>
      </c>
      <c r="D13" s="237"/>
      <c r="M13" s="94">
        <v>10</v>
      </c>
      <c r="N13" s="94">
        <v>1</v>
      </c>
      <c r="R13" s="817" t="s">
        <v>1957</v>
      </c>
      <c r="S13" s="393" t="s">
        <v>499</v>
      </c>
      <c r="T13" s="94">
        <v>16</v>
      </c>
      <c r="U13" s="394">
        <f>AVERAGE('Plan de Acción 2022'!W109:W124)</f>
        <v>0.19062499999999996</v>
      </c>
    </row>
    <row r="14" spans="2:21" x14ac:dyDescent="0.2">
      <c r="B14" s="94">
        <v>10</v>
      </c>
      <c r="C14" s="94">
        <v>1</v>
      </c>
      <c r="M14" s="94">
        <v>20</v>
      </c>
      <c r="N14" s="94">
        <v>1</v>
      </c>
      <c r="R14" s="817"/>
      <c r="S14" s="393" t="s">
        <v>552</v>
      </c>
      <c r="T14" s="94">
        <v>37</v>
      </c>
      <c r="U14" s="394">
        <f>AVERAGE('Plan de Acción 2022'!W126:W167)</f>
        <v>0.19881951219512192</v>
      </c>
    </row>
    <row r="15" spans="2:21" x14ac:dyDescent="0.2">
      <c r="B15" s="94">
        <v>20</v>
      </c>
      <c r="C15" s="94">
        <v>1</v>
      </c>
      <c r="M15" s="94">
        <v>30</v>
      </c>
      <c r="N15" s="94">
        <v>1</v>
      </c>
      <c r="R15" s="817"/>
      <c r="S15" s="393" t="s">
        <v>720</v>
      </c>
      <c r="T15" s="94">
        <v>3</v>
      </c>
      <c r="U15" s="394">
        <f>AVERAGE('Plan de Acción 2022'!W168:W170)</f>
        <v>0.33333333333333331</v>
      </c>
    </row>
    <row r="16" spans="2:21" ht="25.5" x14ac:dyDescent="0.2">
      <c r="B16" s="94">
        <v>30</v>
      </c>
      <c r="C16" s="94">
        <v>1</v>
      </c>
      <c r="M16" s="94">
        <v>40</v>
      </c>
      <c r="N16" s="94">
        <v>1</v>
      </c>
      <c r="R16" s="817"/>
      <c r="S16" s="393" t="s">
        <v>736</v>
      </c>
      <c r="T16" s="94">
        <v>1</v>
      </c>
      <c r="U16" s="394">
        <f>'Plan de Acción 2022'!W171</f>
        <v>0</v>
      </c>
    </row>
    <row r="17" spans="1:21" ht="25.5" x14ac:dyDescent="0.2">
      <c r="B17" s="94">
        <v>40</v>
      </c>
      <c r="C17" s="94">
        <v>1</v>
      </c>
      <c r="M17" s="94">
        <v>50</v>
      </c>
      <c r="N17" s="94">
        <v>1</v>
      </c>
      <c r="R17" s="817"/>
      <c r="S17" s="393" t="s">
        <v>741</v>
      </c>
      <c r="T17" s="94">
        <v>5</v>
      </c>
      <c r="U17" s="399">
        <f>AVERAGE('Plan de Acción 2022'!W172:W176)</f>
        <v>0.15</v>
      </c>
    </row>
    <row r="18" spans="1:21" ht="25.5" x14ac:dyDescent="0.2">
      <c r="B18" s="94">
        <v>50</v>
      </c>
      <c r="C18" s="94">
        <v>1</v>
      </c>
      <c r="M18" s="94">
        <v>60</v>
      </c>
      <c r="N18" s="94">
        <v>1</v>
      </c>
      <c r="R18" s="817"/>
      <c r="S18" s="393" t="s">
        <v>765</v>
      </c>
      <c r="T18" s="94">
        <v>2</v>
      </c>
      <c r="U18" s="394">
        <f>AVERAGE('Plan de Acción 2022'!W177:W178)</f>
        <v>0.25</v>
      </c>
    </row>
    <row r="19" spans="1:21" x14ac:dyDescent="0.2">
      <c r="B19" s="94">
        <v>60</v>
      </c>
      <c r="C19" s="94">
        <v>1</v>
      </c>
      <c r="M19" s="94">
        <v>70</v>
      </c>
      <c r="N19" s="94">
        <v>1</v>
      </c>
      <c r="R19" s="817"/>
      <c r="S19" s="393" t="s">
        <v>777</v>
      </c>
      <c r="T19" s="94">
        <v>30</v>
      </c>
      <c r="U19" s="394">
        <f>AVERAGE('Plan de Acción 2022'!W179:W201)</f>
        <v>0.1695652173913044</v>
      </c>
    </row>
    <row r="20" spans="1:21" ht="25.5" x14ac:dyDescent="0.2">
      <c r="B20" s="94">
        <v>70</v>
      </c>
      <c r="C20" s="94">
        <v>1</v>
      </c>
      <c r="M20" s="94">
        <v>80</v>
      </c>
      <c r="N20" s="94">
        <v>1</v>
      </c>
      <c r="R20" s="817"/>
      <c r="S20" s="393" t="s">
        <v>885</v>
      </c>
      <c r="T20" s="94">
        <v>30</v>
      </c>
      <c r="U20" s="399">
        <f>AVERAGE('Plan de Acción 2022'!W202:W226)</f>
        <v>7.8E-2</v>
      </c>
    </row>
    <row r="21" spans="1:21" ht="38.25" customHeight="1" x14ac:dyDescent="0.2">
      <c r="B21" s="94">
        <v>80</v>
      </c>
      <c r="C21" s="94">
        <v>1</v>
      </c>
      <c r="M21" s="94">
        <v>90</v>
      </c>
      <c r="N21" s="94">
        <v>1</v>
      </c>
      <c r="R21" s="817" t="s">
        <v>973</v>
      </c>
      <c r="S21" s="393" t="s">
        <v>974</v>
      </c>
      <c r="T21" s="94">
        <v>5</v>
      </c>
      <c r="U21" s="394">
        <f>AVERAGE('Plan de Acción 2022'!W228:W233)</f>
        <v>0.38666666666666671</v>
      </c>
    </row>
    <row r="22" spans="1:21" ht="25.5" x14ac:dyDescent="0.2">
      <c r="B22" s="94">
        <v>90</v>
      </c>
      <c r="C22" s="94">
        <v>1</v>
      </c>
      <c r="M22" s="94">
        <v>100</v>
      </c>
      <c r="N22" s="94">
        <v>1</v>
      </c>
      <c r="R22" s="817"/>
      <c r="S22" s="393" t="s">
        <v>1014</v>
      </c>
      <c r="T22" s="94">
        <v>31</v>
      </c>
      <c r="U22" s="394">
        <f>AVERAGE('Plan de Acción 2022'!W234:W266)</f>
        <v>0.30909090909090908</v>
      </c>
    </row>
    <row r="23" spans="1:21" x14ac:dyDescent="0.2">
      <c r="B23" s="94">
        <v>100</v>
      </c>
      <c r="C23" s="94">
        <v>1</v>
      </c>
      <c r="M23" s="94"/>
      <c r="N23" s="94">
        <f>SUM(N13:N22)</f>
        <v>10</v>
      </c>
      <c r="R23" s="817"/>
      <c r="S23" s="393" t="s">
        <v>1188</v>
      </c>
      <c r="T23" s="94">
        <v>6</v>
      </c>
      <c r="U23" s="394">
        <f>AVERAGE('Plan de Acción 2022'!W267:W272)</f>
        <v>0.28999999999999998</v>
      </c>
    </row>
    <row r="24" spans="1:21" ht="25.5" x14ac:dyDescent="0.2">
      <c r="B24" s="94"/>
      <c r="C24" s="94">
        <f>SUM(C14:C23)</f>
        <v>10</v>
      </c>
      <c r="M24" s="230"/>
      <c r="N24" s="230"/>
      <c r="R24" s="817"/>
      <c r="S24" s="393" t="s">
        <v>1229</v>
      </c>
      <c r="T24" s="94">
        <v>15</v>
      </c>
      <c r="U24" s="394">
        <f>AVERAGE('Plan de Acción 2022'!W274:W289)</f>
        <v>0.22500000000000003</v>
      </c>
    </row>
    <row r="25" spans="1:21" ht="25.5" x14ac:dyDescent="0.2">
      <c r="B25" s="230"/>
      <c r="C25" s="230"/>
      <c r="M25" s="231" t="s">
        <v>1958</v>
      </c>
      <c r="N25" s="94">
        <f>N8*PI()</f>
        <v>1.2453501765271549</v>
      </c>
      <c r="R25" s="817"/>
      <c r="S25" s="393" t="s">
        <v>1321</v>
      </c>
      <c r="T25" s="94">
        <v>15</v>
      </c>
      <c r="U25" s="394">
        <f>AVERAGE('Plan de Acción 2022'!W290:W302)</f>
        <v>0.13846153846153847</v>
      </c>
    </row>
    <row r="26" spans="1:21" ht="38.25" x14ac:dyDescent="0.2">
      <c r="B26" s="231" t="s">
        <v>1958</v>
      </c>
      <c r="C26" s="94">
        <f>C8*PI()</f>
        <v>1.7071711510617615</v>
      </c>
      <c r="R26" s="817"/>
      <c r="S26" s="393" t="s">
        <v>1358</v>
      </c>
      <c r="T26" s="94">
        <v>16</v>
      </c>
      <c r="U26" s="394">
        <f>AVERAGE('Plan de Acción 2022'!W303:W319)</f>
        <v>0.1676470588235294</v>
      </c>
    </row>
    <row r="27" spans="1:21" ht="25.5" x14ac:dyDescent="0.2">
      <c r="M27" s="181"/>
      <c r="N27" s="232" t="s">
        <v>1959</v>
      </c>
      <c r="O27" s="232" t="s">
        <v>1960</v>
      </c>
      <c r="R27" s="817"/>
      <c r="S27" s="393" t="s">
        <v>1425</v>
      </c>
      <c r="T27" s="94">
        <v>6</v>
      </c>
      <c r="U27" s="394">
        <f>AVERAGE('Plan de Acción 2022'!W320:W325)</f>
        <v>7.4999999999999997E-2</v>
      </c>
    </row>
    <row r="28" spans="1:21" ht="25.5" x14ac:dyDescent="0.2">
      <c r="B28" s="181"/>
      <c r="C28" s="232" t="s">
        <v>1959</v>
      </c>
      <c r="D28" s="232" t="s">
        <v>1960</v>
      </c>
      <c r="M28" s="232" t="s">
        <v>1961</v>
      </c>
      <c r="N28" s="181">
        <f>0</f>
        <v>0</v>
      </c>
      <c r="O28" s="181">
        <v>0</v>
      </c>
      <c r="R28" s="817"/>
      <c r="S28" s="393" t="s">
        <v>1446</v>
      </c>
      <c r="T28" s="94">
        <v>22</v>
      </c>
      <c r="U28" s="394">
        <f>AVERAGE('Plan de Acción 2022'!W326:W348)</f>
        <v>0.2056521739130435</v>
      </c>
    </row>
    <row r="29" spans="1:21" ht="25.5" x14ac:dyDescent="0.25">
      <c r="B29" s="232" t="s">
        <v>1961</v>
      </c>
      <c r="C29" s="181">
        <f>0</f>
        <v>0</v>
      </c>
      <c r="D29" s="181">
        <v>0</v>
      </c>
      <c r="M29" s="233" t="s">
        <v>1962</v>
      </c>
      <c r="N29" s="233">
        <f>COS(N25)*-1</f>
        <v>-0.31973154868907416</v>
      </c>
      <c r="O29" s="233">
        <f>SIN(N25)</f>
        <v>0.94750817240427332</v>
      </c>
      <c r="R29" s="817"/>
      <c r="S29" s="393" t="s">
        <v>1528</v>
      </c>
      <c r="T29" s="94">
        <v>3</v>
      </c>
      <c r="U29" s="394">
        <f>AVERAGE('Plan de Acción 2022'!W349:W351)</f>
        <v>0.18333333333333335</v>
      </c>
    </row>
    <row r="30" spans="1:21" ht="25.5" x14ac:dyDescent="0.25">
      <c r="A30" s="193"/>
      <c r="B30" s="233" t="s">
        <v>1962</v>
      </c>
      <c r="C30" s="233">
        <f>COS(C26)*-1</f>
        <v>0.13595249857703171</v>
      </c>
      <c r="D30" s="233">
        <f>SIN(C26)</f>
        <v>0.99071535676533362</v>
      </c>
      <c r="F30" s="193"/>
      <c r="G30" s="193"/>
      <c r="H30" s="193"/>
      <c r="R30" s="817"/>
      <c r="S30" s="393" t="s">
        <v>1551</v>
      </c>
      <c r="T30" s="94">
        <v>8</v>
      </c>
      <c r="U30" s="394">
        <f>AVERAGE('Plan de Acción 2022'!W352:W358)</f>
        <v>6.4285714285714279E-2</v>
      </c>
    </row>
    <row r="31" spans="1:21" ht="25.5" x14ac:dyDescent="0.25">
      <c r="A31" s="193"/>
      <c r="B31" s="193"/>
      <c r="C31" s="193"/>
      <c r="D31" s="193"/>
      <c r="E31" s="193"/>
      <c r="F31" s="193"/>
      <c r="G31" s="193"/>
      <c r="H31" s="193"/>
      <c r="R31" s="817"/>
      <c r="S31" s="393" t="s">
        <v>1576</v>
      </c>
      <c r="T31" s="94">
        <v>17</v>
      </c>
      <c r="U31" s="394">
        <f>AVERAGE('Plan de Acción 2022'!W359:W375)</f>
        <v>0.23705882352941174</v>
      </c>
    </row>
    <row r="32" spans="1:21" ht="25.5" x14ac:dyDescent="0.25">
      <c r="A32" s="193"/>
      <c r="C32" s="193"/>
      <c r="D32" s="193"/>
      <c r="E32" s="193"/>
      <c r="F32" s="193"/>
      <c r="G32" s="193"/>
      <c r="H32" s="193"/>
      <c r="R32" s="817"/>
      <c r="S32" s="393" t="s">
        <v>1637</v>
      </c>
      <c r="T32" s="94">
        <v>6</v>
      </c>
      <c r="U32" s="394">
        <f>AVERAGE('Plan de Acción 2022'!W376:W381)</f>
        <v>0.28333333333333333</v>
      </c>
    </row>
    <row r="33" spans="1:21" ht="15" x14ac:dyDescent="0.25">
      <c r="A33" s="193"/>
      <c r="B33" s="193"/>
      <c r="C33" s="193"/>
      <c r="D33" s="193"/>
      <c r="E33" s="193"/>
      <c r="F33" s="193"/>
      <c r="G33" s="193"/>
      <c r="H33" s="193"/>
      <c r="R33" s="817" t="s">
        <v>1963</v>
      </c>
      <c r="S33" s="393" t="s">
        <v>1661</v>
      </c>
      <c r="T33" s="94">
        <v>23</v>
      </c>
      <c r="U33" s="394">
        <f>AVERAGE('Plan de Acción 2022'!W383:W404)</f>
        <v>0.13409090909090909</v>
      </c>
    </row>
    <row r="34" spans="1:21" ht="15" x14ac:dyDescent="0.25">
      <c r="A34" s="193"/>
      <c r="B34" s="193" t="s">
        <v>1964</v>
      </c>
      <c r="C34" s="193"/>
      <c r="D34" s="193"/>
      <c r="E34" s="193"/>
      <c r="F34" s="193"/>
      <c r="G34" s="193"/>
      <c r="H34" s="193"/>
      <c r="R34" s="817"/>
      <c r="S34" s="393" t="s">
        <v>1728</v>
      </c>
      <c r="T34" s="94">
        <v>9</v>
      </c>
      <c r="U34" s="394">
        <f>AVERAGE('Plan de Acción 2022'!W405:W411)</f>
        <v>0.20714285714285716</v>
      </c>
    </row>
    <row r="35" spans="1:21" ht="15" x14ac:dyDescent="0.25">
      <c r="A35" s="193"/>
      <c r="B35" s="364" t="s">
        <v>1965</v>
      </c>
      <c r="C35" s="193"/>
      <c r="D35" s="193"/>
      <c r="E35" s="193"/>
      <c r="F35" s="193"/>
      <c r="G35" s="193"/>
      <c r="H35" s="193"/>
      <c r="R35" s="817"/>
      <c r="S35" s="393" t="s">
        <v>1755</v>
      </c>
      <c r="T35" s="94">
        <v>42</v>
      </c>
      <c r="U35" s="394">
        <f>AVERAGE('Plan de Acción 2022'!W412:W455)</f>
        <v>0.19186046511627908</v>
      </c>
    </row>
    <row r="36" spans="1:21" ht="15" x14ac:dyDescent="0.25">
      <c r="A36" s="193"/>
      <c r="B36" s="193"/>
      <c r="C36" s="193"/>
      <c r="D36" s="193"/>
      <c r="E36" s="193"/>
      <c r="F36" s="193"/>
      <c r="G36" s="193"/>
      <c r="H36" s="193"/>
      <c r="R36" s="817"/>
      <c r="S36" s="393" t="s">
        <v>1865</v>
      </c>
      <c r="T36" s="94">
        <v>21</v>
      </c>
      <c r="U36" s="394">
        <f>AVERAGE('Plan de Acción 2022'!W457:W478)</f>
        <v>8.1818181818181818E-2</v>
      </c>
    </row>
    <row r="37" spans="1:21" ht="15" x14ac:dyDescent="0.25">
      <c r="A37" s="193"/>
      <c r="B37" s="193"/>
      <c r="C37" s="193"/>
      <c r="D37" s="193"/>
      <c r="E37" s="193"/>
      <c r="F37" s="193"/>
      <c r="G37" s="193"/>
      <c r="H37" s="193"/>
      <c r="R37" s="817"/>
      <c r="S37" s="393" t="s">
        <v>1906</v>
      </c>
      <c r="T37" s="94">
        <v>8</v>
      </c>
      <c r="U37" s="394">
        <f>AVERAGE('Plan de Acción 2022'!W456:W488)</f>
        <v>7.3636363636363625E-2</v>
      </c>
    </row>
    <row r="38" spans="1:21" ht="15" x14ac:dyDescent="0.25">
      <c r="A38" s="193"/>
      <c r="B38" s="193"/>
      <c r="C38" s="193"/>
      <c r="D38" s="193"/>
      <c r="E38" s="193"/>
      <c r="F38" s="193"/>
      <c r="G38" s="193"/>
      <c r="H38" s="193"/>
      <c r="R38" s="817"/>
      <c r="S38" s="400" t="s">
        <v>1954</v>
      </c>
      <c r="T38" s="401">
        <f>SUM(T3:T37)</f>
        <v>470</v>
      </c>
      <c r="U38" s="402">
        <f>AVERAGE(U3:U37)</f>
        <v>0.19887959515674133</v>
      </c>
    </row>
    <row r="39" spans="1:21" ht="15" x14ac:dyDescent="0.25">
      <c r="A39" s="193"/>
      <c r="B39" s="193"/>
      <c r="C39" s="193"/>
      <c r="D39" s="193"/>
      <c r="E39" s="193"/>
      <c r="F39" s="193"/>
      <c r="G39" s="193"/>
      <c r="H39" s="193"/>
    </row>
    <row r="40" spans="1:21" ht="15" x14ac:dyDescent="0.25">
      <c r="A40" s="193"/>
      <c r="B40" s="193"/>
      <c r="C40" s="193"/>
      <c r="D40" s="193"/>
      <c r="E40" s="193"/>
      <c r="F40" s="193"/>
      <c r="G40" s="193"/>
      <c r="H40" s="193"/>
    </row>
    <row r="41" spans="1:21" ht="15" x14ac:dyDescent="0.25">
      <c r="A41" s="193"/>
      <c r="B41" s="193"/>
      <c r="C41" s="193"/>
      <c r="D41" s="193"/>
      <c r="E41" s="193"/>
      <c r="F41" s="193"/>
      <c r="G41" s="193"/>
      <c r="H41" s="193"/>
    </row>
    <row r="42" spans="1:21" ht="15" x14ac:dyDescent="0.25">
      <c r="A42" s="193"/>
      <c r="B42" s="193"/>
      <c r="C42" s="193"/>
      <c r="D42" s="193"/>
      <c r="E42" s="193"/>
      <c r="F42" s="193"/>
      <c r="G42" s="193"/>
      <c r="H42" s="193"/>
    </row>
    <row r="43" spans="1:21" ht="15" x14ac:dyDescent="0.25">
      <c r="A43" s="193"/>
      <c r="B43" s="193"/>
      <c r="C43" s="193"/>
      <c r="D43" s="193"/>
      <c r="E43" s="193"/>
      <c r="F43" s="193"/>
      <c r="G43" s="193"/>
      <c r="H43" s="193"/>
    </row>
    <row r="44" spans="1:21" ht="15" x14ac:dyDescent="0.25">
      <c r="A44" s="193"/>
      <c r="B44" s="193"/>
      <c r="C44" s="193"/>
      <c r="D44" s="193"/>
      <c r="E44" s="193"/>
      <c r="F44" s="193"/>
      <c r="G44" s="193"/>
      <c r="H44" s="193"/>
    </row>
    <row r="45" spans="1:21" ht="15" x14ac:dyDescent="0.25">
      <c r="A45" s="193"/>
      <c r="B45" s="193"/>
      <c r="C45" s="193"/>
      <c r="D45" s="193"/>
      <c r="E45" s="193"/>
      <c r="F45" s="193"/>
      <c r="G45" s="193"/>
      <c r="H45" s="193"/>
    </row>
    <row r="46" spans="1:21" ht="15" x14ac:dyDescent="0.25">
      <c r="A46" s="193"/>
      <c r="B46" s="193"/>
      <c r="C46" s="193"/>
      <c r="D46" s="193"/>
      <c r="E46" s="193"/>
      <c r="F46" s="193"/>
      <c r="G46" s="193"/>
      <c r="H46" s="193"/>
      <c r="I46" s="193"/>
      <c r="J46" s="193"/>
      <c r="K46" s="193"/>
    </row>
    <row r="47" spans="1:21" ht="15" x14ac:dyDescent="0.25">
      <c r="A47" s="193"/>
      <c r="B47" s="193"/>
      <c r="C47" s="193"/>
      <c r="D47" s="193"/>
      <c r="E47" s="193"/>
      <c r="F47" s="193"/>
      <c r="G47" s="193"/>
      <c r="H47" s="193"/>
      <c r="I47" s="193"/>
      <c r="J47" s="193"/>
      <c r="K47" s="193"/>
    </row>
    <row r="48" spans="1:21" ht="15" x14ac:dyDescent="0.25">
      <c r="A48" s="193"/>
      <c r="B48" s="193"/>
      <c r="C48" s="193"/>
      <c r="D48" s="193"/>
      <c r="E48" s="193"/>
      <c r="F48" s="193"/>
      <c r="G48" s="193"/>
      <c r="H48" s="193"/>
      <c r="I48" s="193"/>
      <c r="J48" s="193"/>
      <c r="K48" s="193"/>
    </row>
    <row r="49" spans="1:11" ht="15" x14ac:dyDescent="0.25">
      <c r="A49" s="193"/>
      <c r="B49" s="193"/>
      <c r="C49" s="193"/>
      <c r="D49" s="193"/>
      <c r="E49" s="193"/>
      <c r="F49" s="193"/>
      <c r="G49" s="193"/>
      <c r="H49" s="193"/>
      <c r="I49" s="193"/>
      <c r="J49" s="193"/>
      <c r="K49" s="193"/>
    </row>
    <row r="50" spans="1:11" ht="15" x14ac:dyDescent="0.25">
      <c r="A50" s="193"/>
      <c r="B50" s="193"/>
      <c r="C50" s="193"/>
      <c r="D50" s="193"/>
      <c r="E50" s="193"/>
      <c r="F50" s="193"/>
      <c r="G50" s="193"/>
      <c r="H50" s="193"/>
      <c r="I50" s="193"/>
      <c r="J50" s="193"/>
      <c r="K50" s="193"/>
    </row>
    <row r="51" spans="1:11" ht="15" x14ac:dyDescent="0.25">
      <c r="A51" s="193"/>
      <c r="B51" s="193"/>
      <c r="C51" s="193"/>
      <c r="D51" s="193"/>
      <c r="E51" s="193"/>
      <c r="F51" s="193"/>
      <c r="G51" s="193"/>
      <c r="H51" s="193"/>
      <c r="I51" s="193"/>
      <c r="J51" s="193"/>
      <c r="K51" s="193"/>
    </row>
    <row r="52" spans="1:11" ht="15" x14ac:dyDescent="0.25">
      <c r="A52" s="193"/>
      <c r="B52" s="193"/>
      <c r="C52" s="193"/>
      <c r="D52" s="193"/>
      <c r="E52" s="193"/>
      <c r="F52" s="193"/>
      <c r="G52" s="193"/>
      <c r="H52" s="193"/>
      <c r="I52" s="193"/>
      <c r="J52" s="193"/>
      <c r="K52" s="193"/>
    </row>
    <row r="53" spans="1:11" ht="15" x14ac:dyDescent="0.25">
      <c r="A53" s="193"/>
      <c r="B53" s="193"/>
      <c r="C53" s="193"/>
      <c r="D53" s="193"/>
      <c r="E53" s="193"/>
      <c r="F53" s="193"/>
      <c r="G53" s="193"/>
      <c r="H53" s="193"/>
      <c r="I53" s="193"/>
      <c r="J53" s="193"/>
      <c r="K53" s="193"/>
    </row>
    <row r="54" spans="1:11" ht="15" x14ac:dyDescent="0.25">
      <c r="A54" s="193"/>
      <c r="B54" s="193"/>
      <c r="C54" s="193"/>
      <c r="D54" s="193"/>
      <c r="E54" s="193"/>
      <c r="F54" s="193"/>
      <c r="G54" s="193"/>
      <c r="H54" s="193"/>
      <c r="I54" s="193"/>
      <c r="J54" s="193"/>
      <c r="K54" s="193"/>
    </row>
    <row r="55" spans="1:11" ht="15" x14ac:dyDescent="0.25">
      <c r="A55" s="193"/>
      <c r="B55" s="193"/>
      <c r="C55" s="193"/>
      <c r="D55" s="193"/>
      <c r="E55" s="193"/>
      <c r="F55" s="193"/>
      <c r="G55" s="193"/>
      <c r="H55" s="193"/>
      <c r="I55" s="193"/>
      <c r="J55" s="193"/>
      <c r="K55" s="193"/>
    </row>
    <row r="56" spans="1:11" ht="15" x14ac:dyDescent="0.25">
      <c r="A56" s="193"/>
      <c r="B56" s="193"/>
      <c r="C56" s="193"/>
      <c r="D56" s="193"/>
      <c r="E56" s="193"/>
      <c r="F56" s="193"/>
      <c r="G56" s="193"/>
      <c r="H56" s="193"/>
      <c r="I56" s="193"/>
      <c r="J56" s="193"/>
      <c r="K56" s="193"/>
    </row>
    <row r="57" spans="1:11" ht="15" x14ac:dyDescent="0.25">
      <c r="A57" s="193"/>
      <c r="B57" s="193"/>
      <c r="C57" s="193"/>
      <c r="D57" s="193"/>
      <c r="E57" s="193"/>
      <c r="F57" s="193"/>
      <c r="G57" s="193"/>
      <c r="H57" s="193"/>
      <c r="I57" s="193"/>
      <c r="J57" s="193"/>
      <c r="K57" s="193"/>
    </row>
    <row r="58" spans="1:11" ht="15" x14ac:dyDescent="0.25">
      <c r="A58" s="193"/>
      <c r="B58" s="193"/>
      <c r="C58" s="193"/>
      <c r="D58" s="193"/>
      <c r="E58" s="193"/>
      <c r="F58" s="193"/>
      <c r="G58" s="193"/>
      <c r="H58" s="193"/>
      <c r="I58" s="193"/>
      <c r="J58" s="193"/>
      <c r="K58" s="193"/>
    </row>
    <row r="59" spans="1:11" ht="15" x14ac:dyDescent="0.25">
      <c r="A59" s="193"/>
      <c r="B59" s="193"/>
      <c r="C59" s="193"/>
      <c r="D59" s="193"/>
      <c r="E59" s="193"/>
      <c r="F59" s="193"/>
      <c r="G59" s="193"/>
      <c r="H59" s="193"/>
      <c r="I59" s="193"/>
      <c r="J59" s="193"/>
      <c r="K59" s="193"/>
    </row>
    <row r="60" spans="1:11" ht="15" x14ac:dyDescent="0.25">
      <c r="A60" s="193"/>
      <c r="B60" s="193"/>
      <c r="C60" s="193"/>
      <c r="D60" s="193"/>
      <c r="E60" s="193"/>
      <c r="F60" s="193"/>
      <c r="G60" s="193"/>
      <c r="H60" s="193"/>
      <c r="I60" s="193"/>
      <c r="J60" s="193"/>
      <c r="K60" s="193"/>
    </row>
    <row r="61" spans="1:11" ht="15" x14ac:dyDescent="0.25">
      <c r="A61" s="193"/>
      <c r="B61" s="193"/>
      <c r="C61" s="193"/>
      <c r="D61" s="193"/>
      <c r="E61" s="193"/>
      <c r="F61" s="193"/>
      <c r="G61" s="193"/>
      <c r="H61" s="193"/>
      <c r="I61" s="193"/>
      <c r="J61" s="193"/>
      <c r="K61" s="193"/>
    </row>
    <row r="62" spans="1:11" ht="15" x14ac:dyDescent="0.25">
      <c r="A62" s="193"/>
      <c r="B62" s="193"/>
      <c r="C62" s="193"/>
      <c r="D62" s="193"/>
      <c r="E62" s="193"/>
      <c r="F62" s="193"/>
      <c r="G62" s="193"/>
      <c r="H62" s="193"/>
      <c r="I62" s="193"/>
      <c r="J62" s="193"/>
      <c r="K62" s="193"/>
    </row>
    <row r="63" spans="1:11" ht="15" x14ac:dyDescent="0.25">
      <c r="A63" s="193"/>
      <c r="B63" s="193"/>
      <c r="C63" s="193"/>
      <c r="D63" s="193"/>
      <c r="E63" s="193"/>
      <c r="F63" s="193"/>
      <c r="G63" s="193"/>
      <c r="H63" s="193"/>
      <c r="I63" s="193"/>
      <c r="J63" s="193"/>
      <c r="K63" s="193"/>
    </row>
    <row r="64" spans="1:11" ht="15" x14ac:dyDescent="0.25">
      <c r="A64" s="193"/>
      <c r="B64" s="193"/>
      <c r="C64" s="193"/>
      <c r="D64" s="193"/>
      <c r="E64" s="193"/>
      <c r="F64" s="193"/>
      <c r="G64" s="193"/>
      <c r="H64" s="193"/>
      <c r="I64" s="193"/>
      <c r="J64" s="193"/>
      <c r="K64" s="193"/>
    </row>
    <row r="65" spans="1:11" ht="15" x14ac:dyDescent="0.25">
      <c r="A65" s="193"/>
      <c r="B65" s="193"/>
      <c r="C65" s="193"/>
      <c r="D65" s="193"/>
      <c r="E65" s="193"/>
      <c r="F65" s="193"/>
      <c r="G65" s="193"/>
      <c r="H65" s="193"/>
      <c r="I65" s="193"/>
      <c r="J65" s="193"/>
      <c r="K65" s="193"/>
    </row>
    <row r="66" spans="1:11" ht="15" x14ac:dyDescent="0.25">
      <c r="A66" s="193"/>
      <c r="B66" s="193"/>
      <c r="C66" s="193"/>
      <c r="D66" s="193"/>
      <c r="E66" s="193"/>
      <c r="F66" s="193"/>
      <c r="G66" s="193"/>
      <c r="H66" s="193"/>
      <c r="I66" s="193"/>
      <c r="J66" s="193"/>
      <c r="K66" s="193"/>
    </row>
    <row r="67" spans="1:11" ht="15" x14ac:dyDescent="0.25">
      <c r="A67" s="193"/>
      <c r="B67" s="193"/>
      <c r="C67" s="193"/>
      <c r="D67" s="193"/>
      <c r="E67" s="193"/>
      <c r="F67" s="193"/>
      <c r="G67" s="193"/>
      <c r="H67" s="193"/>
      <c r="I67" s="193"/>
      <c r="J67" s="193"/>
      <c r="K67" s="193"/>
    </row>
    <row r="68" spans="1:11" ht="15" x14ac:dyDescent="0.25">
      <c r="A68" s="193"/>
      <c r="B68" s="193"/>
      <c r="C68" s="193"/>
      <c r="D68" s="193"/>
      <c r="E68" s="193"/>
      <c r="F68" s="193"/>
      <c r="G68" s="193"/>
      <c r="H68" s="193"/>
      <c r="I68" s="193"/>
      <c r="J68" s="193"/>
      <c r="K68" s="193"/>
    </row>
    <row r="69" spans="1:11" ht="15" x14ac:dyDescent="0.25">
      <c r="A69" s="193"/>
      <c r="B69" s="193"/>
      <c r="C69" s="193"/>
      <c r="D69" s="193"/>
      <c r="E69" s="193"/>
      <c r="F69" s="193"/>
      <c r="G69" s="193"/>
      <c r="H69" s="193"/>
      <c r="I69" s="193"/>
      <c r="J69" s="193"/>
      <c r="K69" s="193"/>
    </row>
    <row r="70" spans="1:11" ht="15" x14ac:dyDescent="0.25">
      <c r="A70" s="193"/>
      <c r="B70" s="193"/>
      <c r="C70" s="193"/>
      <c r="D70" s="193"/>
      <c r="E70" s="193"/>
      <c r="F70" s="193"/>
      <c r="G70" s="193"/>
      <c r="H70" s="193"/>
      <c r="I70" s="193"/>
      <c r="J70" s="193"/>
      <c r="K70" s="193"/>
    </row>
    <row r="71" spans="1:11" ht="15" x14ac:dyDescent="0.25">
      <c r="A71" s="193"/>
      <c r="B71" s="193"/>
      <c r="C71" s="193"/>
      <c r="D71" s="193"/>
      <c r="E71" s="193"/>
      <c r="F71" s="193"/>
      <c r="G71" s="193"/>
      <c r="H71" s="193"/>
      <c r="I71" s="193"/>
      <c r="J71" s="193"/>
      <c r="K71" s="193"/>
    </row>
    <row r="72" spans="1:11" ht="15" x14ac:dyDescent="0.25">
      <c r="A72" s="193"/>
      <c r="B72" s="193"/>
      <c r="C72" s="193"/>
      <c r="D72" s="193"/>
      <c r="E72" s="193"/>
      <c r="F72" s="193"/>
      <c r="G72" s="193"/>
      <c r="H72" s="193"/>
      <c r="I72" s="193"/>
      <c r="J72" s="193"/>
      <c r="K72" s="193"/>
    </row>
    <row r="73" spans="1:11" ht="15" x14ac:dyDescent="0.25">
      <c r="A73" s="193"/>
      <c r="B73" s="193"/>
      <c r="C73" s="193"/>
      <c r="D73" s="193"/>
      <c r="E73" s="193"/>
      <c r="F73" s="193"/>
      <c r="G73" s="193"/>
      <c r="H73" s="193"/>
      <c r="I73" s="193"/>
      <c r="J73" s="193"/>
      <c r="K73" s="193"/>
    </row>
    <row r="74" spans="1:11" ht="15" x14ac:dyDescent="0.25">
      <c r="A74" s="193"/>
      <c r="B74" s="193"/>
      <c r="C74" s="193"/>
      <c r="D74" s="193"/>
      <c r="E74" s="193"/>
      <c r="F74" s="193"/>
      <c r="G74" s="193"/>
      <c r="H74" s="193"/>
      <c r="I74" s="193"/>
      <c r="J74" s="193"/>
      <c r="K74" s="193"/>
    </row>
    <row r="75" spans="1:11" ht="15" x14ac:dyDescent="0.25">
      <c r="A75" s="193"/>
      <c r="B75" s="193"/>
      <c r="C75" s="193"/>
      <c r="D75" s="193"/>
      <c r="E75" s="193"/>
      <c r="F75" s="193"/>
      <c r="G75" s="193"/>
      <c r="H75" s="193"/>
      <c r="I75" s="193"/>
      <c r="J75" s="193"/>
      <c r="K75" s="193"/>
    </row>
    <row r="76" spans="1:11" ht="15" x14ac:dyDescent="0.25">
      <c r="A76" s="193"/>
      <c r="B76" s="193"/>
      <c r="C76" s="193"/>
      <c r="D76" s="193"/>
      <c r="E76" s="193"/>
      <c r="F76" s="193"/>
      <c r="G76" s="193"/>
      <c r="H76" s="193"/>
      <c r="I76" s="193"/>
      <c r="J76" s="193"/>
      <c r="K76" s="193"/>
    </row>
    <row r="77" spans="1:11" ht="15" x14ac:dyDescent="0.25">
      <c r="A77" s="193"/>
      <c r="B77" s="193"/>
      <c r="C77" s="193"/>
      <c r="D77" s="193"/>
      <c r="E77" s="193"/>
      <c r="F77" s="193"/>
      <c r="G77" s="193"/>
      <c r="H77" s="193"/>
      <c r="I77" s="193"/>
      <c r="J77" s="193"/>
      <c r="K77" s="193"/>
    </row>
    <row r="78" spans="1:11" ht="15" x14ac:dyDescent="0.25">
      <c r="A78" s="193"/>
      <c r="B78" s="193"/>
      <c r="C78" s="193"/>
      <c r="D78" s="193"/>
      <c r="E78" s="193"/>
      <c r="F78" s="193"/>
      <c r="G78" s="193"/>
      <c r="H78" s="193"/>
      <c r="I78" s="193"/>
      <c r="J78" s="193"/>
      <c r="K78" s="193"/>
    </row>
    <row r="79" spans="1:11" ht="15" x14ac:dyDescent="0.25">
      <c r="A79" s="193"/>
      <c r="B79" s="193"/>
      <c r="C79" s="193"/>
      <c r="D79" s="193"/>
      <c r="E79" s="193"/>
      <c r="F79" s="193"/>
      <c r="G79" s="193"/>
      <c r="H79" s="193"/>
      <c r="I79" s="193"/>
      <c r="J79" s="193"/>
      <c r="K79" s="193"/>
    </row>
    <row r="80" spans="1:11" ht="15" x14ac:dyDescent="0.25">
      <c r="A80" s="193"/>
      <c r="B80" s="193"/>
      <c r="C80" s="193"/>
      <c r="D80" s="193"/>
      <c r="E80" s="193"/>
      <c r="F80" s="193"/>
      <c r="G80" s="193"/>
      <c r="H80" s="193"/>
      <c r="I80" s="193"/>
      <c r="J80" s="193"/>
      <c r="K80" s="193"/>
    </row>
    <row r="81" spans="1:11" ht="15" x14ac:dyDescent="0.25">
      <c r="A81" s="193"/>
      <c r="B81" s="193"/>
      <c r="C81" s="193"/>
      <c r="D81" s="193"/>
      <c r="E81" s="193"/>
      <c r="F81" s="193"/>
      <c r="G81" s="193"/>
      <c r="H81" s="193"/>
      <c r="I81" s="193"/>
      <c r="J81" s="193"/>
      <c r="K81" s="193"/>
    </row>
    <row r="82" spans="1:11" ht="15" x14ac:dyDescent="0.25">
      <c r="A82" s="193"/>
      <c r="B82" s="193"/>
      <c r="C82" s="193"/>
      <c r="D82" s="193"/>
      <c r="E82" s="193"/>
      <c r="F82" s="193"/>
      <c r="G82" s="193"/>
      <c r="H82" s="193"/>
      <c r="I82" s="193"/>
      <c r="J82" s="193"/>
      <c r="K82" s="193"/>
    </row>
    <row r="83" spans="1:11" ht="15" x14ac:dyDescent="0.25">
      <c r="A83" s="193"/>
      <c r="B83" s="193"/>
      <c r="C83" s="193"/>
      <c r="D83" s="193"/>
      <c r="E83" s="193"/>
      <c r="F83" s="193"/>
      <c r="G83" s="193"/>
      <c r="H83" s="193"/>
      <c r="I83" s="193"/>
      <c r="J83" s="193"/>
      <c r="K83" s="193"/>
    </row>
    <row r="84" spans="1:11" ht="15" x14ac:dyDescent="0.25">
      <c r="A84" s="193"/>
      <c r="B84" s="193"/>
      <c r="C84" s="193"/>
      <c r="D84" s="193"/>
      <c r="E84" s="193"/>
      <c r="F84" s="193"/>
      <c r="G84" s="193"/>
      <c r="H84" s="193"/>
      <c r="I84" s="193"/>
      <c r="J84" s="193"/>
      <c r="K84" s="193"/>
    </row>
    <row r="85" spans="1:11" ht="15" x14ac:dyDescent="0.25">
      <c r="A85" s="193"/>
      <c r="B85" s="193"/>
      <c r="C85" s="193"/>
      <c r="D85" s="193"/>
      <c r="E85" s="193"/>
      <c r="F85" s="193"/>
    </row>
    <row r="86" spans="1:11" ht="15" x14ac:dyDescent="0.25">
      <c r="A86" s="193"/>
      <c r="B86" s="193"/>
      <c r="C86" s="193"/>
      <c r="D86" s="193"/>
      <c r="E86" s="193"/>
      <c r="F86" s="193"/>
    </row>
    <row r="87" spans="1:11" ht="15" x14ac:dyDescent="0.25">
      <c r="A87" s="193"/>
      <c r="B87" s="193"/>
      <c r="C87" s="193"/>
      <c r="D87" s="193"/>
      <c r="E87" s="193"/>
      <c r="F87" s="193"/>
    </row>
    <row r="88" spans="1:11" ht="15" x14ac:dyDescent="0.25">
      <c r="A88" s="193"/>
      <c r="B88" s="193"/>
      <c r="C88" s="193"/>
      <c r="D88" s="193"/>
      <c r="E88" s="193"/>
      <c r="F88" s="193"/>
    </row>
    <row r="89" spans="1:11" ht="15" x14ac:dyDescent="0.25">
      <c r="A89" s="193"/>
      <c r="B89" s="193"/>
      <c r="C89" s="193"/>
      <c r="D89" s="193"/>
      <c r="E89" s="193"/>
      <c r="F89" s="193"/>
    </row>
    <row r="90" spans="1:11" ht="15" x14ac:dyDescent="0.25">
      <c r="A90" s="193"/>
      <c r="B90" s="193"/>
      <c r="C90" s="193"/>
      <c r="D90" s="193"/>
      <c r="E90" s="193"/>
      <c r="F90" s="193"/>
    </row>
    <row r="91" spans="1:11" ht="15" x14ac:dyDescent="0.25">
      <c r="A91" s="193"/>
      <c r="B91" s="193"/>
      <c r="C91" s="193"/>
      <c r="D91" s="193"/>
      <c r="E91" s="193"/>
      <c r="F91" s="193"/>
    </row>
    <row r="92" spans="1:11" ht="15" x14ac:dyDescent="0.25">
      <c r="A92" s="193"/>
      <c r="B92" s="193"/>
      <c r="C92" s="193"/>
      <c r="D92" s="193"/>
      <c r="E92" s="193"/>
      <c r="F92" s="193"/>
    </row>
    <row r="93" spans="1:11" ht="15" x14ac:dyDescent="0.25">
      <c r="A93" s="193"/>
      <c r="B93" s="193"/>
      <c r="C93" s="193"/>
      <c r="D93" s="193"/>
      <c r="E93" s="193"/>
      <c r="F93" s="193"/>
    </row>
    <row r="94" spans="1:11" ht="15" x14ac:dyDescent="0.25">
      <c r="A94" s="193"/>
      <c r="B94" s="193"/>
      <c r="C94" s="193"/>
      <c r="D94" s="193"/>
      <c r="E94" s="193"/>
      <c r="F94" s="193"/>
    </row>
    <row r="95" spans="1:11" ht="15" x14ac:dyDescent="0.25">
      <c r="A95" s="193"/>
      <c r="B95" s="193"/>
      <c r="C95" s="193"/>
      <c r="D95" s="193"/>
      <c r="E95" s="193"/>
      <c r="F95" s="193"/>
    </row>
    <row r="96" spans="1:11" ht="15" x14ac:dyDescent="0.25">
      <c r="A96" s="193"/>
      <c r="B96" s="193"/>
      <c r="C96" s="193"/>
      <c r="D96" s="193"/>
      <c r="E96" s="193"/>
      <c r="F96" s="193"/>
    </row>
    <row r="97" spans="1:6" ht="15" x14ac:dyDescent="0.25">
      <c r="A97" s="193"/>
      <c r="B97" s="193"/>
      <c r="C97" s="193"/>
      <c r="D97" s="193"/>
      <c r="E97" s="193"/>
      <c r="F97" s="193"/>
    </row>
    <row r="98" spans="1:6" ht="15" x14ac:dyDescent="0.25">
      <c r="A98" s="193"/>
      <c r="B98" s="193"/>
      <c r="C98" s="193"/>
      <c r="D98" s="193"/>
      <c r="E98" s="193"/>
      <c r="F98" s="193"/>
    </row>
    <row r="99" spans="1:6" ht="15" x14ac:dyDescent="0.25">
      <c r="A99" s="193"/>
      <c r="B99" s="193"/>
      <c r="C99" s="193"/>
      <c r="D99" s="193"/>
      <c r="E99" s="193"/>
      <c r="F99" s="193"/>
    </row>
    <row r="100" spans="1:6" ht="15" x14ac:dyDescent="0.25">
      <c r="A100" s="193"/>
      <c r="B100" s="193"/>
      <c r="C100" s="193"/>
      <c r="D100" s="193"/>
      <c r="E100" s="193"/>
      <c r="F100" s="193"/>
    </row>
    <row r="101" spans="1:6" ht="15" x14ac:dyDescent="0.25">
      <c r="A101" s="193"/>
      <c r="B101" s="193"/>
      <c r="C101" s="193"/>
      <c r="D101" s="193"/>
      <c r="E101" s="193"/>
      <c r="F101" s="193"/>
    </row>
    <row r="102" spans="1:6" ht="15" x14ac:dyDescent="0.25">
      <c r="A102" s="193"/>
      <c r="B102" s="193"/>
      <c r="C102" s="193"/>
      <c r="D102" s="193"/>
      <c r="E102" s="193"/>
      <c r="F102" s="193"/>
    </row>
    <row r="103" spans="1:6" ht="15" x14ac:dyDescent="0.25">
      <c r="A103" s="193"/>
      <c r="B103" s="193"/>
      <c r="C103" s="193"/>
      <c r="D103" s="193"/>
      <c r="E103" s="193"/>
      <c r="F103" s="193"/>
    </row>
    <row r="104" spans="1:6" ht="15" x14ac:dyDescent="0.25">
      <c r="A104" s="193"/>
      <c r="B104" s="193"/>
      <c r="C104" s="193"/>
      <c r="D104" s="193"/>
      <c r="E104" s="193"/>
      <c r="F104" s="193"/>
    </row>
    <row r="105" spans="1:6" ht="15" x14ac:dyDescent="0.25">
      <c r="A105" s="193"/>
      <c r="B105" s="193"/>
      <c r="C105" s="193"/>
      <c r="D105" s="193"/>
      <c r="E105" s="193"/>
      <c r="F105" s="193"/>
    </row>
    <row r="106" spans="1:6" ht="15" x14ac:dyDescent="0.25">
      <c r="A106" s="193"/>
      <c r="B106" s="193"/>
      <c r="C106" s="193"/>
      <c r="D106" s="193"/>
      <c r="E106" s="193"/>
      <c r="F106" s="193"/>
    </row>
    <row r="107" spans="1:6" ht="15" x14ac:dyDescent="0.25">
      <c r="A107" s="193"/>
      <c r="B107" s="193"/>
      <c r="C107" s="193"/>
      <c r="D107" s="193"/>
      <c r="E107" s="193"/>
      <c r="F107" s="193"/>
    </row>
    <row r="108" spans="1:6" ht="15" x14ac:dyDescent="0.25">
      <c r="A108" s="193"/>
      <c r="B108" s="193"/>
      <c r="C108" s="193"/>
      <c r="D108" s="193"/>
      <c r="E108" s="193"/>
      <c r="F108" s="193"/>
    </row>
    <row r="109" spans="1:6" ht="15" x14ac:dyDescent="0.25">
      <c r="A109" s="193"/>
      <c r="B109" s="193"/>
      <c r="C109" s="193"/>
      <c r="D109" s="193"/>
      <c r="E109" s="193"/>
      <c r="F109" s="193"/>
    </row>
    <row r="110" spans="1:6" ht="15" x14ac:dyDescent="0.25">
      <c r="A110" s="193"/>
      <c r="B110" s="193"/>
      <c r="C110" s="193"/>
      <c r="D110" s="193"/>
      <c r="E110" s="193"/>
      <c r="F110" s="193"/>
    </row>
    <row r="111" spans="1:6" ht="15" x14ac:dyDescent="0.25">
      <c r="A111" s="193"/>
      <c r="B111" s="193"/>
      <c r="C111" s="193"/>
      <c r="D111" s="193"/>
      <c r="E111" s="193"/>
      <c r="F111" s="193"/>
    </row>
    <row r="112" spans="1:6" ht="15" x14ac:dyDescent="0.25">
      <c r="A112" s="193"/>
      <c r="B112" s="193"/>
      <c r="C112" s="193"/>
      <c r="D112" s="193"/>
      <c r="E112" s="193"/>
      <c r="F112" s="193"/>
    </row>
    <row r="113" spans="1:6" ht="15" x14ac:dyDescent="0.25">
      <c r="A113" s="193"/>
      <c r="B113" s="193"/>
      <c r="C113" s="193"/>
      <c r="D113" s="193"/>
      <c r="E113" s="193"/>
      <c r="F113" s="193"/>
    </row>
    <row r="114" spans="1:6" ht="15" x14ac:dyDescent="0.25">
      <c r="A114" s="193"/>
      <c r="B114" s="193"/>
      <c r="C114" s="193"/>
      <c r="D114" s="193"/>
      <c r="E114" s="193"/>
      <c r="F114" s="193"/>
    </row>
    <row r="115" spans="1:6" ht="15" x14ac:dyDescent="0.25">
      <c r="A115" s="193"/>
      <c r="B115" s="193"/>
      <c r="C115" s="193"/>
      <c r="D115" s="193"/>
      <c r="E115" s="193"/>
      <c r="F115" s="193"/>
    </row>
    <row r="116" spans="1:6" ht="15" x14ac:dyDescent="0.25">
      <c r="A116" s="193"/>
      <c r="B116" s="193"/>
      <c r="C116" s="193"/>
      <c r="D116" s="193"/>
      <c r="E116" s="193"/>
      <c r="F116" s="193"/>
    </row>
    <row r="117" spans="1:6" ht="15" x14ac:dyDescent="0.25">
      <c r="A117" s="193"/>
      <c r="B117" s="193"/>
      <c r="C117" s="193"/>
      <c r="D117" s="193"/>
      <c r="E117" s="193"/>
      <c r="F117" s="193"/>
    </row>
    <row r="118" spans="1:6" ht="15" x14ac:dyDescent="0.25">
      <c r="A118" s="193"/>
      <c r="B118" s="193"/>
      <c r="C118" s="193"/>
      <c r="D118" s="193"/>
      <c r="E118" s="193"/>
      <c r="F118" s="193"/>
    </row>
    <row r="119" spans="1:6" ht="15" x14ac:dyDescent="0.25">
      <c r="A119" s="193"/>
      <c r="B119" s="193"/>
      <c r="C119" s="193"/>
      <c r="D119" s="193"/>
      <c r="E119" s="193"/>
      <c r="F119" s="193"/>
    </row>
    <row r="120" spans="1:6" ht="15" x14ac:dyDescent="0.25">
      <c r="A120" s="193"/>
      <c r="B120" s="193"/>
      <c r="C120" s="193"/>
      <c r="D120" s="193"/>
      <c r="E120" s="193"/>
      <c r="F120" s="193"/>
    </row>
    <row r="121" spans="1:6" ht="15" x14ac:dyDescent="0.25">
      <c r="A121" s="193"/>
      <c r="B121" s="193"/>
      <c r="C121" s="193"/>
      <c r="D121" s="193"/>
      <c r="E121" s="193"/>
      <c r="F121" s="193"/>
    </row>
    <row r="122" spans="1:6" ht="15" x14ac:dyDescent="0.25">
      <c r="A122" s="193"/>
      <c r="B122" s="193"/>
      <c r="C122" s="193"/>
      <c r="D122" s="193"/>
      <c r="E122" s="193"/>
      <c r="F122" s="193"/>
    </row>
    <row r="123" spans="1:6" ht="15" x14ac:dyDescent="0.25">
      <c r="A123" s="193"/>
      <c r="B123" s="193"/>
      <c r="C123" s="193"/>
      <c r="D123" s="193"/>
      <c r="E123" s="193"/>
      <c r="F123" s="193"/>
    </row>
    <row r="124" spans="1:6" ht="15" x14ac:dyDescent="0.25">
      <c r="A124" s="193"/>
      <c r="B124" s="193"/>
      <c r="C124" s="193"/>
      <c r="D124" s="193"/>
      <c r="E124" s="193"/>
      <c r="F124" s="193"/>
    </row>
    <row r="125" spans="1:6" ht="15" x14ac:dyDescent="0.25">
      <c r="A125" s="193"/>
      <c r="B125" s="193"/>
      <c r="C125" s="193"/>
      <c r="D125" s="193"/>
      <c r="E125" s="193"/>
      <c r="F125" s="193"/>
    </row>
    <row r="126" spans="1:6" ht="15" x14ac:dyDescent="0.25">
      <c r="A126" s="193"/>
      <c r="B126" s="193"/>
      <c r="C126" s="193"/>
      <c r="D126" s="193"/>
      <c r="E126" s="193"/>
      <c r="F126" s="193"/>
    </row>
    <row r="127" spans="1:6" ht="15" x14ac:dyDescent="0.25">
      <c r="A127" s="193"/>
      <c r="B127" s="193"/>
      <c r="C127" s="193"/>
      <c r="D127" s="193"/>
      <c r="E127" s="193"/>
      <c r="F127" s="193"/>
    </row>
    <row r="128" spans="1:6" ht="15" x14ac:dyDescent="0.25">
      <c r="A128" s="193"/>
      <c r="B128" s="193"/>
      <c r="C128" s="193"/>
      <c r="D128" s="193"/>
      <c r="E128" s="193"/>
      <c r="F128" s="193"/>
    </row>
    <row r="129" spans="1:6" ht="15" x14ac:dyDescent="0.25">
      <c r="A129" s="193"/>
      <c r="B129" s="193"/>
      <c r="C129" s="193"/>
      <c r="D129" s="193"/>
      <c r="E129" s="193"/>
      <c r="F129" s="193"/>
    </row>
    <row r="130" spans="1:6" ht="15" x14ac:dyDescent="0.25">
      <c r="A130" s="193"/>
      <c r="B130" s="193"/>
      <c r="C130" s="193"/>
      <c r="D130" s="193"/>
      <c r="E130" s="193"/>
      <c r="F130" s="193"/>
    </row>
    <row r="131" spans="1:6" ht="15" x14ac:dyDescent="0.25">
      <c r="A131" s="193"/>
      <c r="B131" s="193"/>
      <c r="C131" s="193"/>
      <c r="D131" s="193"/>
      <c r="E131" s="193"/>
      <c r="F131" s="193"/>
    </row>
    <row r="132" spans="1:6" ht="15" x14ac:dyDescent="0.25">
      <c r="A132" s="193"/>
      <c r="B132" s="193"/>
      <c r="C132" s="193"/>
      <c r="D132" s="193"/>
      <c r="E132" s="193"/>
      <c r="F132" s="193"/>
    </row>
    <row r="133" spans="1:6" ht="15" x14ac:dyDescent="0.25">
      <c r="A133" s="193"/>
      <c r="B133" s="193"/>
      <c r="C133" s="193"/>
      <c r="D133" s="193"/>
      <c r="E133" s="193"/>
      <c r="F133" s="193"/>
    </row>
    <row r="134" spans="1:6" ht="15" x14ac:dyDescent="0.25">
      <c r="A134" s="193"/>
      <c r="B134" s="193"/>
      <c r="C134" s="193"/>
      <c r="D134" s="193"/>
      <c r="E134" s="193"/>
      <c r="F134" s="193"/>
    </row>
    <row r="135" spans="1:6" ht="15" x14ac:dyDescent="0.25">
      <c r="A135" s="193"/>
      <c r="B135" s="193"/>
      <c r="C135" s="193"/>
      <c r="D135" s="193"/>
      <c r="E135" s="193"/>
      <c r="F135" s="193"/>
    </row>
    <row r="136" spans="1:6" ht="15" x14ac:dyDescent="0.25">
      <c r="A136" s="193"/>
      <c r="B136" s="193"/>
      <c r="C136" s="193"/>
      <c r="D136" s="193"/>
      <c r="E136" s="193"/>
      <c r="F136" s="193"/>
    </row>
    <row r="137" spans="1:6" ht="15" x14ac:dyDescent="0.25">
      <c r="A137" s="193"/>
      <c r="B137" s="193"/>
      <c r="C137" s="193"/>
      <c r="D137" s="193"/>
      <c r="E137" s="193"/>
      <c r="F137" s="193"/>
    </row>
    <row r="138" spans="1:6" ht="15" x14ac:dyDescent="0.25">
      <c r="A138" s="193"/>
      <c r="B138" s="193"/>
      <c r="C138" s="193"/>
      <c r="D138" s="193"/>
      <c r="E138" s="193"/>
      <c r="F138" s="193"/>
    </row>
    <row r="139" spans="1:6" ht="15" x14ac:dyDescent="0.25">
      <c r="A139" s="193"/>
      <c r="B139" s="193"/>
      <c r="C139" s="193"/>
      <c r="D139" s="193"/>
      <c r="E139" s="193"/>
      <c r="F139" s="193"/>
    </row>
    <row r="140" spans="1:6" ht="15" x14ac:dyDescent="0.25">
      <c r="A140" s="193"/>
      <c r="B140" s="193"/>
      <c r="C140" s="193"/>
      <c r="D140" s="193"/>
      <c r="E140" s="193"/>
      <c r="F140" s="193"/>
    </row>
    <row r="141" spans="1:6" ht="15" x14ac:dyDescent="0.25">
      <c r="A141" s="193"/>
      <c r="B141" s="193"/>
      <c r="C141" s="193"/>
      <c r="D141" s="193"/>
      <c r="E141" s="193"/>
      <c r="F141" s="193"/>
    </row>
    <row r="142" spans="1:6" ht="15" x14ac:dyDescent="0.25">
      <c r="A142" s="193"/>
      <c r="B142" s="193"/>
      <c r="C142" s="193"/>
      <c r="D142" s="193"/>
      <c r="E142" s="193"/>
      <c r="F142" s="193"/>
    </row>
    <row r="143" spans="1:6" ht="15" x14ac:dyDescent="0.25">
      <c r="A143" s="193"/>
      <c r="B143" s="193"/>
      <c r="C143" s="193"/>
      <c r="D143" s="193"/>
      <c r="E143" s="193"/>
      <c r="F143" s="193"/>
    </row>
    <row r="144" spans="1:6" ht="15" x14ac:dyDescent="0.25">
      <c r="A144" s="193"/>
      <c r="B144" s="193"/>
      <c r="C144" s="193"/>
      <c r="D144" s="193"/>
      <c r="E144" s="193"/>
      <c r="F144" s="193"/>
    </row>
    <row r="145" spans="1:6" ht="15" x14ac:dyDescent="0.25">
      <c r="A145" s="193"/>
      <c r="B145" s="193"/>
      <c r="C145" s="193"/>
      <c r="D145" s="193"/>
      <c r="E145" s="193"/>
      <c r="F145" s="193"/>
    </row>
    <row r="146" spans="1:6" ht="15" x14ac:dyDescent="0.25">
      <c r="A146" s="193"/>
      <c r="B146" s="193"/>
      <c r="C146" s="193"/>
      <c r="D146" s="193"/>
      <c r="E146" s="193"/>
      <c r="F146" s="193"/>
    </row>
    <row r="147" spans="1:6" ht="15" x14ac:dyDescent="0.25">
      <c r="A147" s="193"/>
      <c r="B147" s="193"/>
      <c r="C147" s="193"/>
      <c r="D147" s="193"/>
      <c r="E147" s="193"/>
      <c r="F147" s="193"/>
    </row>
    <row r="148" spans="1:6" ht="15" x14ac:dyDescent="0.25">
      <c r="A148" s="193"/>
      <c r="B148" s="193"/>
      <c r="C148" s="193"/>
      <c r="D148" s="193"/>
      <c r="E148" s="193"/>
      <c r="F148" s="193"/>
    </row>
    <row r="149" spans="1:6" ht="15" x14ac:dyDescent="0.25">
      <c r="A149" s="193"/>
      <c r="B149" s="193"/>
      <c r="C149" s="193"/>
      <c r="D149" s="193"/>
      <c r="E149" s="193"/>
      <c r="F149" s="193"/>
    </row>
    <row r="150" spans="1:6" ht="15" x14ac:dyDescent="0.25">
      <c r="A150" s="193"/>
      <c r="B150" s="193"/>
      <c r="C150" s="193"/>
      <c r="D150" s="193"/>
      <c r="E150" s="193"/>
      <c r="F150" s="193"/>
    </row>
    <row r="151" spans="1:6" ht="15" x14ac:dyDescent="0.25">
      <c r="A151" s="193"/>
      <c r="B151" s="193"/>
      <c r="C151" s="193"/>
      <c r="D151" s="193"/>
      <c r="E151" s="193"/>
      <c r="F151" s="193"/>
    </row>
    <row r="152" spans="1:6" ht="15" x14ac:dyDescent="0.25">
      <c r="A152" s="193"/>
      <c r="B152" s="193"/>
      <c r="C152" s="193"/>
      <c r="D152" s="193"/>
      <c r="E152" s="193"/>
      <c r="F152" s="193"/>
    </row>
    <row r="153" spans="1:6" ht="15" x14ac:dyDescent="0.25">
      <c r="A153" s="193"/>
      <c r="B153" s="193"/>
      <c r="C153" s="193"/>
      <c r="D153" s="193"/>
      <c r="E153" s="193"/>
      <c r="F153" s="193"/>
    </row>
    <row r="154" spans="1:6" ht="15" x14ac:dyDescent="0.25">
      <c r="A154" s="193"/>
      <c r="B154" s="193"/>
      <c r="C154" s="193"/>
      <c r="D154" s="193"/>
      <c r="E154" s="193"/>
      <c r="F154" s="193"/>
    </row>
    <row r="155" spans="1:6" ht="15" x14ac:dyDescent="0.25">
      <c r="A155" s="193"/>
      <c r="B155" s="193"/>
      <c r="C155" s="193"/>
      <c r="D155" s="193"/>
      <c r="E155" s="193"/>
      <c r="F155" s="193"/>
    </row>
    <row r="156" spans="1:6" ht="15" x14ac:dyDescent="0.25">
      <c r="A156" s="193"/>
      <c r="B156" s="193"/>
      <c r="C156" s="193"/>
      <c r="D156" s="193"/>
      <c r="E156" s="193"/>
      <c r="F156" s="193"/>
    </row>
    <row r="157" spans="1:6" ht="15" x14ac:dyDescent="0.25">
      <c r="A157" s="193"/>
      <c r="B157" s="193"/>
      <c r="C157" s="193"/>
      <c r="D157" s="193"/>
      <c r="E157" s="193"/>
      <c r="F157" s="193"/>
    </row>
    <row r="158" spans="1:6" ht="15" x14ac:dyDescent="0.25">
      <c r="A158" s="193"/>
      <c r="B158" s="193"/>
      <c r="C158" s="193"/>
      <c r="D158" s="193"/>
      <c r="E158" s="193"/>
      <c r="F158" s="193"/>
    </row>
    <row r="159" spans="1:6" ht="15" x14ac:dyDescent="0.25">
      <c r="A159" s="193"/>
      <c r="B159" s="193"/>
      <c r="C159" s="193"/>
      <c r="D159" s="193"/>
      <c r="E159" s="193"/>
      <c r="F159" s="193"/>
    </row>
    <row r="160" spans="1:6" ht="15" x14ac:dyDescent="0.25">
      <c r="A160" s="193"/>
      <c r="B160" s="193"/>
      <c r="C160" s="193"/>
      <c r="D160" s="193"/>
      <c r="E160" s="193"/>
      <c r="F160" s="193"/>
    </row>
    <row r="161" spans="1:6" ht="15" x14ac:dyDescent="0.25">
      <c r="A161" s="193"/>
      <c r="B161" s="193"/>
      <c r="C161" s="193"/>
      <c r="D161" s="193"/>
      <c r="E161" s="193"/>
      <c r="F161" s="193"/>
    </row>
    <row r="162" spans="1:6" ht="15" x14ac:dyDescent="0.25">
      <c r="A162" s="193"/>
      <c r="B162" s="193"/>
      <c r="C162" s="193"/>
      <c r="D162" s="193"/>
      <c r="E162" s="193"/>
      <c r="F162" s="193"/>
    </row>
    <row r="163" spans="1:6" ht="15" x14ac:dyDescent="0.25">
      <c r="A163" s="193"/>
      <c r="B163" s="193"/>
      <c r="C163" s="193"/>
      <c r="D163" s="193"/>
      <c r="E163" s="193"/>
      <c r="F163" s="193"/>
    </row>
    <row r="164" spans="1:6" ht="15" x14ac:dyDescent="0.25">
      <c r="A164" s="193"/>
      <c r="B164" s="193"/>
      <c r="C164" s="193"/>
      <c r="D164" s="193"/>
      <c r="E164" s="193"/>
      <c r="F164" s="193"/>
    </row>
    <row r="165" spans="1:6" ht="15" x14ac:dyDescent="0.25">
      <c r="A165" s="193"/>
      <c r="B165" s="193"/>
      <c r="C165" s="193"/>
      <c r="D165" s="193"/>
      <c r="E165" s="193"/>
      <c r="F165" s="193"/>
    </row>
    <row r="166" spans="1:6" ht="15" x14ac:dyDescent="0.25">
      <c r="A166" s="193"/>
      <c r="B166" s="193"/>
      <c r="C166" s="193"/>
      <c r="D166" s="193"/>
      <c r="E166" s="193"/>
      <c r="F166" s="193"/>
    </row>
    <row r="167" spans="1:6" ht="15" x14ac:dyDescent="0.25">
      <c r="A167" s="193"/>
      <c r="B167" s="193"/>
      <c r="C167" s="193"/>
      <c r="D167" s="193"/>
      <c r="E167" s="193"/>
      <c r="F167" s="193"/>
    </row>
    <row r="168" spans="1:6" ht="15" x14ac:dyDescent="0.25">
      <c r="A168" s="193"/>
      <c r="B168" s="193"/>
      <c r="C168" s="193"/>
      <c r="D168" s="193"/>
      <c r="E168" s="193"/>
      <c r="F168" s="193"/>
    </row>
    <row r="169" spans="1:6" ht="15" x14ac:dyDescent="0.25">
      <c r="A169" s="193"/>
      <c r="B169" s="193"/>
      <c r="C169" s="193"/>
      <c r="D169" s="193"/>
      <c r="E169" s="193"/>
      <c r="F169" s="193"/>
    </row>
    <row r="170" spans="1:6" ht="15" x14ac:dyDescent="0.25">
      <c r="A170" s="193"/>
      <c r="B170" s="193"/>
      <c r="C170" s="193"/>
      <c r="D170" s="193"/>
      <c r="E170" s="193"/>
      <c r="F170" s="193"/>
    </row>
    <row r="171" spans="1:6" ht="15" x14ac:dyDescent="0.25">
      <c r="A171" s="193"/>
      <c r="B171" s="193"/>
      <c r="C171" s="193"/>
      <c r="D171" s="193"/>
      <c r="E171" s="193"/>
      <c r="F171" s="193"/>
    </row>
    <row r="172" spans="1:6" ht="15" x14ac:dyDescent="0.25">
      <c r="A172" s="193"/>
      <c r="B172" s="193"/>
      <c r="C172" s="193"/>
      <c r="D172" s="193"/>
      <c r="E172" s="193"/>
      <c r="F172" s="193"/>
    </row>
    <row r="173" spans="1:6" ht="15" x14ac:dyDescent="0.25">
      <c r="A173" s="193"/>
      <c r="B173" s="193"/>
      <c r="C173" s="193"/>
      <c r="D173" s="193"/>
      <c r="E173" s="193"/>
      <c r="F173" s="193"/>
    </row>
    <row r="174" spans="1:6" ht="15" x14ac:dyDescent="0.25">
      <c r="A174" s="193"/>
      <c r="B174" s="193"/>
      <c r="C174" s="193"/>
      <c r="D174" s="193"/>
      <c r="E174" s="193"/>
      <c r="F174" s="193"/>
    </row>
    <row r="175" spans="1:6" ht="15" x14ac:dyDescent="0.25">
      <c r="A175" s="193"/>
      <c r="B175" s="193"/>
      <c r="C175" s="193"/>
      <c r="D175" s="193"/>
      <c r="E175" s="193"/>
      <c r="F175" s="193"/>
    </row>
    <row r="176" spans="1:6" ht="15" x14ac:dyDescent="0.25">
      <c r="A176" s="193"/>
      <c r="B176" s="193"/>
      <c r="C176" s="193"/>
      <c r="D176" s="193"/>
      <c r="E176" s="193"/>
      <c r="F176" s="193"/>
    </row>
    <row r="177" spans="1:6" ht="15" x14ac:dyDescent="0.25">
      <c r="A177" s="193"/>
      <c r="B177" s="193"/>
      <c r="C177" s="193"/>
      <c r="D177" s="193"/>
      <c r="E177" s="193"/>
      <c r="F177" s="193"/>
    </row>
    <row r="178" spans="1:6" ht="15" x14ac:dyDescent="0.25">
      <c r="A178" s="193"/>
      <c r="B178" s="193"/>
      <c r="C178" s="193"/>
      <c r="D178" s="193"/>
      <c r="E178" s="193"/>
      <c r="F178" s="193"/>
    </row>
    <row r="179" spans="1:6" ht="15" x14ac:dyDescent="0.25">
      <c r="A179" s="193"/>
      <c r="B179" s="193"/>
      <c r="C179" s="193"/>
      <c r="D179" s="193"/>
      <c r="E179" s="193"/>
      <c r="F179" s="193"/>
    </row>
    <row r="180" spans="1:6" ht="15" x14ac:dyDescent="0.25">
      <c r="A180" s="193"/>
      <c r="B180" s="193"/>
      <c r="C180" s="193"/>
      <c r="D180" s="193"/>
      <c r="E180" s="193"/>
      <c r="F180" s="193"/>
    </row>
    <row r="181" spans="1:6" ht="15" x14ac:dyDescent="0.25">
      <c r="A181" s="193"/>
      <c r="B181" s="193"/>
      <c r="C181" s="193"/>
      <c r="D181" s="193"/>
      <c r="E181" s="193"/>
      <c r="F181" s="193"/>
    </row>
    <row r="182" spans="1:6" ht="15" x14ac:dyDescent="0.25">
      <c r="A182" s="193"/>
      <c r="B182" s="193"/>
      <c r="C182" s="193"/>
      <c r="D182" s="193"/>
      <c r="E182" s="193"/>
      <c r="F182" s="193"/>
    </row>
    <row r="183" spans="1:6" ht="15" x14ac:dyDescent="0.25">
      <c r="A183" s="193"/>
      <c r="B183" s="193"/>
      <c r="C183" s="193"/>
      <c r="D183" s="193"/>
      <c r="E183" s="193"/>
      <c r="F183" s="193"/>
    </row>
    <row r="184" spans="1:6" ht="15" x14ac:dyDescent="0.25">
      <c r="A184" s="193"/>
      <c r="B184" s="193"/>
      <c r="C184" s="193"/>
      <c r="D184" s="193"/>
      <c r="E184" s="193"/>
      <c r="F184" s="193"/>
    </row>
    <row r="185" spans="1:6" ht="15" x14ac:dyDescent="0.25">
      <c r="A185" s="193"/>
      <c r="B185" s="193"/>
      <c r="C185" s="193"/>
      <c r="D185" s="193"/>
      <c r="E185" s="193"/>
      <c r="F185" s="193"/>
    </row>
    <row r="186" spans="1:6" ht="15" x14ac:dyDescent="0.25">
      <c r="A186" s="193"/>
      <c r="B186" s="193"/>
      <c r="C186" s="193"/>
      <c r="D186" s="193"/>
      <c r="E186" s="193"/>
      <c r="F186" s="193"/>
    </row>
    <row r="187" spans="1:6" ht="15" x14ac:dyDescent="0.25">
      <c r="A187" s="193"/>
      <c r="B187" s="193"/>
      <c r="C187" s="193"/>
      <c r="D187" s="193"/>
      <c r="E187" s="193"/>
      <c r="F187" s="193"/>
    </row>
    <row r="188" spans="1:6" ht="15" x14ac:dyDescent="0.25">
      <c r="A188" s="193"/>
      <c r="B188" s="193"/>
      <c r="C188" s="193"/>
      <c r="D188" s="193"/>
      <c r="E188" s="193"/>
      <c r="F188" s="193"/>
    </row>
    <row r="189" spans="1:6" ht="15" x14ac:dyDescent="0.25">
      <c r="A189" s="193"/>
      <c r="B189" s="193"/>
      <c r="C189" s="193"/>
      <c r="D189" s="193"/>
      <c r="E189" s="193"/>
      <c r="F189" s="193"/>
    </row>
    <row r="190" spans="1:6" ht="15" x14ac:dyDescent="0.25">
      <c r="A190" s="193"/>
      <c r="B190" s="193"/>
      <c r="C190" s="193"/>
      <c r="D190" s="193"/>
      <c r="E190" s="193"/>
      <c r="F190" s="193"/>
    </row>
    <row r="191" spans="1:6" ht="15" x14ac:dyDescent="0.25">
      <c r="A191" s="193"/>
      <c r="B191" s="193"/>
      <c r="C191" s="193"/>
      <c r="D191" s="193"/>
      <c r="E191" s="193"/>
      <c r="F191" s="193"/>
    </row>
    <row r="192" spans="1:6" ht="15" x14ac:dyDescent="0.25">
      <c r="A192" s="193"/>
      <c r="B192" s="193"/>
      <c r="C192" s="193"/>
      <c r="D192" s="193"/>
      <c r="E192" s="193"/>
      <c r="F192" s="193"/>
    </row>
  </sheetData>
  <mergeCells count="8">
    <mergeCell ref="R33:R38"/>
    <mergeCell ref="S1:U1"/>
    <mergeCell ref="B1:E1"/>
    <mergeCell ref="G2:K2"/>
    <mergeCell ref="M1:P1"/>
    <mergeCell ref="R3:R12"/>
    <mergeCell ref="R13:R20"/>
    <mergeCell ref="R21:R32"/>
  </mergeCells>
  <hyperlinks>
    <hyperlink ref="B35" r:id="rId1"/>
  </hyperlinks>
  <pageMargins left="0.7" right="0.7" top="0.75" bottom="0.75" header="0.3" footer="0.3"/>
  <ignoredErrors>
    <ignoredError sqref="U3" formulaRang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A495"/>
  <sheetViews>
    <sheetView topLeftCell="C5" zoomScale="64" zoomScaleNormal="70" workbookViewId="0">
      <pane ySplit="3" topLeftCell="A8" activePane="bottomLeft" state="frozen"/>
      <selection activeCell="E5" sqref="E5"/>
      <selection pane="bottomLeft" activeCell="D9" sqref="D9:E9"/>
    </sheetView>
  </sheetViews>
  <sheetFormatPr baseColWidth="10" defaultColWidth="11.42578125" defaultRowHeight="43.5" customHeight="1" x14ac:dyDescent="0.2"/>
  <cols>
    <col min="1" max="1" width="11.28515625" style="16" hidden="1" customWidth="1"/>
    <col min="2" max="2" width="7" style="16" hidden="1" customWidth="1"/>
    <col min="3" max="3" width="7.85546875" style="16" hidden="1" customWidth="1"/>
    <col min="4" max="4" width="15" style="16" customWidth="1"/>
    <col min="5" max="5" width="12.42578125" style="16" customWidth="1"/>
    <col min="6" max="6" width="20.28515625" style="260" customWidth="1"/>
    <col min="7" max="7" width="27" style="192" customWidth="1"/>
    <col min="8" max="8" width="17.42578125" style="260" customWidth="1"/>
    <col min="9" max="9" width="11.7109375" style="260" customWidth="1"/>
    <col min="10" max="10" width="10.7109375" style="19" customWidth="1"/>
    <col min="11" max="14" width="9.7109375" style="19" customWidth="1"/>
    <col min="15" max="15" width="8.140625" style="19" customWidth="1"/>
    <col min="16" max="16" width="9.7109375" style="19" customWidth="1"/>
    <col min="17" max="17" width="30.28515625" style="19" customWidth="1"/>
    <col min="18" max="18" width="14.7109375" style="19" customWidth="1"/>
    <col min="19" max="19" width="12.5703125" style="19" customWidth="1"/>
    <col min="20" max="20" width="68.7109375" style="18" customWidth="1"/>
    <col min="21" max="21" width="13.5703125" style="18" customWidth="1"/>
    <col min="22" max="22" width="9.28515625" style="19" customWidth="1"/>
    <col min="23" max="23" width="13" style="18" customWidth="1"/>
    <col min="24" max="24" width="14.28515625" style="93" customWidth="1"/>
    <col min="25" max="25" width="16.42578125" style="93" customWidth="1"/>
    <col min="26" max="26" width="44.42578125" style="94" customWidth="1"/>
    <col min="27" max="32" width="44.42578125" style="18" customWidth="1"/>
    <col min="33" max="49" width="16.28515625" style="18" customWidth="1"/>
    <col min="50" max="50" width="16.85546875" style="18" customWidth="1"/>
    <col min="51" max="51" width="44.5703125" style="18" customWidth="1"/>
    <col min="52" max="16384" width="11.42578125" style="18"/>
  </cols>
  <sheetData>
    <row r="1" spans="1:339" s="21" customFormat="1" ht="77.25" customHeight="1" thickBot="1" x14ac:dyDescent="0.35">
      <c r="A1" s="23"/>
      <c r="B1" s="24"/>
      <c r="C1" s="24"/>
      <c r="D1" s="825"/>
      <c r="E1" s="825"/>
      <c r="F1" s="825"/>
      <c r="G1" s="825"/>
      <c r="H1" s="825"/>
      <c r="I1" s="825"/>
      <c r="J1" s="825"/>
      <c r="K1" s="825"/>
      <c r="L1" s="825"/>
      <c r="M1" s="825"/>
      <c r="N1" s="825"/>
      <c r="O1" s="825"/>
      <c r="P1" s="825"/>
      <c r="Q1" s="825"/>
      <c r="R1" s="825"/>
      <c r="S1" s="825"/>
      <c r="T1" s="825"/>
      <c r="U1" s="825"/>
      <c r="V1" s="825"/>
      <c r="W1" s="825"/>
      <c r="X1" s="825"/>
      <c r="Y1" s="825"/>
      <c r="Z1" s="825"/>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0"/>
    </row>
    <row r="2" spans="1:339" s="21" customFormat="1" ht="43.5" customHeight="1" thickBot="1" x14ac:dyDescent="0.35">
      <c r="A2" s="23"/>
      <c r="B2" s="24"/>
      <c r="C2" s="24"/>
      <c r="D2" s="826" t="s">
        <v>1966</v>
      </c>
      <c r="E2" s="826"/>
      <c r="F2" s="826"/>
      <c r="G2" s="826"/>
      <c r="H2" s="826"/>
      <c r="I2" s="826"/>
      <c r="J2" s="826"/>
      <c r="K2" s="826"/>
      <c r="L2" s="826"/>
      <c r="M2" s="826"/>
      <c r="N2" s="826"/>
      <c r="O2" s="826"/>
      <c r="P2" s="826"/>
      <c r="Q2" s="826"/>
      <c r="R2" s="826"/>
      <c r="S2" s="826"/>
      <c r="T2" s="826"/>
      <c r="U2" s="826"/>
      <c r="V2" s="826"/>
      <c r="W2" s="826"/>
      <c r="X2" s="826"/>
      <c r="Y2" s="826"/>
      <c r="Z2" s="826"/>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0"/>
    </row>
    <row r="3" spans="1:339" s="29" customFormat="1" ht="43.5" customHeight="1" thickBot="1" x14ac:dyDescent="0.3">
      <c r="A3" s="25"/>
      <c r="B3" s="26"/>
      <c r="C3" s="26"/>
      <c r="D3" s="827" t="s">
        <v>1967</v>
      </c>
      <c r="E3" s="827"/>
      <c r="F3" s="827"/>
      <c r="G3" s="827"/>
      <c r="H3" s="827"/>
      <c r="I3" s="827"/>
      <c r="J3" s="827"/>
      <c r="K3" s="827"/>
      <c r="L3" s="827"/>
      <c r="M3" s="827"/>
      <c r="N3" s="827"/>
      <c r="O3" s="827"/>
      <c r="P3" s="827"/>
      <c r="Q3" s="827"/>
      <c r="R3" s="827"/>
      <c r="S3" s="827"/>
      <c r="T3" s="827"/>
      <c r="U3" s="827"/>
      <c r="V3" s="827"/>
      <c r="W3" s="827"/>
      <c r="X3" s="827"/>
      <c r="Y3" s="827"/>
      <c r="Z3" s="8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8"/>
    </row>
    <row r="4" spans="1:339" s="29" customFormat="1" ht="62.25" customHeight="1" thickBot="1" x14ac:dyDescent="0.3">
      <c r="D4" s="832"/>
      <c r="E4" s="832"/>
      <c r="F4" s="832"/>
      <c r="G4" s="832"/>
      <c r="H4" s="832"/>
      <c r="I4" s="832"/>
      <c r="J4" s="832"/>
      <c r="K4" s="832"/>
      <c r="L4" s="832"/>
      <c r="M4" s="832"/>
      <c r="N4" s="832"/>
      <c r="O4" s="832"/>
      <c r="P4" s="832"/>
      <c r="Q4" s="832"/>
      <c r="R4" s="832"/>
      <c r="S4" s="832"/>
      <c r="T4" s="832"/>
      <c r="U4" s="832"/>
      <c r="V4" s="832"/>
      <c r="W4" s="832"/>
      <c r="X4" s="832"/>
      <c r="Y4" s="832"/>
      <c r="Z4" s="832"/>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8"/>
    </row>
    <row r="5" spans="1:339" s="21" customFormat="1" ht="43.5" customHeight="1" x14ac:dyDescent="0.3">
      <c r="A5" s="30"/>
      <c r="B5" s="30"/>
      <c r="C5" s="30"/>
      <c r="D5" s="829" t="s">
        <v>1966</v>
      </c>
      <c r="E5" s="830"/>
      <c r="F5" s="830"/>
      <c r="G5" s="830"/>
      <c r="H5" s="830"/>
      <c r="I5" s="830"/>
      <c r="J5" s="830"/>
      <c r="K5" s="830"/>
      <c r="L5" s="830"/>
      <c r="M5" s="830"/>
      <c r="N5" s="831"/>
      <c r="O5" s="828" t="s">
        <v>1968</v>
      </c>
      <c r="P5" s="828"/>
      <c r="Q5" s="828"/>
      <c r="R5" s="828" t="s">
        <v>1969</v>
      </c>
      <c r="S5" s="828"/>
      <c r="T5" s="828"/>
      <c r="U5" s="828" t="s">
        <v>1970</v>
      </c>
      <c r="V5" s="828"/>
      <c r="W5" s="828"/>
      <c r="X5" s="828" t="s">
        <v>1971</v>
      </c>
      <c r="Y5" s="828"/>
      <c r="Z5" s="828"/>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20"/>
    </row>
    <row r="6" spans="1:339" s="21" customFormat="1" ht="19.5" customHeight="1" x14ac:dyDescent="0.3">
      <c r="A6" s="30"/>
      <c r="B6" s="30"/>
      <c r="C6" s="30"/>
      <c r="D6" s="844" t="s">
        <v>1972</v>
      </c>
      <c r="E6" s="845"/>
      <c r="F6" s="845"/>
      <c r="G6" s="845"/>
      <c r="H6" s="845"/>
      <c r="I6" s="845"/>
      <c r="J6" s="845"/>
      <c r="K6" s="845"/>
      <c r="L6" s="845"/>
      <c r="M6" s="845"/>
      <c r="N6" s="846"/>
      <c r="O6" s="458"/>
      <c r="P6" s="458"/>
      <c r="Q6" s="458"/>
      <c r="R6" s="458"/>
      <c r="S6" s="458"/>
      <c r="T6" s="458"/>
      <c r="U6" s="458"/>
      <c r="V6" s="458"/>
      <c r="W6" s="458"/>
      <c r="X6" s="458"/>
      <c r="Y6" s="458"/>
      <c r="Z6" s="458"/>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20"/>
    </row>
    <row r="7" spans="1:339" s="37" customFormat="1" ht="47.25" customHeight="1" x14ac:dyDescent="0.2">
      <c r="A7" s="32" t="s">
        <v>1973</v>
      </c>
      <c r="B7" s="33" t="s">
        <v>1974</v>
      </c>
      <c r="C7" s="34" t="s">
        <v>1975</v>
      </c>
      <c r="D7" s="35" t="s">
        <v>1934</v>
      </c>
      <c r="E7" s="32" t="s">
        <v>1976</v>
      </c>
      <c r="F7" s="32" t="s">
        <v>1977</v>
      </c>
      <c r="G7" s="32" t="s">
        <v>1978</v>
      </c>
      <c r="H7" s="32" t="s">
        <v>1979</v>
      </c>
      <c r="I7" s="32" t="s">
        <v>2370</v>
      </c>
      <c r="J7" s="32" t="s">
        <v>1980</v>
      </c>
      <c r="K7" s="32" t="s">
        <v>1981</v>
      </c>
      <c r="L7" s="32" t="s">
        <v>1982</v>
      </c>
      <c r="M7" s="32" t="s">
        <v>1983</v>
      </c>
      <c r="N7" s="32" t="s">
        <v>1984</v>
      </c>
      <c r="O7" s="32" t="s">
        <v>1985</v>
      </c>
      <c r="P7" s="32" t="s">
        <v>1986</v>
      </c>
      <c r="Q7" s="32" t="s">
        <v>1987</v>
      </c>
      <c r="R7" s="32" t="s">
        <v>1985</v>
      </c>
      <c r="S7" s="32" t="s">
        <v>1986</v>
      </c>
      <c r="T7" s="32" t="s">
        <v>1987</v>
      </c>
      <c r="U7" s="32" t="s">
        <v>1985</v>
      </c>
      <c r="V7" s="32" t="s">
        <v>1986</v>
      </c>
      <c r="W7" s="32" t="s">
        <v>1987</v>
      </c>
      <c r="X7" s="32" t="s">
        <v>1985</v>
      </c>
      <c r="Y7" s="32" t="s">
        <v>1986</v>
      </c>
      <c r="Z7" s="32" t="s">
        <v>1987</v>
      </c>
      <c r="AA7" s="36"/>
      <c r="AB7" s="36"/>
      <c r="AC7" s="36"/>
      <c r="AD7" s="36"/>
      <c r="AE7" s="36"/>
      <c r="AF7" s="36"/>
      <c r="AG7" s="36"/>
      <c r="AH7" s="36"/>
      <c r="AI7" s="36"/>
      <c r="AJ7" s="36"/>
      <c r="AK7" s="36"/>
      <c r="AL7" s="36"/>
      <c r="AM7" s="36"/>
      <c r="AN7" s="36"/>
      <c r="AO7" s="36"/>
      <c r="AP7" s="36"/>
      <c r="AQ7" s="36"/>
      <c r="AR7" s="36"/>
      <c r="AS7" s="36"/>
      <c r="AT7" s="36"/>
      <c r="AU7" s="36"/>
      <c r="AV7" s="36"/>
      <c r="AW7" s="36"/>
      <c r="AX7" s="36"/>
      <c r="AY7" s="36"/>
    </row>
    <row r="8" spans="1:339" s="37" customFormat="1" ht="6.75" customHeight="1" x14ac:dyDescent="0.2">
      <c r="A8" s="361"/>
      <c r="B8" s="33"/>
      <c r="C8" s="34"/>
      <c r="D8" s="35"/>
      <c r="E8" s="32"/>
      <c r="F8" s="32"/>
      <c r="G8" s="32"/>
      <c r="H8" s="32"/>
      <c r="I8" s="32"/>
      <c r="J8" s="32"/>
      <c r="K8" s="32"/>
      <c r="L8" s="32"/>
      <c r="M8" s="32"/>
      <c r="N8" s="32"/>
      <c r="O8" s="32"/>
      <c r="P8" s="32"/>
      <c r="Q8" s="362"/>
      <c r="R8" s="32"/>
      <c r="S8" s="32"/>
      <c r="T8" s="32"/>
      <c r="U8" s="32"/>
      <c r="V8" s="32"/>
      <c r="W8" s="304"/>
      <c r="X8" s="32"/>
      <c r="Y8" s="32"/>
      <c r="Z8" s="304"/>
      <c r="AA8" s="36"/>
      <c r="AB8" s="36"/>
      <c r="AC8" s="36"/>
      <c r="AD8" s="36"/>
      <c r="AE8" s="36"/>
      <c r="AF8" s="36"/>
      <c r="AG8" s="36"/>
      <c r="AH8" s="36"/>
      <c r="AI8" s="36"/>
      <c r="AJ8" s="36"/>
      <c r="AK8" s="36"/>
      <c r="AL8" s="36"/>
      <c r="AM8" s="36"/>
      <c r="AN8" s="36"/>
      <c r="AO8" s="36"/>
      <c r="AP8" s="36"/>
      <c r="AQ8" s="36"/>
      <c r="AR8" s="36"/>
      <c r="AS8" s="36"/>
      <c r="AT8" s="36"/>
      <c r="AU8" s="36"/>
      <c r="AV8" s="36"/>
      <c r="AW8" s="36"/>
      <c r="AX8" s="36"/>
      <c r="AY8" s="36"/>
    </row>
    <row r="9" spans="1:339" s="47" customFormat="1" ht="91.5" customHeight="1" x14ac:dyDescent="0.25">
      <c r="A9" s="38">
        <v>1</v>
      </c>
      <c r="B9" s="39">
        <v>0</v>
      </c>
      <c r="C9" s="40">
        <v>1</v>
      </c>
      <c r="D9" s="41" t="s">
        <v>1940</v>
      </c>
      <c r="E9" s="42" t="s">
        <v>1988</v>
      </c>
      <c r="F9" s="453" t="s">
        <v>1254</v>
      </c>
      <c r="G9" s="453" t="s">
        <v>191</v>
      </c>
      <c r="H9" s="453" t="s">
        <v>194</v>
      </c>
      <c r="I9" s="43">
        <v>0.12</v>
      </c>
      <c r="J9" s="43">
        <v>0.2</v>
      </c>
      <c r="K9" s="43">
        <v>0.5</v>
      </c>
      <c r="L9" s="43">
        <v>0.5</v>
      </c>
      <c r="M9" s="43">
        <f>'Plan de Acción 2022'!R53</f>
        <v>0.7</v>
      </c>
      <c r="N9" s="43">
        <v>1</v>
      </c>
      <c r="O9" s="43">
        <f>'Plan de Acción 2022'!W59</f>
        <v>0.05</v>
      </c>
      <c r="P9" s="386">
        <f>(O9*20%)/(M9-L9)</f>
        <v>5.0000000000000024E-2</v>
      </c>
      <c r="Q9" s="55" t="s">
        <v>1989</v>
      </c>
      <c r="R9" s="43">
        <f>'Plan de Acción 2022'!AA59</f>
        <v>0.12</v>
      </c>
      <c r="S9" s="386">
        <f>(R9*20%)/(M9-L9)</f>
        <v>0.12000000000000002</v>
      </c>
      <c r="T9" s="453" t="s">
        <v>2287</v>
      </c>
      <c r="U9" s="43">
        <f>'Plan de Acción 2022'!AD59</f>
        <v>0</v>
      </c>
      <c r="V9" s="43">
        <f>'Plan de Acción 2022'!AD59</f>
        <v>0</v>
      </c>
      <c r="W9" s="44"/>
      <c r="X9" s="43">
        <f>'Plan de Acción 2022'!AF59</f>
        <v>0</v>
      </c>
      <c r="Y9" s="43">
        <f>(X9*100%)/(M9-L9)</f>
        <v>0</v>
      </c>
      <c r="Z9" s="45"/>
      <c r="AA9" s="46"/>
      <c r="AB9" s="31"/>
      <c r="AC9" s="31"/>
      <c r="AD9" s="31"/>
      <c r="AE9" s="31"/>
      <c r="AF9" s="31"/>
      <c r="AG9" s="31"/>
      <c r="AH9" s="31"/>
      <c r="AI9" s="31"/>
      <c r="AJ9" s="31"/>
      <c r="AK9" s="31"/>
      <c r="AL9" s="31"/>
      <c r="AM9" s="31"/>
      <c r="AN9" s="31"/>
      <c r="AO9" s="31"/>
      <c r="AP9" s="31"/>
      <c r="AQ9" s="31"/>
      <c r="AR9" s="31"/>
      <c r="AS9" s="31"/>
      <c r="AT9" s="31"/>
      <c r="AU9" s="31"/>
      <c r="AV9" s="31"/>
      <c r="AW9" s="31"/>
      <c r="AX9" s="31"/>
      <c r="AY9" s="31"/>
      <c r="AZ9" s="18"/>
      <c r="BA9" s="18"/>
    </row>
    <row r="10" spans="1:339" s="527" customFormat="1" ht="78.75" customHeight="1" x14ac:dyDescent="0.25">
      <c r="A10" s="517">
        <v>2</v>
      </c>
      <c r="B10" s="517">
        <v>1</v>
      </c>
      <c r="C10" s="518">
        <v>0</v>
      </c>
      <c r="D10" s="519" t="s">
        <v>1946</v>
      </c>
      <c r="E10" s="519" t="s">
        <v>1946</v>
      </c>
      <c r="F10" s="501" t="s">
        <v>737</v>
      </c>
      <c r="G10" s="501" t="s">
        <v>738</v>
      </c>
      <c r="H10" s="501" t="s">
        <v>740</v>
      </c>
      <c r="I10" s="520">
        <v>0</v>
      </c>
      <c r="J10" s="520">
        <v>0</v>
      </c>
      <c r="K10" s="520">
        <v>0.2</v>
      </c>
      <c r="L10" s="521">
        <v>0</v>
      </c>
      <c r="M10" s="521">
        <f>'Plan de Acción 2022'!R171</f>
        <v>0.4</v>
      </c>
      <c r="N10" s="520">
        <v>1</v>
      </c>
      <c r="O10" s="520">
        <f>'Plan de Acción 2022'!W171</f>
        <v>0</v>
      </c>
      <c r="P10" s="521">
        <f>(O10*40%)/(M10-L10)</f>
        <v>0</v>
      </c>
      <c r="Q10" s="520" t="s">
        <v>1990</v>
      </c>
      <c r="R10" s="520">
        <f>'Plan de Acción 2022'!AA171</f>
        <v>0</v>
      </c>
      <c r="S10" s="521">
        <f>(R10*20%)/(M10-L10)</f>
        <v>0</v>
      </c>
      <c r="T10" s="499" t="s">
        <v>2365</v>
      </c>
      <c r="U10" s="520">
        <f>'Plan de Acción 2022'!AD171</f>
        <v>0</v>
      </c>
      <c r="V10" s="521">
        <f>(U10*100%)/(M10-L10)</f>
        <v>0</v>
      </c>
      <c r="W10" s="522"/>
      <c r="X10" s="520">
        <f>'Plan de Acción 2022'!AG171</f>
        <v>0</v>
      </c>
      <c r="Y10" s="521">
        <f>(X10*100%)/(M10-L10)</f>
        <v>0</v>
      </c>
      <c r="Z10" s="523"/>
      <c r="AA10" s="524"/>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6"/>
      <c r="BA10" s="526"/>
    </row>
    <row r="11" spans="1:339" s="21" customFormat="1" ht="127.5" customHeight="1" x14ac:dyDescent="0.25">
      <c r="A11" s="455">
        <v>3</v>
      </c>
      <c r="B11" s="455">
        <v>1</v>
      </c>
      <c r="C11" s="48">
        <v>0</v>
      </c>
      <c r="D11" s="49" t="s">
        <v>1948</v>
      </c>
      <c r="E11" s="42" t="s">
        <v>1991</v>
      </c>
      <c r="F11" s="52" t="s">
        <v>1189</v>
      </c>
      <c r="G11" s="50" t="s">
        <v>1190</v>
      </c>
      <c r="H11" s="50" t="s">
        <v>1193</v>
      </c>
      <c r="I11" s="51">
        <v>0.35</v>
      </c>
      <c r="J11" s="55">
        <v>0.1</v>
      </c>
      <c r="K11" s="51">
        <v>0.2</v>
      </c>
      <c r="L11" s="55">
        <v>0.2</v>
      </c>
      <c r="M11" s="43">
        <f>'Plan de Acción 2022'!R267</f>
        <v>0.6</v>
      </c>
      <c r="N11" s="55">
        <v>1</v>
      </c>
      <c r="O11" s="55">
        <f>('Plan de Acción 2022'!W267+'Plan de Acción 2022'!W457+'Plan de Acción 2022'!W458+'Plan de Acción 2022'!W459+'Plan de Acción 2022'!W460+'Plan de Acción 2022'!W461+'Plan de Acción 2022'!W462+'Plan de Acción 2022'!W463+'Plan de Acción 2022'!W464+'Plan de Acción 2022'!W465+'Plan de Acción 2022'!W466+'Plan de Acción 2022'!W467+'Plan de Acción 2022'!W468+'Plan de Acción 2022'!W469+'Plan de Acción 2022'!W470+'Plan de Acción 2022'!W471+'Plan de Acción 2022'!W472+'Plan de Acción 2022'!W473+'Plan de Acción 2022'!W474+'Plan de Acción 2022'!W475+'Plan de Acción 2022'!W476+'Plan de Acción 2022'!W477+'Plan de Acción 2022'!W478)/23</f>
        <v>8.6956521739130432E-2</v>
      </c>
      <c r="P11" s="386">
        <f>(O11*40%)/(M11-L11)</f>
        <v>8.6956521739130446E-2</v>
      </c>
      <c r="Q11" s="55" t="s">
        <v>2288</v>
      </c>
      <c r="R11" s="55">
        <f>('Plan de Acción 2022'!AA267)</f>
        <v>0.35</v>
      </c>
      <c r="S11" s="392">
        <f>(R11*40%)/(M11-L11)</f>
        <v>0.35</v>
      </c>
      <c r="T11" s="52" t="s">
        <v>2289</v>
      </c>
      <c r="U11" s="55">
        <f>('Plan de Acción 2022'!AD267+'Plan de Acción 2022'!AD457+'Plan de Acción 2022'!AD458+'Plan de Acción 2022'!AD459+'Plan de Acción 2022'!AD460+'Plan de Acción 2022'!AD461+'Plan de Acción 2022'!AD462+'Plan de Acción 2022'!AD463+'Plan de Acción 2022'!AD464+'Plan de Acción 2022'!AD465+'Plan de Acción 2022'!AD466+'Plan de Acción 2022'!AD467+'Plan de Acción 2022'!AD468+'Plan de Acción 2022'!AD469+'Plan de Acción 2022'!AD470+'Plan de Acción 2022'!AD471+'Plan de Acción 2022'!AD472+'Plan de Acción 2022'!AD473+'Plan de Acción 2022'!AD474+'Plan de Acción 2022'!AD475+'Plan de Acción 2022'!AD476+'Plan de Acción 2022'!AD477+'Plan de Acción 2022'!AD478)/23</f>
        <v>0</v>
      </c>
      <c r="V11" s="43">
        <f>(U11*40%)/(M11-L11)</f>
        <v>0</v>
      </c>
      <c r="W11" s="56"/>
      <c r="X11" s="55">
        <f>('Plan de Acción 2022'!AG267+'Plan de Acción 2022'!AG457+'Plan de Acción 2022'!AG458+'Plan de Acción 2022'!AG459+'Plan de Acción 2022'!AG460+'Plan de Acción 2022'!AG461+'Plan de Acción 2022'!AG462+'Plan de Acción 2022'!AG463+'Plan de Acción 2022'!AG464+'Plan de Acción 2022'!AG465+'Plan de Acción 2022'!AG466+'Plan de Acción 2022'!AG467+'Plan de Acción 2022'!AG468+'Plan de Acción 2022'!AG469+'Plan de Acción 2022'!AG470+'Plan de Acción 2022'!AG471+'Plan de Acción 2022'!AG472+'Plan de Acción 2022'!AG473+'Plan de Acción 2022'!AG474+'Plan de Acción 2022'!AG475+'Plan de Acción 2022'!AG476+'Plan de Acción 2022'!AG477+'Plan de Acción 2022'!AG478)/23</f>
        <v>0</v>
      </c>
      <c r="Y11" s="43">
        <f>(X11*40%)/(M11-L11)</f>
        <v>0</v>
      </c>
      <c r="Z11" s="57"/>
      <c r="AA11" s="58"/>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18"/>
      <c r="BA11" s="18"/>
    </row>
    <row r="12" spans="1:339" s="21" customFormat="1" ht="114" customHeight="1" x14ac:dyDescent="0.25">
      <c r="A12" s="456">
        <v>4</v>
      </c>
      <c r="B12" s="455">
        <v>1</v>
      </c>
      <c r="C12" s="48">
        <v>0</v>
      </c>
      <c r="D12" s="49" t="s">
        <v>1948</v>
      </c>
      <c r="E12" s="42" t="s">
        <v>1991</v>
      </c>
      <c r="F12" s="50" t="s">
        <v>1206</v>
      </c>
      <c r="G12" s="50" t="s">
        <v>1207</v>
      </c>
      <c r="H12" s="50" t="s">
        <v>1272</v>
      </c>
      <c r="I12" s="51">
        <v>0.25</v>
      </c>
      <c r="J12" s="51">
        <v>0</v>
      </c>
      <c r="K12" s="51">
        <v>0.3</v>
      </c>
      <c r="L12" s="55">
        <v>0.2</v>
      </c>
      <c r="M12" s="43">
        <f>'Plan de Acción 2022'!R270</f>
        <v>0.6</v>
      </c>
      <c r="N12" s="51">
        <v>1</v>
      </c>
      <c r="O12" s="51">
        <f>('Plan de Acción 2022'!W327+'Plan de Acción 2022'!W328+'Plan de Acción 2022'!W312++'Plan de Acción 2022'!W281+'Plan de Acción 2022'!W269+'Plan de Acción 2022'!W270)/6</f>
        <v>0.24166666666666667</v>
      </c>
      <c r="P12" s="392">
        <f>(O12*40%)/(M12-L12)</f>
        <v>0.24166666666666672</v>
      </c>
      <c r="Q12" s="51" t="s">
        <v>1992</v>
      </c>
      <c r="R12" s="51">
        <f>('Plan de Acción 2022'!AA327+'Plan de Acción 2022'!AA328+'Plan de Acción 2022'!AA312++'Plan de Acción 2022'!AA281+'Plan de Acción 2022'!AA269+'Plan de Acción 2022'!AA270)/6</f>
        <v>0.30499999999999999</v>
      </c>
      <c r="S12" s="386">
        <f>(R12*40%)/(M12-L12)</f>
        <v>0.30499999999999999</v>
      </c>
      <c r="T12" s="498" t="s">
        <v>2290</v>
      </c>
      <c r="U12" s="51">
        <f>('Plan de Acción 2022'!AD327+'Plan de Acción 2022'!AD328+'Plan de Acción 2022'!AD312++'Plan de Acción 2022'!AD281+'Plan de Acción 2022'!AD269+'Plan de Acción 2022'!AD270)/6</f>
        <v>0</v>
      </c>
      <c r="V12" s="43">
        <f>(U12*40%)/(M12-L12)</f>
        <v>0</v>
      </c>
      <c r="W12" s="56"/>
      <c r="X12" s="51">
        <f>('Plan de Acción 2022'!AG327+'Plan de Acción 2022'!AG328+'Plan de Acción 2022'!AG312++'Plan de Acción 2022'!AG281+'Plan de Acción 2022'!AG269+'Plan de Acción 2022'!AG270)/6</f>
        <v>0</v>
      </c>
      <c r="Y12" s="43">
        <f>(X12*40%)/(M12-L12)</f>
        <v>0</v>
      </c>
      <c r="Z12" s="57"/>
      <c r="AA12" s="59"/>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18"/>
      <c r="BA12" s="18"/>
    </row>
    <row r="13" spans="1:339" s="63" customFormat="1" ht="43.5" customHeight="1" x14ac:dyDescent="0.25">
      <c r="A13" s="834">
        <v>5</v>
      </c>
      <c r="B13" s="39">
        <v>0</v>
      </c>
      <c r="C13" s="40">
        <v>1</v>
      </c>
      <c r="D13" s="41" t="s">
        <v>1940</v>
      </c>
      <c r="E13" s="42" t="s">
        <v>1993</v>
      </c>
      <c r="F13" s="838" t="s">
        <v>778</v>
      </c>
      <c r="G13" s="457" t="s">
        <v>44</v>
      </c>
      <c r="H13" s="453" t="s">
        <v>47</v>
      </c>
      <c r="I13" s="79">
        <v>0.91300000000000003</v>
      </c>
      <c r="J13" s="60">
        <v>0.754</v>
      </c>
      <c r="K13" s="43">
        <v>0.86</v>
      </c>
      <c r="L13" s="61">
        <v>0.88800000000000001</v>
      </c>
      <c r="M13" s="43">
        <f>'Plan de Acción 2022'!R38</f>
        <v>0.87</v>
      </c>
      <c r="N13" s="43">
        <v>0.9</v>
      </c>
      <c r="O13" s="43">
        <f>'Plan de Acción 2022'!W38</f>
        <v>0.25</v>
      </c>
      <c r="P13" s="43">
        <f>O13</f>
        <v>0.25</v>
      </c>
      <c r="Q13" s="43" t="s">
        <v>188</v>
      </c>
      <c r="R13" s="43">
        <f>'Plan de Acción 2022'!AA38</f>
        <v>0.91</v>
      </c>
      <c r="S13" s="43">
        <f>R13</f>
        <v>0.91</v>
      </c>
      <c r="T13" s="453" t="s">
        <v>2292</v>
      </c>
      <c r="U13" s="43">
        <f>'Plan de Acción 2022'!AD38</f>
        <v>0</v>
      </c>
      <c r="V13" s="43">
        <f>U13</f>
        <v>0</v>
      </c>
      <c r="W13" s="53"/>
      <c r="X13" s="43">
        <f>'Plan de Acción 2022'!AG38</f>
        <v>0</v>
      </c>
      <c r="Y13" s="43">
        <f>X13</f>
        <v>0</v>
      </c>
      <c r="Z13" s="54"/>
      <c r="AA13" s="62"/>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18"/>
      <c r="BA13" s="18"/>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row>
    <row r="14" spans="1:339" s="63" customFormat="1" ht="60" customHeight="1" x14ac:dyDescent="0.25">
      <c r="A14" s="835"/>
      <c r="B14" s="39">
        <v>0</v>
      </c>
      <c r="C14" s="40">
        <v>1</v>
      </c>
      <c r="D14" s="41" t="s">
        <v>1940</v>
      </c>
      <c r="E14" s="42" t="s">
        <v>1993</v>
      </c>
      <c r="F14" s="838"/>
      <c r="G14" s="453" t="s">
        <v>176</v>
      </c>
      <c r="H14" s="453" t="s">
        <v>179</v>
      </c>
      <c r="I14" s="43">
        <v>0</v>
      </c>
      <c r="J14" s="43">
        <v>0</v>
      </c>
      <c r="K14" s="43">
        <v>0.2</v>
      </c>
      <c r="L14" s="43">
        <v>0.05</v>
      </c>
      <c r="M14" s="43">
        <f>'Plan de Acción 2022'!R36</f>
        <v>0.5</v>
      </c>
      <c r="N14" s="43">
        <v>1</v>
      </c>
      <c r="O14" s="43">
        <f>'Plan de Acción 2022'!W36</f>
        <v>0</v>
      </c>
      <c r="P14" s="386">
        <f>(O14*45%)/(M14-L14)</f>
        <v>0</v>
      </c>
      <c r="Q14" s="43" t="s">
        <v>1994</v>
      </c>
      <c r="R14" s="43">
        <f>'Plan de Acción 2022'!AA36</f>
        <v>0</v>
      </c>
      <c r="S14" s="386">
        <f>(R14*45%)/(M14-L14)</f>
        <v>0</v>
      </c>
      <c r="T14" s="43" t="s">
        <v>2293</v>
      </c>
      <c r="U14" s="43">
        <f>'Plan de Acción 2022'!AD36</f>
        <v>0</v>
      </c>
      <c r="V14" s="43">
        <f>(U14*45%)/(M14-L14)</f>
        <v>0</v>
      </c>
      <c r="W14" s="44"/>
      <c r="X14" s="43">
        <f>'Plan de Acción 2022'!AG36</f>
        <v>0</v>
      </c>
      <c r="Y14" s="43">
        <f>(X14*45%)/(M14-L14)</f>
        <v>0</v>
      </c>
      <c r="Z14" s="45"/>
      <c r="AA14" s="64"/>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18"/>
      <c r="BA14" s="18"/>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row>
    <row r="15" spans="1:339" s="21" customFormat="1" ht="69.75" customHeight="1" x14ac:dyDescent="0.25">
      <c r="A15" s="836"/>
      <c r="B15" s="39">
        <v>1</v>
      </c>
      <c r="C15" s="40">
        <v>0</v>
      </c>
      <c r="D15" s="41" t="s">
        <v>1940</v>
      </c>
      <c r="E15" s="42" t="s">
        <v>1995</v>
      </c>
      <c r="F15" s="838"/>
      <c r="G15" s="457" t="s">
        <v>464</v>
      </c>
      <c r="H15" s="453" t="s">
        <v>467</v>
      </c>
      <c r="I15" s="43">
        <v>0.38</v>
      </c>
      <c r="J15" s="453">
        <f>1+1+1+1+1</f>
        <v>5</v>
      </c>
      <c r="K15" s="453">
        <v>6</v>
      </c>
      <c r="L15" s="453">
        <v>6</v>
      </c>
      <c r="M15" s="453">
        <v>7</v>
      </c>
      <c r="N15" s="453">
        <v>9</v>
      </c>
      <c r="O15" s="43">
        <f>('Plan de Acción 2022'!W101+'Plan de Acción 2022'!W102+'Plan de Acción 2022'!W103+'Plan de Acción 2022'!W104+'Plan de Acción 2022'!W301)/5</f>
        <v>0.2</v>
      </c>
      <c r="P15" s="386">
        <f>(O15*100%)/(M15-L15)</f>
        <v>0.2</v>
      </c>
      <c r="Q15" s="453" t="s">
        <v>1996</v>
      </c>
      <c r="R15" s="43">
        <f>('Plan de Acción 2022'!AA101+'Plan de Acción 2022'!AA102+'Plan de Acción 2022'!AA103+'Plan de Acción 2022'!AA104+'Plan de Acción 2022'!AA301)/5</f>
        <v>0.38000000000000006</v>
      </c>
      <c r="S15" s="43">
        <f>(R15*100%)/(M15-L15)</f>
        <v>0.38000000000000006</v>
      </c>
      <c r="T15" s="509" t="s">
        <v>1996</v>
      </c>
      <c r="U15" s="43">
        <f>('Plan de Acción 2022'!AD101+'Plan de Acción 2022'!AD102+'Plan de Acción 2022'!AD103+'Plan de Acción 2022'!AD104+'Plan de Acción 2022'!AD301)/5</f>
        <v>0</v>
      </c>
      <c r="V15" s="43">
        <f>(U15*100%)/(M15-L15)</f>
        <v>0</v>
      </c>
      <c r="W15" s="44"/>
      <c r="X15" s="43">
        <f>('Plan de Acción 2022'!AG101+'Plan de Acción 2022'!AG102+'Plan de Acción 2022'!AG103+'Plan de Acción 2022'!AG104+'Plan de Acción 2022'!AG301)/5</f>
        <v>0</v>
      </c>
      <c r="Y15" s="43">
        <f>(X15*100%)/(M15-L15)</f>
        <v>0</v>
      </c>
      <c r="Z15" s="45"/>
      <c r="AA15" s="64"/>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18"/>
      <c r="BA15" s="18"/>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row>
    <row r="16" spans="1:339" s="63" customFormat="1" ht="67.5" customHeight="1" x14ac:dyDescent="0.25">
      <c r="A16" s="836"/>
      <c r="B16" s="39">
        <v>0</v>
      </c>
      <c r="C16" s="40">
        <v>1</v>
      </c>
      <c r="D16" s="41" t="s">
        <v>1946</v>
      </c>
      <c r="E16" s="42" t="s">
        <v>1997</v>
      </c>
      <c r="F16" s="838"/>
      <c r="G16" s="457" t="s">
        <v>1998</v>
      </c>
      <c r="H16" s="453" t="s">
        <v>1999</v>
      </c>
      <c r="I16" s="509">
        <v>20</v>
      </c>
      <c r="J16" s="453">
        <v>0</v>
      </c>
      <c r="K16" s="453">
        <v>0.5</v>
      </c>
      <c r="L16" s="453">
        <v>0.2</v>
      </c>
      <c r="M16" s="453">
        <v>0.7</v>
      </c>
      <c r="N16" s="453">
        <v>1</v>
      </c>
      <c r="O16" s="43">
        <f>'Plan de Acción 2022'!W179</f>
        <v>0.2</v>
      </c>
      <c r="P16" s="386">
        <f>(O16*50%)/(M16-L16)</f>
        <v>0.20000000000000004</v>
      </c>
      <c r="Q16" s="453" t="s">
        <v>2000</v>
      </c>
      <c r="R16" s="43">
        <f>'Plan de Acción 2022'!AA179</f>
        <v>0.2</v>
      </c>
      <c r="S16" s="386">
        <f>(R16*50%)/(M16-L16)</f>
        <v>0.20000000000000004</v>
      </c>
      <c r="T16" s="497" t="s">
        <v>2294</v>
      </c>
      <c r="U16" s="43">
        <f>'Plan de Acción 2022'!AD179</f>
        <v>0</v>
      </c>
      <c r="V16" s="43">
        <f>(U16*50%)/(M16-L16)</f>
        <v>0</v>
      </c>
      <c r="W16" s="44"/>
      <c r="X16" s="43">
        <f>'Plan de Acción 2022'!AG179</f>
        <v>0</v>
      </c>
      <c r="Y16" s="43">
        <f>(X16*50%)/(M16-L16)</f>
        <v>0</v>
      </c>
      <c r="Z16" s="45"/>
      <c r="AA16" s="64"/>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18"/>
      <c r="BA16" s="18"/>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row>
    <row r="17" spans="1:339" s="63" customFormat="1" ht="87" customHeight="1" x14ac:dyDescent="0.25">
      <c r="A17" s="836"/>
      <c r="B17" s="39">
        <v>0</v>
      </c>
      <c r="C17" s="40">
        <v>1</v>
      </c>
      <c r="D17" s="41" t="s">
        <v>1940</v>
      </c>
      <c r="E17" s="42" t="s">
        <v>1993</v>
      </c>
      <c r="F17" s="838"/>
      <c r="G17" s="457" t="s">
        <v>169</v>
      </c>
      <c r="H17" s="457" t="s">
        <v>172</v>
      </c>
      <c r="I17" s="508">
        <v>10</v>
      </c>
      <c r="J17" s="65">
        <v>0</v>
      </c>
      <c r="K17" s="65">
        <v>0.08</v>
      </c>
      <c r="L17" s="67">
        <v>0.06</v>
      </c>
      <c r="M17" s="43">
        <f>'Plan de Acción 2022'!R35</f>
        <v>0.15</v>
      </c>
      <c r="N17" s="65">
        <v>0.25</v>
      </c>
      <c r="O17" s="65">
        <f>'Plan de Acción 2022'!W35</f>
        <v>0.1</v>
      </c>
      <c r="P17" s="386">
        <f>(O17*9%)/(M17-L17)</f>
        <v>9.9999999999999992E-2</v>
      </c>
      <c r="Q17" s="43" t="s">
        <v>1994</v>
      </c>
      <c r="R17" s="65">
        <f>'Plan de Acción 2022'!AA35</f>
        <v>0.1</v>
      </c>
      <c r="S17" s="386">
        <f>(R17*9%)/(M17-L17)</f>
        <v>9.9999999999999992E-2</v>
      </c>
      <c r="T17" s="43" t="s">
        <v>2293</v>
      </c>
      <c r="U17" s="65">
        <f>'Plan de Acción 2022'!AD35</f>
        <v>0</v>
      </c>
      <c r="V17" s="43">
        <f>(U17*9%)/(M17-L17)</f>
        <v>0</v>
      </c>
      <c r="W17" s="66"/>
      <c r="X17" s="65">
        <f>'Plan de Acción 2022'!AG35</f>
        <v>0</v>
      </c>
      <c r="Y17" s="43">
        <f>(X17*9%)/(M17-L17)</f>
        <v>0</v>
      </c>
      <c r="Z17" s="68"/>
      <c r="AA17" s="69"/>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18"/>
      <c r="BA17" s="18"/>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row>
    <row r="18" spans="1:339" s="63" customFormat="1" ht="77.25" customHeight="1" x14ac:dyDescent="0.25">
      <c r="A18" s="837"/>
      <c r="B18" s="39">
        <v>0</v>
      </c>
      <c r="C18" s="40">
        <v>1</v>
      </c>
      <c r="D18" s="41" t="s">
        <v>1946</v>
      </c>
      <c r="E18" s="42" t="s">
        <v>1997</v>
      </c>
      <c r="F18" s="838"/>
      <c r="G18" s="212" t="s">
        <v>786</v>
      </c>
      <c r="H18" s="212" t="s">
        <v>2001</v>
      </c>
      <c r="I18" s="212"/>
      <c r="J18" s="457">
        <v>7.3</v>
      </c>
      <c r="K18" s="457">
        <v>7.5</v>
      </c>
      <c r="L18" s="457">
        <v>8.9</v>
      </c>
      <c r="M18" s="43" t="s">
        <v>53</v>
      </c>
      <c r="N18" s="457">
        <v>8</v>
      </c>
      <c r="O18" s="43" t="s">
        <v>53</v>
      </c>
      <c r="P18" s="43" t="s">
        <v>53</v>
      </c>
      <c r="Q18" s="43" t="s">
        <v>53</v>
      </c>
      <c r="R18" s="43" t="s">
        <v>53</v>
      </c>
      <c r="S18" s="43" t="s">
        <v>53</v>
      </c>
      <c r="T18" s="43" t="s">
        <v>53</v>
      </c>
      <c r="U18" s="43" t="s">
        <v>53</v>
      </c>
      <c r="V18" s="43" t="s">
        <v>53</v>
      </c>
      <c r="W18" s="43" t="s">
        <v>53</v>
      </c>
      <c r="X18" s="43" t="s">
        <v>53</v>
      </c>
      <c r="Y18" s="43" t="s">
        <v>53</v>
      </c>
      <c r="Z18" s="43" t="s">
        <v>53</v>
      </c>
      <c r="AA18" s="72"/>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18"/>
      <c r="BA18" s="18"/>
      <c r="BB18" s="73"/>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row>
    <row r="19" spans="1:339" s="63" customFormat="1" ht="90.75" customHeight="1" thickBot="1" x14ac:dyDescent="0.3">
      <c r="A19" s="74">
        <v>6</v>
      </c>
      <c r="B19" s="39">
        <v>0</v>
      </c>
      <c r="C19" s="40">
        <v>1</v>
      </c>
      <c r="D19" s="41" t="s">
        <v>2002</v>
      </c>
      <c r="E19" s="42" t="s">
        <v>2003</v>
      </c>
      <c r="F19" s="453" t="s">
        <v>1277</v>
      </c>
      <c r="G19" s="212" t="s">
        <v>1343</v>
      </c>
      <c r="H19" s="213" t="s">
        <v>1280</v>
      </c>
      <c r="I19" s="213"/>
      <c r="J19" s="43">
        <v>0</v>
      </c>
      <c r="K19" s="43">
        <v>0.2</v>
      </c>
      <c r="L19" s="43">
        <v>0.2</v>
      </c>
      <c r="M19" s="43" t="str">
        <f>'Plan de Acción 2022'!R482</f>
        <v>N/A</v>
      </c>
      <c r="N19" s="43">
        <v>1</v>
      </c>
      <c r="O19" s="43" t="s">
        <v>53</v>
      </c>
      <c r="P19" s="43" t="s">
        <v>53</v>
      </c>
      <c r="Q19" s="43" t="s">
        <v>53</v>
      </c>
      <c r="R19" s="43" t="s">
        <v>53</v>
      </c>
      <c r="S19" s="43" t="s">
        <v>53</v>
      </c>
      <c r="T19" s="43" t="s">
        <v>53</v>
      </c>
      <c r="U19" s="43" t="s">
        <v>53</v>
      </c>
      <c r="V19" s="43" t="s">
        <v>53</v>
      </c>
      <c r="W19" s="43" t="s">
        <v>53</v>
      </c>
      <c r="X19" s="43" t="s">
        <v>53</v>
      </c>
      <c r="Y19" s="43" t="s">
        <v>53</v>
      </c>
      <c r="Z19" s="43" t="s">
        <v>53</v>
      </c>
      <c r="AA19" s="64"/>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18"/>
      <c r="BA19" s="18"/>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row>
    <row r="20" spans="1:339" s="63" customFormat="1" ht="81.75" customHeight="1" x14ac:dyDescent="0.25">
      <c r="A20" s="839">
        <v>7</v>
      </c>
      <c r="B20" s="39">
        <v>0</v>
      </c>
      <c r="C20" s="40">
        <v>1</v>
      </c>
      <c r="D20" s="41" t="s">
        <v>1940</v>
      </c>
      <c r="E20" s="453" t="s">
        <v>1993</v>
      </c>
      <c r="F20" s="838" t="s">
        <v>2004</v>
      </c>
      <c r="G20" s="453" t="s">
        <v>832</v>
      </c>
      <c r="H20" s="453" t="s">
        <v>788</v>
      </c>
      <c r="I20" s="509">
        <v>100</v>
      </c>
      <c r="J20" s="43">
        <v>1</v>
      </c>
      <c r="K20" s="43">
        <v>1</v>
      </c>
      <c r="L20" s="43">
        <v>1</v>
      </c>
      <c r="M20" s="43">
        <f>'Plan de Acción 2022'!R183</f>
        <v>1</v>
      </c>
      <c r="N20" s="43">
        <v>1</v>
      </c>
      <c r="O20" s="43">
        <v>1</v>
      </c>
      <c r="P20" s="207">
        <f>(O20*100%)/M20</f>
        <v>1</v>
      </c>
      <c r="Q20" s="110" t="s">
        <v>2295</v>
      </c>
      <c r="R20" s="43">
        <v>1</v>
      </c>
      <c r="S20" s="207">
        <f>(R20*100%)/M20</f>
        <v>1</v>
      </c>
      <c r="T20" s="110" t="s">
        <v>2296</v>
      </c>
      <c r="U20" s="43">
        <v>1</v>
      </c>
      <c r="V20" s="207">
        <f>(U20*100%)/M20</f>
        <v>1</v>
      </c>
      <c r="W20" s="465"/>
      <c r="X20" s="43">
        <v>1</v>
      </c>
      <c r="Y20" s="207">
        <f>(X20*100%)/M20</f>
        <v>1</v>
      </c>
      <c r="Z20" s="116"/>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18"/>
      <c r="BA20" s="18"/>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row>
    <row r="21" spans="1:339" s="21" customFormat="1" ht="120.75" customHeight="1" x14ac:dyDescent="0.25">
      <c r="A21" s="836"/>
      <c r="B21" s="39">
        <v>1</v>
      </c>
      <c r="C21" s="40">
        <v>0</v>
      </c>
      <c r="D21" s="41" t="s">
        <v>2005</v>
      </c>
      <c r="E21" s="42" t="s">
        <v>1997</v>
      </c>
      <c r="F21" s="838"/>
      <c r="G21" s="453" t="s">
        <v>2006</v>
      </c>
      <c r="H21" s="453" t="s">
        <v>813</v>
      </c>
      <c r="I21" s="509">
        <v>50</v>
      </c>
      <c r="J21" s="65">
        <v>0.2</v>
      </c>
      <c r="K21" s="43">
        <v>1</v>
      </c>
      <c r="L21" s="75">
        <v>0.6</v>
      </c>
      <c r="M21" s="43">
        <f>'Plan de Acción 2022'!R184</f>
        <v>1</v>
      </c>
      <c r="N21" s="43">
        <v>1</v>
      </c>
      <c r="O21" s="43">
        <f>'Plan de Acción 2022'!W184</f>
        <v>0.25</v>
      </c>
      <c r="P21" s="392">
        <f>(O21*40%)/(M21-L21)</f>
        <v>0.25</v>
      </c>
      <c r="Q21" s="43" t="s">
        <v>2007</v>
      </c>
      <c r="R21" s="43">
        <f>'Plan de Acción 2022'!AA184</f>
        <v>0.5</v>
      </c>
      <c r="S21" s="43">
        <f>(R21*40%)/(M21-L21)</f>
        <v>0.5</v>
      </c>
      <c r="T21" s="453" t="s">
        <v>815</v>
      </c>
      <c r="U21" s="43">
        <f>'Plan de Acción 2022'!AD184</f>
        <v>0</v>
      </c>
      <c r="V21" s="43">
        <f>(U21*40%)/(M21-L21)</f>
        <v>0</v>
      </c>
      <c r="W21" s="44"/>
      <c r="X21" s="43">
        <f>'Plan de Acción 2022'!AG184</f>
        <v>0</v>
      </c>
      <c r="Y21" s="43">
        <f>(X21*40%)/(M21-L21)</f>
        <v>0</v>
      </c>
      <c r="Z21" s="76"/>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18"/>
      <c r="BA21" s="18"/>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row>
    <row r="22" spans="1:339" s="21" customFormat="1" ht="73.5" customHeight="1" x14ac:dyDescent="0.25">
      <c r="A22" s="837"/>
      <c r="B22" s="39">
        <v>1</v>
      </c>
      <c r="C22" s="40">
        <v>0</v>
      </c>
      <c r="D22" s="41" t="s">
        <v>1948</v>
      </c>
      <c r="E22" s="42" t="s">
        <v>1991</v>
      </c>
      <c r="F22" s="838"/>
      <c r="G22" s="457" t="s">
        <v>2008</v>
      </c>
      <c r="H22" s="453" t="s">
        <v>818</v>
      </c>
      <c r="I22" s="509">
        <v>100</v>
      </c>
      <c r="J22" s="65">
        <v>0</v>
      </c>
      <c r="K22" s="43">
        <v>1</v>
      </c>
      <c r="L22" s="43">
        <v>0.55000000000000004</v>
      </c>
      <c r="M22" s="43">
        <f>'Plan de Acción 2022'!R185</f>
        <v>1</v>
      </c>
      <c r="N22" s="43">
        <v>1</v>
      </c>
      <c r="O22" s="43">
        <f>'Plan de Acción 2022'!W185</f>
        <v>0.25</v>
      </c>
      <c r="P22" s="43">
        <f>(O22*45%)/(M22-L22)</f>
        <v>0.25000000000000006</v>
      </c>
      <c r="Q22" s="43" t="s">
        <v>820</v>
      </c>
      <c r="R22" s="43">
        <f>'Plan de Acción 2022'!AA185</f>
        <v>1</v>
      </c>
      <c r="S22" s="43">
        <f>(R22*45%)/(M22-L22)</f>
        <v>1.0000000000000002</v>
      </c>
      <c r="T22" s="453" t="s">
        <v>2297</v>
      </c>
      <c r="U22" s="43">
        <f>'Plan de Acción 2022'!AD185</f>
        <v>0</v>
      </c>
      <c r="V22" s="43">
        <f>(U22*45%)/(M22-L22)</f>
        <v>0</v>
      </c>
      <c r="W22" s="44"/>
      <c r="X22" s="43">
        <f>'Plan de Acción 2022'!AG185</f>
        <v>0</v>
      </c>
      <c r="Y22" s="43">
        <f>(X22*45%)/(M22-L22)</f>
        <v>0</v>
      </c>
      <c r="Z22" s="77"/>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18"/>
      <c r="BA22" s="18"/>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row>
    <row r="23" spans="1:339" s="21" customFormat="1" ht="77.25" customHeight="1" x14ac:dyDescent="0.25">
      <c r="A23" s="840">
        <v>8</v>
      </c>
      <c r="B23" s="39">
        <v>1</v>
      </c>
      <c r="C23" s="40">
        <v>0</v>
      </c>
      <c r="D23" s="41" t="s">
        <v>1946</v>
      </c>
      <c r="E23" s="42" t="s">
        <v>1997</v>
      </c>
      <c r="F23" s="838" t="s">
        <v>2009</v>
      </c>
      <c r="G23" s="457" t="s">
        <v>2010</v>
      </c>
      <c r="H23" s="457" t="s">
        <v>2011</v>
      </c>
      <c r="I23" s="508">
        <v>31</v>
      </c>
      <c r="J23" s="65">
        <v>0.2</v>
      </c>
      <c r="K23" s="43">
        <v>0.4</v>
      </c>
      <c r="L23" s="65">
        <v>0.3</v>
      </c>
      <c r="M23" s="65">
        <f>'Plan de Acción 2022'!R273</f>
        <v>0.6</v>
      </c>
      <c r="N23" s="65">
        <v>1</v>
      </c>
      <c r="O23" s="65">
        <f>'Plan de Acción 2022'!W273</f>
        <v>0</v>
      </c>
      <c r="P23" s="386">
        <f>(O23*30%)/(M23-L23)</f>
        <v>0</v>
      </c>
      <c r="Q23" s="383" t="s">
        <v>829</v>
      </c>
      <c r="R23" s="65">
        <f>'Plan de Acción 2022'!AA273</f>
        <v>0.31</v>
      </c>
      <c r="S23" s="386">
        <f>(R23*30%)/(M23-L23)</f>
        <v>0.31</v>
      </c>
      <c r="T23" s="508" t="s">
        <v>2366</v>
      </c>
      <c r="U23" s="65">
        <f>'Plan de Acción 2022'!AD273</f>
        <v>0</v>
      </c>
      <c r="V23" s="43">
        <f>(U23*30%)/(M23-L23)</f>
        <v>0</v>
      </c>
      <c r="W23" s="70"/>
      <c r="X23" s="65">
        <f>'Plan de Acción 2022'!AG273</f>
        <v>0</v>
      </c>
      <c r="Y23" s="43">
        <f>(X23*30%)/(M23-L23)</f>
        <v>0</v>
      </c>
      <c r="Z23" s="7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18"/>
      <c r="BA23" s="18"/>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row>
    <row r="24" spans="1:339" ht="162.75" customHeight="1" thickBot="1" x14ac:dyDescent="0.3">
      <c r="A24" s="841"/>
      <c r="B24" s="39">
        <v>1</v>
      </c>
      <c r="C24" s="40">
        <v>0</v>
      </c>
      <c r="D24" s="41" t="s">
        <v>1948</v>
      </c>
      <c r="E24" s="453" t="s">
        <v>2012</v>
      </c>
      <c r="F24" s="838"/>
      <c r="G24" s="457" t="s">
        <v>975</v>
      </c>
      <c r="H24" s="457" t="s">
        <v>978</v>
      </c>
      <c r="I24" s="512">
        <v>0</v>
      </c>
      <c r="J24" s="65">
        <v>0</v>
      </c>
      <c r="K24" s="65">
        <v>0.1</v>
      </c>
      <c r="L24" s="65">
        <v>0.08</v>
      </c>
      <c r="M24" s="43">
        <f>'Plan de Acción 2022'!R228</f>
        <v>0.2</v>
      </c>
      <c r="N24" s="65">
        <v>1</v>
      </c>
      <c r="O24" s="65">
        <f>'Plan de Acción 2022'!W228</f>
        <v>0.25</v>
      </c>
      <c r="P24" s="392">
        <f>(O24*12%)/(M24-L24)</f>
        <v>0.24999999999999997</v>
      </c>
      <c r="Q24" s="65" t="s">
        <v>2013</v>
      </c>
      <c r="R24" s="65">
        <f>'Plan de Acción 2022'!AA228</f>
        <v>0.5</v>
      </c>
      <c r="S24" s="43">
        <f>(R24*12%)/(M24-L24)</f>
        <v>0.49999999999999994</v>
      </c>
      <c r="T24" s="457" t="s">
        <v>982</v>
      </c>
      <c r="U24" s="65">
        <f>'Plan de Acción 2022'!AD228</f>
        <v>0</v>
      </c>
      <c r="V24" s="43">
        <f>(U24*12%)/(M24-L24)</f>
        <v>0</v>
      </c>
      <c r="W24" s="70"/>
      <c r="X24" s="65">
        <f>'Plan de Acción 2022'!AG228</f>
        <v>0</v>
      </c>
      <c r="Y24" s="43">
        <f>(X24*12%)/(M24-L24)</f>
        <v>0</v>
      </c>
      <c r="Z24" s="7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row>
    <row r="25" spans="1:339" s="21" customFormat="1" ht="112.5" customHeight="1" x14ac:dyDescent="0.25">
      <c r="A25" s="839">
        <v>9</v>
      </c>
      <c r="B25" s="39">
        <v>1</v>
      </c>
      <c r="C25" s="40">
        <v>0</v>
      </c>
      <c r="D25" s="41" t="s">
        <v>1946</v>
      </c>
      <c r="E25" s="42" t="s">
        <v>2014</v>
      </c>
      <c r="F25" s="838" t="s">
        <v>886</v>
      </c>
      <c r="G25" s="453" t="s">
        <v>501</v>
      </c>
      <c r="H25" s="453" t="s">
        <v>504</v>
      </c>
      <c r="I25" s="509">
        <v>38</v>
      </c>
      <c r="J25" s="43">
        <v>0.4</v>
      </c>
      <c r="K25" s="43">
        <v>0.5</v>
      </c>
      <c r="L25" s="65">
        <v>0.4</v>
      </c>
      <c r="M25" s="43">
        <f>'Plan de Acción 2022'!R223</f>
        <v>0.6</v>
      </c>
      <c r="N25" s="43">
        <v>0.8</v>
      </c>
      <c r="O25" s="43">
        <f>('Plan de Acción 2022'!W109+'Plan de Acción 2022'!W110+'Plan de Acción 2022'!W111+'Plan de Acción 2022'!W112+'Plan de Acción 2022'!W113+'Plan de Acción 2022'!W114+'Plan de Acción 2022'!W115+'Plan de Acción 2022'!W116+'Plan de Acción 2022'!W117+'Plan de Acción 2022'!W118+'Plan de Acción 2022'!W119+'Plan de Acción 2022'!W120+'Plan de Acción 2022'!W121+'Plan de Acción 2022'!W122+'Plan de Acción 2022'!W123+'Plan de Acción 2022'!W124+'Plan de Acción 2022'!W220+'Plan de Acción 2022'!W221+'Plan de Acción 2022'!W222+'Plan de Acción 2022'!W223+'Plan de Acción 2022'!W276+'Plan de Acción 2022'!W344+'Plan de Acción 2022'!W345+'Plan de Acción 2022'!W346+'Plan de Acción 2022'!W359+'Plan de Acción 2022'!W360+'Plan de Acción 2022'!W361+'Plan de Acción 2022'!W362+'Plan de Acción 2022'!W363+'Plan de Acción 2022'!W364+'Plan de Acción 2022'!W365+'Plan de Acción 2022'!W366+'Plan de Acción 2022'!W367+'Plan de Acción 2022'!W368+'Plan de Acción 2022'!W369+'Plan de Acción 2022'!W370+'Plan de Acción 2022'!W371+'Plan de Acción 2022'!W372+'Plan de Acción 2022'!W351+'Plan de Acción 2022'!W374+'Plan de Acción 2022'!W375+'Plan de Acción 2022'!W157)/43</f>
        <v>0.17976744186046517</v>
      </c>
      <c r="P25" s="43">
        <f>(O25*20%)/(M25-L25)</f>
        <v>0.17976744186046523</v>
      </c>
      <c r="Q25" s="43" t="s">
        <v>2015</v>
      </c>
      <c r="R25" s="43">
        <f>('Plan de Acción 2022'!AA109+'Plan de Acción 2022'!AA110+'Plan de Acción 2022'!AA111+'Plan de Acción 2022'!AA112+'Plan de Acción 2022'!AA113+'Plan de Acción 2022'!AA114+'Plan de Acción 2022'!AA115+'Plan de Acción 2022'!AA116+'Plan de Acción 2022'!AA117+'Plan de Acción 2022'!AA118+'Plan de Acción 2022'!AA119+'Plan de Acción 2022'!AA120+'Plan de Acción 2022'!AA121+'Plan de Acción 2022'!AA122+'Plan de Acción 2022'!AA123+'Plan de Acción 2022'!AA124+'Plan de Acción 2022'!AA220+'Plan de Acción 2022'!AA221+'Plan de Acción 2022'!AA222+'Plan de Acción 2022'!AA223+'Plan de Acción 2022'!AA276+'Plan de Acción 2022'!AA344+'Plan de Acción 2022'!AA345+'Plan de Acción 2022'!AA346+'Plan de Acción 2022'!AA359+'Plan de Acción 2022'!AA360+'Plan de Acción 2022'!AA361+'Plan de Acción 2022'!AA362+'Plan de Acción 2022'!AA363+'Plan de Acción 2022'!AA364+'Plan de Acción 2022'!AA365+'Plan de Acción 2022'!AA366+'Plan de Acción 2022'!AA367+'Plan de Acción 2022'!AA368+'Plan de Acción 2022'!AA369+'Plan de Acción 2022'!AA370+'Plan de Acción 2022'!AA371+'Plan de Acción 2022'!AA372+'Plan de Acción 2022'!AA351+'Plan de Acción 2022'!AA374+'Plan de Acción 2022'!AA375+'Plan de Acción 2022'!AA157)/43</f>
        <v>0.37953488372093042</v>
      </c>
      <c r="S25" s="43">
        <f>(R25*20%)/(M25-L25)</f>
        <v>0.37953488372093053</v>
      </c>
      <c r="T25" s="502" t="s">
        <v>2301</v>
      </c>
      <c r="U25" s="43">
        <f>('Plan de Acción 2022'!AD109+'Plan de Acción 2022'!AD110+'Plan de Acción 2022'!AD111+'Plan de Acción 2022'!AD112+'Plan de Acción 2022'!AD113+'Plan de Acción 2022'!AD114+'Plan de Acción 2022'!AD115+'Plan de Acción 2022'!AD116+'Plan de Acción 2022'!AD117+'Plan de Acción 2022'!AD118+'Plan de Acción 2022'!AD119+'Plan de Acción 2022'!AD120+'Plan de Acción 2022'!AD121+'Plan de Acción 2022'!AD122+'Plan de Acción 2022'!AD123+'Plan de Acción 2022'!AD124+'Plan de Acción 2022'!AD220+'Plan de Acción 2022'!AD221+'Plan de Acción 2022'!AD222+'Plan de Acción 2022'!AD223+'Plan de Acción 2022'!AD276+'Plan de Acción 2022'!AD344+'Plan de Acción 2022'!AD345+'Plan de Acción 2022'!AD346+'Plan de Acción 2022'!AD359+'Plan de Acción 2022'!AD360+'Plan de Acción 2022'!AD361+'Plan de Acción 2022'!AD362+'Plan de Acción 2022'!AD363+'Plan de Acción 2022'!AD364+'Plan de Acción 2022'!AD365+'Plan de Acción 2022'!AD366+'Plan de Acción 2022'!AD367+'Plan de Acción 2022'!AD368+'Plan de Acción 2022'!AD369+'Plan de Acción 2022'!AD370+'Plan de Acción 2022'!AD371+'Plan de Acción 2022'!AD372+'Plan de Acción 2022'!AD351+'Plan de Acción 2022'!AD374+'Plan de Acción 2022'!AD375)/41</f>
        <v>0</v>
      </c>
      <c r="V25" s="43">
        <f>(U25*20%)/(M25-L25)</f>
        <v>0</v>
      </c>
      <c r="W25" s="70"/>
      <c r="X25" s="43">
        <f>('Plan de Acción 2022'!AG109+'Plan de Acción 2022'!AG110+'Plan de Acción 2022'!AG111+'Plan de Acción 2022'!AG112+'Plan de Acción 2022'!AG113+'Plan de Acción 2022'!AG114+'Plan de Acción 2022'!AG115+'Plan de Acción 2022'!AG116+'Plan de Acción 2022'!AG117+'Plan de Acción 2022'!AG118+'Plan de Acción 2022'!AG119+'Plan de Acción 2022'!AG120+'Plan de Acción 2022'!AG121+'Plan de Acción 2022'!AG122+'Plan de Acción 2022'!AG123+'Plan de Acción 2022'!AG124+'Plan de Acción 2022'!AG220+'Plan de Acción 2022'!AG221+'Plan de Acción 2022'!AG222+'Plan de Acción 2022'!AG223+'Plan de Acción 2022'!AG276+'Plan de Acción 2022'!AG344+'Plan de Acción 2022'!AG345+'Plan de Acción 2022'!AG346+'Plan de Acción 2022'!AG359+'Plan de Acción 2022'!AG360+'Plan de Acción 2022'!AG361+'Plan de Acción 2022'!AG362+'Plan de Acción 2022'!AG363+'Plan de Acción 2022'!AG364+'Plan de Acción 2022'!AG365+'Plan de Acción 2022'!AG366+'Plan de Acción 2022'!AG367+'Plan de Acción 2022'!AG368+'Plan de Acción 2022'!AG369+'Plan de Acción 2022'!AG370+'Plan de Acción 2022'!AG371+'Plan de Acción 2022'!AG372+'Plan de Acción 2022'!AG351+'Plan de Acción 2022'!AG374+'Plan de Acción 2022'!AG375)/41</f>
        <v>0</v>
      </c>
      <c r="Y25" s="43">
        <f>(X25*42%)/(M25-L25)</f>
        <v>0</v>
      </c>
      <c r="Z25" s="7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18"/>
      <c r="BA25" s="18"/>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row>
    <row r="26" spans="1:339" s="63" customFormat="1" ht="123" customHeight="1" x14ac:dyDescent="0.25">
      <c r="A26" s="837"/>
      <c r="B26" s="39">
        <v>0</v>
      </c>
      <c r="C26" s="40">
        <v>1</v>
      </c>
      <c r="D26" s="41" t="s">
        <v>1946</v>
      </c>
      <c r="E26" s="453" t="s">
        <v>2016</v>
      </c>
      <c r="F26" s="838"/>
      <c r="G26" s="457" t="s">
        <v>887</v>
      </c>
      <c r="H26" s="453" t="s">
        <v>889</v>
      </c>
      <c r="I26" s="509">
        <v>28</v>
      </c>
      <c r="J26" s="43">
        <v>0.2</v>
      </c>
      <c r="K26" s="43">
        <v>0.3</v>
      </c>
      <c r="L26" s="43">
        <v>0.3</v>
      </c>
      <c r="M26" s="43">
        <f>'Plan de Acción 2022'!R274</f>
        <v>0.5</v>
      </c>
      <c r="N26" s="43">
        <v>0.8</v>
      </c>
      <c r="O26" s="43">
        <f>('Plan de Acción 2022'!W202+'Plan de Acción 2022'!W203+'Plan de Acción 2022'!W204+'Plan de Acción 2022'!W205+'Plan de Acción 2022'!W206+'Plan de Acción 2022'!W207+'Plan de Acción 2022'!W208+'Plan de Acción 2022'!W209+'Plan de Acción 2022'!W210+'Plan de Acción 2022'!W211+'Plan de Acción 2022'!W212+'Plan de Acción 2022'!W213+'Plan de Acción 2022'!W214+'Plan de Acción 2022'!W215+'Plan de Acción 2022'!W216+'Plan de Acción 2022'!W217+'Plan de Acción 2022'!W218+'Plan de Acción 2022'!W219+'Plan de Acción 2022'!W274+'Plan de Acción 2022'!W275+'Plan de Acción 2022'!W315+'Plan de Acción 2022'!W316)/22</f>
        <v>8.1818181818181818E-2</v>
      </c>
      <c r="P26" s="386">
        <f>(O26*20%)/(M26-L26)</f>
        <v>8.1818181818181818E-2</v>
      </c>
      <c r="Q26" s="43" t="s">
        <v>2017</v>
      </c>
      <c r="R26" s="43">
        <f>('Plan de Acción 2022'!AA202+'Plan de Acción 2022'!AA203+'Plan de Acción 2022'!AA204+'Plan de Acción 2022'!AA205+'Plan de Acción 2022'!AA206+'Plan de Acción 2022'!AA207+'Plan de Acción 2022'!AA208+'Plan de Acción 2022'!AA209+'Plan de Acción 2022'!AA210+'Plan de Acción 2022'!AA211+'Plan de Acción 2022'!AA212+'Plan de Acción 2022'!AA213+'Plan de Acción 2022'!AA214+'Plan de Acción 2022'!AA215+'Plan de Acción 2022'!AA216+'Plan de Acción 2022'!AA217+'Plan de Acción 2022'!AA218+'Plan de Acción 2022'!AA219+'Plan de Acción 2022'!AA274+'Plan de Acción 2022'!AA275+'Plan de Acción 2022'!AA315+'Plan de Acción 2022'!AA316)/22</f>
        <v>0.2795454545454546</v>
      </c>
      <c r="S26" s="43">
        <f>(R26*20%)/(M26-L26)</f>
        <v>0.2795454545454546</v>
      </c>
      <c r="T26" s="453" t="s">
        <v>2302</v>
      </c>
      <c r="U26" s="43">
        <f>('Plan de Acción 2022'!AD202+'Plan de Acción 2022'!AD203+'Plan de Acción 2022'!AD204+'Plan de Acción 2022'!AD205+'Plan de Acción 2022'!AD206+'Plan de Acción 2022'!AD207+'Plan de Acción 2022'!AD208+'Plan de Acción 2022'!AD209+'Plan de Acción 2022'!AD210+'Plan de Acción 2022'!AD211+'Plan de Acción 2022'!AD212+'Plan de Acción 2022'!AD213+'Plan de Acción 2022'!AD214+'Plan de Acción 2022'!AD215+'Plan de Acción 2022'!AD216+'Plan de Acción 2022'!AD217+'Plan de Acción 2022'!AD218+'Plan de Acción 2022'!AD219+'Plan de Acción 2022'!AD274+'Plan de Acción 2022'!AD275+'Plan de Acción 2022'!AD315+'Plan de Acción 2022'!AD316)/22</f>
        <v>0</v>
      </c>
      <c r="V26" s="43">
        <f>(U26*20%)/(M26-L26)</f>
        <v>0</v>
      </c>
      <c r="W26" s="53"/>
      <c r="X26" s="43">
        <f>('Plan de Acción 2022'!AG202+'Plan de Acción 2022'!AG203+'Plan de Acción 2022'!AG204+'Plan de Acción 2022'!AG205+'Plan de Acción 2022'!AG206+'Plan de Acción 2022'!AG207+'Plan de Acción 2022'!AG208+'Plan de Acción 2022'!AG209+'Plan de Acción 2022'!AG210+'Plan de Acción 2022'!AG211+'Plan de Acción 2022'!AG212+'Plan de Acción 2022'!AG213+'Plan de Acción 2022'!AG214+'Plan de Acción 2022'!AG215+'Plan de Acción 2022'!AG216+'Plan de Acción 2022'!AG217+'Plan de Acción 2022'!AG218+'Plan de Acción 2022'!AG219+'Plan de Acción 2022'!AG274+'Plan de Acción 2022'!AG275+'Plan de Acción 2022'!AG315+'Plan de Acción 2022'!AG316)/22</f>
        <v>0</v>
      </c>
      <c r="Y26" s="43">
        <f>(X26*20%)/(M26-L26)</f>
        <v>0</v>
      </c>
      <c r="Z26" s="54"/>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18"/>
      <c r="BA26" s="18"/>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row>
    <row r="27" spans="1:339" s="21" customFormat="1" ht="50.25" customHeight="1" x14ac:dyDescent="0.25">
      <c r="A27" s="840">
        <v>10</v>
      </c>
      <c r="B27" s="39">
        <v>1</v>
      </c>
      <c r="C27" s="40">
        <v>0</v>
      </c>
      <c r="D27" s="41" t="s">
        <v>1946</v>
      </c>
      <c r="E27" s="42" t="s">
        <v>2014</v>
      </c>
      <c r="F27" s="838" t="s">
        <v>500</v>
      </c>
      <c r="G27" s="453" t="s">
        <v>959</v>
      </c>
      <c r="H27" s="453" t="s">
        <v>961</v>
      </c>
      <c r="I27" s="509">
        <v>35</v>
      </c>
      <c r="J27" s="43">
        <v>0.8</v>
      </c>
      <c r="K27" s="43">
        <v>0.85</v>
      </c>
      <c r="L27" s="43">
        <v>0.8</v>
      </c>
      <c r="M27" s="43">
        <f>'Plan de Acción 2022'!R225</f>
        <v>0.9</v>
      </c>
      <c r="N27" s="43">
        <v>1</v>
      </c>
      <c r="O27" s="43">
        <f>'Plan de Acción 2022'!W225</f>
        <v>0.25</v>
      </c>
      <c r="P27" s="43">
        <f>(O27*10%)/(M27-L27)</f>
        <v>0.25000000000000006</v>
      </c>
      <c r="Q27" s="43" t="s">
        <v>2018</v>
      </c>
      <c r="R27" s="43">
        <f>'Plan de Acción 2022'!AA225</f>
        <v>0.35</v>
      </c>
      <c r="S27" s="43">
        <f>(R27*10%)/(M27-L27)</f>
        <v>0.35000000000000003</v>
      </c>
      <c r="T27" s="453" t="s">
        <v>964</v>
      </c>
      <c r="U27" s="43">
        <f>('Plan de Acción 2022'!AD225+'Plan de Acción 2022'!AD15+'Plan de Acción 2022'!AD16)/3</f>
        <v>0</v>
      </c>
      <c r="V27" s="43">
        <f>(U27*10%)/(M27-L27)</f>
        <v>0</v>
      </c>
      <c r="W27" s="70"/>
      <c r="X27" s="43">
        <f>('Plan de Acción 2022'!AG225+'Plan de Acción 2022'!AG15+'Plan de Acción 2022'!AG16)/3</f>
        <v>0</v>
      </c>
      <c r="Y27" s="43">
        <f>(X27*10%)/(M27-L27)</f>
        <v>0</v>
      </c>
      <c r="Z27" s="7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18"/>
      <c r="BA27" s="18"/>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row>
    <row r="28" spans="1:339" s="63" customFormat="1" ht="75" customHeight="1" x14ac:dyDescent="0.25">
      <c r="A28" s="840"/>
      <c r="B28" s="39">
        <v>0</v>
      </c>
      <c r="C28" s="40">
        <v>1</v>
      </c>
      <c r="D28" s="41" t="s">
        <v>1946</v>
      </c>
      <c r="E28" s="42" t="s">
        <v>2014</v>
      </c>
      <c r="F28" s="838"/>
      <c r="G28" s="42" t="s">
        <v>966</v>
      </c>
      <c r="H28" s="453" t="s">
        <v>968</v>
      </c>
      <c r="I28" s="509">
        <v>30</v>
      </c>
      <c r="J28" s="60">
        <v>0.86099999999999999</v>
      </c>
      <c r="K28" s="43">
        <v>1</v>
      </c>
      <c r="L28" s="79">
        <v>0.98099999999999998</v>
      </c>
      <c r="M28" s="43">
        <f>'Plan de Acción 2022'!R226</f>
        <v>1</v>
      </c>
      <c r="N28" s="43">
        <v>1</v>
      </c>
      <c r="O28" s="43">
        <f>'Plan de Acción 2022'!W226</f>
        <v>0.25</v>
      </c>
      <c r="P28" s="43">
        <f>O28</f>
        <v>0.25</v>
      </c>
      <c r="Q28" s="43" t="s">
        <v>2019</v>
      </c>
      <c r="R28" s="43">
        <f>'Plan de Acción 2022'!AA226</f>
        <v>0.3</v>
      </c>
      <c r="S28" s="43">
        <f>R28</f>
        <v>0.3</v>
      </c>
      <c r="T28" s="453" t="s">
        <v>972</v>
      </c>
      <c r="U28" s="43">
        <f>'Plan de Acción 2022'!AD226</f>
        <v>0</v>
      </c>
      <c r="V28" s="43">
        <f>U28</f>
        <v>0</v>
      </c>
      <c r="W28" s="44"/>
      <c r="X28" s="43">
        <f>'Plan de Acción 2022'!AG226</f>
        <v>0</v>
      </c>
      <c r="Y28" s="43">
        <f>X28</f>
        <v>0</v>
      </c>
      <c r="Z28" s="45"/>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18"/>
      <c r="BA28" s="18"/>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row>
    <row r="29" spans="1:339" s="21" customFormat="1" ht="69" customHeight="1" x14ac:dyDescent="0.25">
      <c r="A29" s="834">
        <v>11</v>
      </c>
      <c r="B29" s="39">
        <v>1</v>
      </c>
      <c r="C29" s="40">
        <v>0</v>
      </c>
      <c r="D29" s="41" t="s">
        <v>1940</v>
      </c>
      <c r="E29" s="42" t="s">
        <v>1995</v>
      </c>
      <c r="F29" s="833" t="s">
        <v>2020</v>
      </c>
      <c r="G29" s="453" t="s">
        <v>482</v>
      </c>
      <c r="H29" s="453" t="s">
        <v>485</v>
      </c>
      <c r="I29" s="509">
        <v>10</v>
      </c>
      <c r="J29" s="43">
        <v>0</v>
      </c>
      <c r="K29" s="43">
        <v>0.25</v>
      </c>
      <c r="L29" s="43">
        <v>0.25</v>
      </c>
      <c r="M29" s="43">
        <f>'Plan de Acción 2022'!R105</f>
        <v>0.5</v>
      </c>
      <c r="N29" s="43">
        <v>1</v>
      </c>
      <c r="O29" s="43">
        <f>('Plan de Acción 2022'!W105+'Plan de Acción 2022'!W106+'Plan de Acción 2022'!W107)/3</f>
        <v>0.25</v>
      </c>
      <c r="P29" s="392">
        <f>(O29*25%)/(M29-L29)</f>
        <v>0.25</v>
      </c>
      <c r="Q29" s="43" t="s">
        <v>2021</v>
      </c>
      <c r="R29" s="43">
        <f>('Plan de Acción 2022'!AA105+'Plan de Acción 2022'!AA106+'Plan de Acción 2022'!AA107)/3</f>
        <v>0.66666666666666663</v>
      </c>
      <c r="S29" s="43">
        <f>(R29*25%)/(M29-L29)</f>
        <v>0.66666666666666663</v>
      </c>
      <c r="T29" s="509" t="s">
        <v>2368</v>
      </c>
      <c r="U29" s="43">
        <f>('Plan de Acción 2022'!AD105+'Plan de Acción 2022'!AD106+'Plan de Acción 2022'!AD107+'Plan de Acción 2022'!AD178)/4</f>
        <v>0</v>
      </c>
      <c r="V29" s="43">
        <f>(U29*25%)/(M29-L29)</f>
        <v>0</v>
      </c>
      <c r="W29" s="44"/>
      <c r="X29" s="43">
        <f>('Plan de Acción 2022'!AG105+'Plan de Acción 2022'!AG106+'Plan de Acción 2022'!AG107+'Plan de Acción 2022'!AG178)/4</f>
        <v>0</v>
      </c>
      <c r="Y29" s="43">
        <f>(X29*100%)/(M29-L29)</f>
        <v>0</v>
      </c>
      <c r="Z29" s="45"/>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18"/>
      <c r="BA29" s="18"/>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row>
    <row r="30" spans="1:339" s="63" customFormat="1" ht="63.75" customHeight="1" thickBot="1" x14ac:dyDescent="0.3">
      <c r="A30" s="865"/>
      <c r="B30" s="39">
        <v>0</v>
      </c>
      <c r="C30" s="40">
        <v>1</v>
      </c>
      <c r="D30" s="41" t="s">
        <v>2005</v>
      </c>
      <c r="E30" s="453" t="s">
        <v>2022</v>
      </c>
      <c r="F30" s="833"/>
      <c r="G30" s="453" t="s">
        <v>743</v>
      </c>
      <c r="H30" s="453" t="s">
        <v>746</v>
      </c>
      <c r="I30" s="509">
        <v>29</v>
      </c>
      <c r="J30" s="453">
        <v>0</v>
      </c>
      <c r="K30" s="43">
        <v>0.05</v>
      </c>
      <c r="L30" s="43">
        <v>4.8000000000000001E-2</v>
      </c>
      <c r="M30" s="43">
        <f>'Plan de Acción 2022'!R172</f>
        <v>0.09</v>
      </c>
      <c r="N30" s="43">
        <v>0.13</v>
      </c>
      <c r="O30" s="43">
        <f>('Plan de Acción 2022'!W172+'Plan de Acción 2022'!W173+'Plan de Acción 2022'!W174+'Plan de Acción 2022'!W175+'Plan de Acción 2022'!W176)/5</f>
        <v>0.15</v>
      </c>
      <c r="P30" s="43">
        <f>(O30*4.1%)/(M30-L30)</f>
        <v>0.14642857142857144</v>
      </c>
      <c r="Q30" s="43" t="s">
        <v>2023</v>
      </c>
      <c r="R30" s="43">
        <f>('Plan de Acción 2022'!AA172+'Plan de Acción 2022'!AA173+'Plan de Acción 2022'!AA174+'Plan de Acción 2022'!AA175+'Plan de Acción 2022'!AA176)/5</f>
        <v>0.30199999999999999</v>
      </c>
      <c r="S30" s="43">
        <f>(R30*4%)/(M30-L30)</f>
        <v>0.28761904761904766</v>
      </c>
      <c r="T30" s="509" t="s">
        <v>2303</v>
      </c>
      <c r="U30" s="43">
        <f>('Plan de Acción 2022'!AD172+'Plan de Acción 2022'!AD173+'Plan de Acción 2022'!AD174+'Plan de Acción 2022'!AD175+'Plan de Acción 2022'!AD176)/5</f>
        <v>0</v>
      </c>
      <c r="V30" s="43">
        <f>(U30*4.1%)/(M30-L30)</f>
        <v>0</v>
      </c>
      <c r="W30" s="44"/>
      <c r="X30" s="43">
        <f>('Plan de Acción 2022'!AG172+'Plan de Acción 2022'!AG173+'Plan de Acción 2022'!AG174+'Plan de Acción 2022'!AG175+'Plan de Acción 2022'!AG176)/5</f>
        <v>0</v>
      </c>
      <c r="Y30" s="43">
        <f>(X30*4.1%)/(M30-L30)</f>
        <v>0</v>
      </c>
      <c r="Z30" s="46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18"/>
      <c r="BA30" s="18"/>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row>
    <row r="31" spans="1:339" s="63" customFormat="1" ht="111" customHeight="1" thickBot="1" x14ac:dyDescent="0.3">
      <c r="A31" s="81">
        <v>12</v>
      </c>
      <c r="B31" s="39">
        <v>0</v>
      </c>
      <c r="C31" s="40">
        <v>1</v>
      </c>
      <c r="D31" s="41" t="s">
        <v>1940</v>
      </c>
      <c r="E31" s="453" t="s">
        <v>2024</v>
      </c>
      <c r="F31" s="453" t="s">
        <v>2025</v>
      </c>
      <c r="G31" s="457" t="s">
        <v>110</v>
      </c>
      <c r="H31" s="453" t="s">
        <v>112</v>
      </c>
      <c r="I31" s="509">
        <v>38</v>
      </c>
      <c r="J31" s="65">
        <v>0.2</v>
      </c>
      <c r="K31" s="65">
        <v>0.4</v>
      </c>
      <c r="L31" s="65">
        <v>0.5</v>
      </c>
      <c r="M31" s="43">
        <f>'Plan de Acción 2022'!R21</f>
        <v>0.6</v>
      </c>
      <c r="N31" s="65">
        <v>1</v>
      </c>
      <c r="O31" s="65">
        <f>('Plan de Acción 2022'!W21+'Plan de Acción 2022'!W283+'Plan de Acción 2022'!W284+'Plan de Acción 2022'!W290+'Plan de Acción 2022'!W291+'Plan de Acción 2022'!W292+'Plan de Acción 2022'!W293+'Plan de Acción 2022'!W294+'Plan de Acción 2022'!W295+'Plan de Acción 2022'!W303+'Plan de Acción 2022'!W303+'Plan de Acción 2022'!W304+'Plan de Acción 2022'!W305+'Plan de Acción 2022'!W306+'Plan de Acción 2022'!W307+'Plan de Acción 2022'!W308+'Plan de Acción 2022'!W309+'Plan de Acción 2022'!W310)/21</f>
        <v>0.15952380952380954</v>
      </c>
      <c r="P31" s="43">
        <f>(O31*10%)/(M31-L31)</f>
        <v>0.15952380952380957</v>
      </c>
      <c r="Q31" s="65" t="s">
        <v>2026</v>
      </c>
      <c r="R31" s="65">
        <f>('Plan de Acción 2022'!AA21+'Plan de Acción 2022'!AA283+'Plan de Acción 2022'!AA284+'Plan de Acción 2022'!AA290+'Plan de Acción 2022'!AA291+'Plan de Acción 2022'!AA292+'Plan de Acción 2022'!AA293+'Plan de Acción 2022'!AA294+'Plan de Acción 2022'!AA295+'Plan de Acción 2022'!AA303+'Plan de Acción 2022'!AA303+'Plan de Acción 2022'!AA304+'Plan de Acción 2022'!AA305+'Plan de Acción 2022'!AA306+'Plan de Acción 2022'!AA307+'Plan de Acción 2022'!AA308+'Plan de Acción 2022'!AA309+'Plan de Acción 2022'!AA310)/21</f>
        <v>0.37619047619047619</v>
      </c>
      <c r="S31" s="43">
        <f>(R31*10%)/(M31-L31)</f>
        <v>0.3761904761904763</v>
      </c>
      <c r="T31" s="502" t="s">
        <v>2304</v>
      </c>
      <c r="U31" s="65">
        <f>('Plan de Acción 2022'!AD21+'Plan de Acción 2022'!AD283+'Plan de Acción 2022'!AD284+'Plan de Acción 2022'!AD290+'Plan de Acción 2022'!AD291+'Plan de Acción 2022'!AD292+'Plan de Acción 2022'!AD293+'Plan de Acción 2022'!AD294+'Plan de Acción 2022'!AD295+'Plan de Acción 2022'!AD303+'Plan de Acción 2022'!AD303+'Plan de Acción 2022'!AD304+'Plan de Acción 2022'!AD305+'Plan de Acción 2022'!AD306+'Plan de Acción 2022'!AD307+'Plan de Acción 2022'!AD308+'Plan de Acción 2022'!AD309+'Plan de Acción 2022'!AD310)/21</f>
        <v>0</v>
      </c>
      <c r="V31" s="43">
        <f>(U31*10%)/(M31-L31)</f>
        <v>0</v>
      </c>
      <c r="W31" s="82"/>
      <c r="X31" s="65">
        <f>('Plan de Acción 2022'!AG21+'Plan de Acción 2022'!AG283+'Plan de Acción 2022'!AG284+'Plan de Acción 2022'!AG290+'Plan de Acción 2022'!AG291+'Plan de Acción 2022'!AG292+'Plan de Acción 2022'!AG293+'Plan de Acción 2022'!AG294+'Plan de Acción 2022'!AG295+'Plan de Acción 2022'!AG303+'Plan de Acción 2022'!AG303+'Plan de Acción 2022'!AG304+'Plan de Acción 2022'!AG305+'Plan de Acción 2022'!AG306+'Plan de Acción 2022'!AG307+'Plan de Acción 2022'!AG308+'Plan de Acción 2022'!AG309+'Plan de Acción 2022'!AG310)/21</f>
        <v>0</v>
      </c>
      <c r="Y31" s="43">
        <f>(X31*10%)/(M31-L31)</f>
        <v>0</v>
      </c>
      <c r="Z31" s="206"/>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18"/>
      <c r="BA31" s="18"/>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row>
    <row r="32" spans="1:339" s="21" customFormat="1" ht="80.25" customHeight="1" x14ac:dyDescent="0.25">
      <c r="A32" s="839">
        <v>13</v>
      </c>
      <c r="B32" s="39">
        <v>1</v>
      </c>
      <c r="C32" s="40">
        <v>0</v>
      </c>
      <c r="D32" s="41" t="s">
        <v>1946</v>
      </c>
      <c r="E32" s="52" t="s">
        <v>1946</v>
      </c>
      <c r="F32" s="838" t="s">
        <v>2027</v>
      </c>
      <c r="G32" s="453" t="s">
        <v>2028</v>
      </c>
      <c r="H32" s="453" t="s">
        <v>2029</v>
      </c>
      <c r="I32" s="509">
        <v>0</v>
      </c>
      <c r="J32" s="43">
        <v>0.2</v>
      </c>
      <c r="K32" s="43">
        <v>0.5</v>
      </c>
      <c r="L32" s="43">
        <v>0.5</v>
      </c>
      <c r="M32" s="43">
        <f>'Plan de Acción 2022'!R126</f>
        <v>0.65</v>
      </c>
      <c r="N32" s="43">
        <v>1</v>
      </c>
      <c r="O32" s="43">
        <f>'Plan de Acción 2022'!W127</f>
        <v>0</v>
      </c>
      <c r="P32" s="386">
        <f>(O32*15%)/(M32-L32)</f>
        <v>0</v>
      </c>
      <c r="Q32" s="43" t="s">
        <v>2030</v>
      </c>
      <c r="R32" s="43">
        <f>'Plan de Acción 2022'!AA127</f>
        <v>0</v>
      </c>
      <c r="S32" s="386">
        <f>(R32*15%)/(M32-L32)</f>
        <v>0</v>
      </c>
      <c r="T32" s="453" t="s">
        <v>2307</v>
      </c>
      <c r="U32" s="43">
        <f>'Plan de Acción 2022'!AD126</f>
        <v>0</v>
      </c>
      <c r="V32" s="43">
        <f>(U32*15%)/(M32-L32)</f>
        <v>0</v>
      </c>
      <c r="W32" s="44"/>
      <c r="X32" s="43">
        <f>'Plan de Acción 2022'!AG126</f>
        <v>0</v>
      </c>
      <c r="Y32" s="43">
        <f>(X32*15%)/(M32-L32)</f>
        <v>0</v>
      </c>
      <c r="Z32" s="45"/>
      <c r="AA32" s="64"/>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18"/>
      <c r="BA32" s="18"/>
    </row>
    <row r="33" spans="1:53" s="21" customFormat="1" ht="77.25" customHeight="1" x14ac:dyDescent="0.25">
      <c r="A33" s="836"/>
      <c r="B33" s="39">
        <v>1</v>
      </c>
      <c r="C33" s="40">
        <v>0</v>
      </c>
      <c r="D33" s="41" t="s">
        <v>1946</v>
      </c>
      <c r="E33" s="42" t="s">
        <v>1946</v>
      </c>
      <c r="F33" s="838"/>
      <c r="G33" s="833" t="s">
        <v>2031</v>
      </c>
      <c r="H33" s="453" t="s">
        <v>2032</v>
      </c>
      <c r="I33" s="509">
        <v>50</v>
      </c>
      <c r="J33" s="43">
        <v>0.5</v>
      </c>
      <c r="K33" s="43">
        <v>0.7</v>
      </c>
      <c r="L33" s="43">
        <v>0.55000000000000004</v>
      </c>
      <c r="M33" s="43">
        <f>'Plan de Acción 2022'!R128</f>
        <v>0.8</v>
      </c>
      <c r="N33" s="43">
        <v>1</v>
      </c>
      <c r="O33" s="43">
        <f>'Plan de Acción 2022'!W128</f>
        <v>0.25</v>
      </c>
      <c r="P33" s="43">
        <f>(O33*25%)/(M33-L33)</f>
        <v>0.25</v>
      </c>
      <c r="Q33" s="43" t="s">
        <v>2033</v>
      </c>
      <c r="R33" s="43">
        <f>'Plan de Acción 2022'!AA128</f>
        <v>0.5</v>
      </c>
      <c r="S33" s="43">
        <f>(R33*25%)/(M33-L33)</f>
        <v>0.5</v>
      </c>
      <c r="T33" s="453" t="str">
        <f>CONCATENATE('Plan de Acción 2022'!AB128)</f>
        <v>Se han realizado las siguientes actividades de mantenimiento locativo:
1. Organización de los contenedores de basura, según el tipo de residuo generado en la sede.
2. Mantenimiento de la puerta de ingreso de la casona 
3. Mantenimiento de los baños del 1° piso.</v>
      </c>
      <c r="U33" s="43">
        <f>'Plan de Acción 2022'!AD128</f>
        <v>0</v>
      </c>
      <c r="V33" s="43">
        <f>(U33*25%)/(M33-L33)</f>
        <v>0</v>
      </c>
      <c r="W33" s="301"/>
      <c r="X33" s="43">
        <f>'Plan de Acción 2022'!AG128</f>
        <v>0</v>
      </c>
      <c r="Y33" s="43">
        <f>(X33*25%)/(M33-L33)</f>
        <v>0</v>
      </c>
      <c r="Z33" s="45"/>
      <c r="AA33" s="83"/>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18"/>
      <c r="BA33" s="18"/>
    </row>
    <row r="34" spans="1:53" s="21" customFormat="1" ht="43.5" customHeight="1" x14ac:dyDescent="0.25">
      <c r="A34" s="836"/>
      <c r="B34" s="39">
        <v>1</v>
      </c>
      <c r="C34" s="40">
        <v>0</v>
      </c>
      <c r="D34" s="41" t="s">
        <v>1946</v>
      </c>
      <c r="E34" s="42" t="s">
        <v>1946</v>
      </c>
      <c r="F34" s="838"/>
      <c r="G34" s="833"/>
      <c r="H34" s="453" t="s">
        <v>569</v>
      </c>
      <c r="I34" s="509">
        <v>40</v>
      </c>
      <c r="J34" s="43">
        <v>0.4</v>
      </c>
      <c r="K34" s="43">
        <v>0.6</v>
      </c>
      <c r="L34" s="43">
        <v>0.42</v>
      </c>
      <c r="M34" s="43">
        <v>0.75</v>
      </c>
      <c r="N34" s="43">
        <f>'Plan de Acción 2022'!R129</f>
        <v>0.75</v>
      </c>
      <c r="O34" s="43">
        <f>'Plan de Acción 2022'!W129</f>
        <v>0.02</v>
      </c>
      <c r="P34" s="386">
        <f>(O34*33%)/(M34-L34)</f>
        <v>0.02</v>
      </c>
      <c r="Q34" s="43" t="s">
        <v>2034</v>
      </c>
      <c r="R34" s="43">
        <f>'Plan de Acción 2022'!AA129</f>
        <v>0.4</v>
      </c>
      <c r="S34" s="43">
        <f>(R34*33%)/(M34-L34)</f>
        <v>0.4</v>
      </c>
      <c r="T34" s="453" t="str">
        <f>CONCATENATE('Plan de Acción 2022'!AB129)</f>
        <v xml:space="preserve">Se lanzó el proceso CMA 003 de 2022 (26 de mayo), sin embargo se declaro desierto. 
El CDP se adiciono. </v>
      </c>
      <c r="U34" s="43">
        <f>'Plan de Acción 2022'!AD129</f>
        <v>0</v>
      </c>
      <c r="V34" s="43">
        <f>(U34*33%)/(M34-L34)</f>
        <v>0</v>
      </c>
      <c r="W34" s="300"/>
      <c r="X34" s="43">
        <f>'Plan de Acción 2022'!AG129</f>
        <v>0</v>
      </c>
      <c r="Y34" s="43">
        <f>(X34*33%)/(M34-L34)</f>
        <v>0</v>
      </c>
      <c r="Z34" s="45"/>
      <c r="AA34" s="83"/>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18"/>
      <c r="BA34" s="18"/>
    </row>
    <row r="35" spans="1:53" s="21" customFormat="1" ht="127.5" customHeight="1" x14ac:dyDescent="0.25">
      <c r="A35" s="836"/>
      <c r="B35" s="39">
        <v>1</v>
      </c>
      <c r="C35" s="40">
        <v>0</v>
      </c>
      <c r="D35" s="41" t="s">
        <v>1946</v>
      </c>
      <c r="E35" s="41" t="s">
        <v>1946</v>
      </c>
      <c r="F35" s="838"/>
      <c r="G35" s="838" t="s">
        <v>2035</v>
      </c>
      <c r="H35" s="453" t="s">
        <v>1642</v>
      </c>
      <c r="I35" s="509">
        <v>60</v>
      </c>
      <c r="J35" s="43">
        <v>0</v>
      </c>
      <c r="K35" s="43">
        <v>0.9</v>
      </c>
      <c r="L35" s="43">
        <v>0.9</v>
      </c>
      <c r="M35" s="43">
        <f>'Plan de Acción 2022'!R130</f>
        <v>1</v>
      </c>
      <c r="N35" s="43">
        <v>1</v>
      </c>
      <c r="O35" s="43">
        <f>('Plan de Acción 2022'!W130+'Plan de Acción 2022'!W376+'Plan de Acción 2022'!W377+'Plan de Acción 2022'!W378+'Plan de Acción 2022'!W379+'Plan de Acción 2022'!W380+'Plan de Acción 2022'!W381)/7</f>
        <v>0.31428571428571433</v>
      </c>
      <c r="P35" s="43">
        <f>(O35*10%)/(M35-L35)</f>
        <v>0.31428571428571445</v>
      </c>
      <c r="Q35" s="43" t="s">
        <v>2036</v>
      </c>
      <c r="R35" s="43">
        <f>('Plan de Acción 2022'!AA130+'Plan de Acción 2022'!AA376+'Plan de Acción 2022'!AA378+'Plan de Acción 2022'!AA379+'Plan de Acción 2022'!AA381)/5</f>
        <v>0.6</v>
      </c>
      <c r="S35" s="43">
        <f>(R35*10%)/(M35-L35)</f>
        <v>0.60000000000000009</v>
      </c>
      <c r="T35" s="453" t="str">
        <f>CONCATENATE('Plan de Acción 2022'!AB128)</f>
        <v>Se han realizado las siguientes actividades de mantenimiento locativo:
1. Organización de los contenedores de basura, según el tipo de residuo generado en la sede.
2. Mantenimiento de la puerta de ingreso de la casona 
3. Mantenimiento de los baños del 1° piso.</v>
      </c>
      <c r="U35" s="43">
        <f>('Plan de Acción 2022'!AD130+'Plan de Acción 2022'!AD376+'Plan de Acción 2022'!AD378+'Plan de Acción 2022'!AD379+'Plan de Acción 2022'!AD381)/5</f>
        <v>0</v>
      </c>
      <c r="V35" s="43">
        <f>(U35*20%)/(M35-L35)</f>
        <v>0</v>
      </c>
      <c r="W35" s="44"/>
      <c r="X35" s="43">
        <f>('Plan de Acción 2022'!AG130+'Plan de Acción 2022'!AG376+'Plan de Acción 2022'!AG378+'Plan de Acción 2022'!AG379+'Plan de Acción 2022'!AG381)/5</f>
        <v>0</v>
      </c>
      <c r="Y35" s="43">
        <f>(X35*20%)/(M35-L35)</f>
        <v>0</v>
      </c>
      <c r="Z35" s="45"/>
      <c r="AA35" s="64"/>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18"/>
      <c r="BA35" s="18"/>
    </row>
    <row r="36" spans="1:53" s="21" customFormat="1" ht="75" customHeight="1" x14ac:dyDescent="0.25">
      <c r="A36" s="836"/>
      <c r="B36" s="39">
        <v>1</v>
      </c>
      <c r="C36" s="40">
        <v>0</v>
      </c>
      <c r="D36" s="41" t="s">
        <v>1946</v>
      </c>
      <c r="E36" s="42" t="s">
        <v>1946</v>
      </c>
      <c r="F36" s="838"/>
      <c r="G36" s="838"/>
      <c r="H36" s="453" t="s">
        <v>1651</v>
      </c>
      <c r="I36" s="509">
        <v>40</v>
      </c>
      <c r="J36" s="43">
        <v>0</v>
      </c>
      <c r="K36" s="43">
        <v>0.2</v>
      </c>
      <c r="L36" s="43">
        <v>0.2</v>
      </c>
      <c r="M36" s="43">
        <f>'Plan de Acción 2022'!R131</f>
        <v>0.5</v>
      </c>
      <c r="N36" s="43">
        <v>1</v>
      </c>
      <c r="O36" s="43">
        <f>('Plan de Acción 2022'!W131+'Plan de Acción 2022'!W377+'Plan de Acción 2022'!W380)/3</f>
        <v>0.16666666666666666</v>
      </c>
      <c r="P36" s="43">
        <f>(O36*30%)/(M36-L36)</f>
        <v>0.16666666666666666</v>
      </c>
      <c r="Q36" s="43" t="s">
        <v>2037</v>
      </c>
      <c r="R36" s="43">
        <f>('Plan de Acción 2022'!AA131+'Plan de Acción 2022'!AA377+'Plan de Acción 2022'!AA380)/3</f>
        <v>0.39999999999999997</v>
      </c>
      <c r="S36" s="43">
        <f>(R36*30%)/(M36-L36)</f>
        <v>0.39999999999999997</v>
      </c>
      <c r="T36" s="453" t="str">
        <f>CONCATENATE('Plan de Acción 2022'!AB129)</f>
        <v xml:space="preserve">Se lanzó el proceso CMA 003 de 2022 (26 de mayo), sin embargo se declaro desierto. 
El CDP se adiciono. </v>
      </c>
      <c r="U36" s="43">
        <f>('Plan de Acción 2022'!AD131+'Plan de Acción 2022'!AD377+'Plan de Acción 2022'!AD380)/3</f>
        <v>0</v>
      </c>
      <c r="V36" s="43">
        <f>(U36*30%)/(M36-L36)</f>
        <v>0</v>
      </c>
      <c r="W36" s="44"/>
      <c r="X36" s="43">
        <f>('Plan de Acción 2022'!AG131+'Plan de Acción 2022'!AG377+'Plan de Acción 2022'!AG380)/3</f>
        <v>0</v>
      </c>
      <c r="Y36" s="43">
        <f>(X36*30%)/(M36-L36)</f>
        <v>0</v>
      </c>
      <c r="Z36" s="45"/>
      <c r="AA36" s="64"/>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18"/>
      <c r="BA36" s="18"/>
    </row>
    <row r="37" spans="1:53" s="21" customFormat="1" ht="77.25" customHeight="1" x14ac:dyDescent="0.25">
      <c r="A37" s="836"/>
      <c r="B37" s="39">
        <v>1</v>
      </c>
      <c r="C37" s="40">
        <v>0</v>
      </c>
      <c r="D37" s="41" t="s">
        <v>1946</v>
      </c>
      <c r="E37" s="42" t="s">
        <v>1946</v>
      </c>
      <c r="F37" s="838"/>
      <c r="G37" s="453" t="s">
        <v>2038</v>
      </c>
      <c r="H37" s="453" t="s">
        <v>585</v>
      </c>
      <c r="I37" s="509">
        <v>60</v>
      </c>
      <c r="J37" s="43">
        <v>0.1</v>
      </c>
      <c r="K37" s="43">
        <v>0.5</v>
      </c>
      <c r="L37" s="75">
        <v>0.5</v>
      </c>
      <c r="M37" s="43">
        <f>'Plan de Acción 2022'!R132</f>
        <v>1</v>
      </c>
      <c r="N37" s="43">
        <v>1</v>
      </c>
      <c r="O37" s="43">
        <f>('Plan de Acción 2022'!W132+'Plan de Acción 2022'!W169)/2</f>
        <v>0.5</v>
      </c>
      <c r="P37" s="43">
        <f>(O37*50%)/(M37-L37)</f>
        <v>0.5</v>
      </c>
      <c r="Q37" s="43" t="s">
        <v>578</v>
      </c>
      <c r="R37" s="43">
        <f>('Plan de Acción 2022'!AA132+'Plan de Acción 2022'!AA169)/2</f>
        <v>0.6</v>
      </c>
      <c r="S37" s="43">
        <f>(R37*50%)/(M37-L37)</f>
        <v>0.6</v>
      </c>
      <c r="T37" s="453" t="s">
        <v>2308</v>
      </c>
      <c r="U37" s="43">
        <f>('Plan de Acción 2022'!AD132+'Plan de Acción 2022'!AD169)/2</f>
        <v>0</v>
      </c>
      <c r="V37" s="43">
        <f>(U37*50%)/(M37-L37)</f>
        <v>0</v>
      </c>
      <c r="W37" s="53"/>
      <c r="X37" s="43">
        <f>('Plan de Acción 2022'!AG132+'Plan de Acción 2022'!AG169)/2</f>
        <v>0</v>
      </c>
      <c r="Y37" s="43">
        <f>(X37*50%)/(M37-L37)</f>
        <v>0</v>
      </c>
      <c r="Z37" s="54"/>
      <c r="AA37" s="62"/>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18"/>
      <c r="BA37" s="18"/>
    </row>
    <row r="38" spans="1:53" s="21" customFormat="1" ht="83.25" customHeight="1" thickBot="1" x14ac:dyDescent="0.3">
      <c r="A38" s="865"/>
      <c r="B38" s="39">
        <v>1</v>
      </c>
      <c r="C38" s="40">
        <v>0</v>
      </c>
      <c r="D38" s="84" t="s">
        <v>1946</v>
      </c>
      <c r="E38" s="85" t="s">
        <v>1946</v>
      </c>
      <c r="F38" s="866"/>
      <c r="G38" s="86" t="s">
        <v>2039</v>
      </c>
      <c r="H38" s="86" t="s">
        <v>593</v>
      </c>
      <c r="I38" s="86">
        <v>0</v>
      </c>
      <c r="J38" s="87">
        <v>0</v>
      </c>
      <c r="K38" s="87">
        <v>0.25</v>
      </c>
      <c r="L38" s="87">
        <v>0.2</v>
      </c>
      <c r="M38" s="43">
        <f>'Plan de Acción 2022'!R134</f>
        <v>0.5</v>
      </c>
      <c r="N38" s="87">
        <v>1</v>
      </c>
      <c r="O38" s="87">
        <f>'Plan de Acción 2022'!W134</f>
        <v>0</v>
      </c>
      <c r="P38" s="387">
        <f>(O38*30%)/(M38-L38)</f>
        <v>0</v>
      </c>
      <c r="Q38" s="87" t="s">
        <v>2040</v>
      </c>
      <c r="R38" s="43">
        <f>'Plan de Acción 2022'!AA134</f>
        <v>0</v>
      </c>
      <c r="S38" s="387">
        <f>(R38*30%)/(M38-L38)</f>
        <v>0</v>
      </c>
      <c r="T38" s="497" t="s">
        <v>2307</v>
      </c>
      <c r="U38" s="43">
        <f>'Plan de Acción 2022'!AD134</f>
        <v>0</v>
      </c>
      <c r="V38" s="387">
        <f>(O38*30%)/(M38-L38)</f>
        <v>0</v>
      </c>
      <c r="W38" s="88"/>
      <c r="X38" s="87">
        <f>'Plan de Acción 2022'!AG134</f>
        <v>0</v>
      </c>
      <c r="Y38" s="87">
        <f>(X38*30%)/(M38-L38)</f>
        <v>0</v>
      </c>
      <c r="Z38" s="89"/>
      <c r="AA38" s="64"/>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18"/>
      <c r="BA38" s="18"/>
    </row>
    <row r="39" spans="1:53" ht="43.5" customHeight="1" thickBot="1" x14ac:dyDescent="0.3">
      <c r="A39" s="90">
        <v>13</v>
      </c>
      <c r="B39" s="90"/>
      <c r="C39" s="90"/>
      <c r="D39" s="863"/>
      <c r="E39" s="864"/>
      <c r="F39" s="864"/>
      <c r="G39" s="864"/>
      <c r="H39" s="864"/>
      <c r="I39" s="864"/>
      <c r="J39" s="864"/>
      <c r="K39" s="864"/>
      <c r="L39" s="454"/>
      <c r="M39" s="454"/>
      <c r="N39" s="454"/>
      <c r="O39" s="222"/>
      <c r="P39" s="223"/>
      <c r="Q39" s="222"/>
      <c r="R39" s="222"/>
      <c r="S39" s="223"/>
      <c r="T39" s="224"/>
      <c r="U39" s="222"/>
      <c r="V39" s="223"/>
      <c r="W39" s="224"/>
      <c r="X39" s="222"/>
      <c r="Y39" s="223"/>
      <c r="Z39" s="226">
        <f>AVERAGE(Z40:Z42)/4</f>
        <v>0.1424282975715373</v>
      </c>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row>
    <row r="40" spans="1:53" ht="28.5" customHeight="1" x14ac:dyDescent="0.2">
      <c r="E40" s="17"/>
      <c r="G40" s="260"/>
      <c r="J40" s="17"/>
      <c r="K40" s="17"/>
      <c r="L40" s="17"/>
      <c r="M40" s="17"/>
      <c r="N40" s="17"/>
      <c r="O40" s="220" t="s">
        <v>1940</v>
      </c>
      <c r="P40" s="227">
        <f>AVERAGE(P9+P13+P14+P15+P17+P20+P29+P31)/8</f>
        <v>0.25119047619047619</v>
      </c>
      <c r="Q40" s="227"/>
      <c r="R40" s="227"/>
      <c r="S40" s="227">
        <f>AVERAGE(S9,S13,S14,S15,S17,S20,S29,S31)/8</f>
        <v>5.5513392857142858E-2</v>
      </c>
      <c r="T40" s="227"/>
      <c r="U40" s="227"/>
      <c r="V40" s="227">
        <f>AVERAGE(V9+V13+V14+V15+V17+V20+V29+V31)/8</f>
        <v>0.125</v>
      </c>
      <c r="W40" s="227"/>
      <c r="X40" s="227"/>
      <c r="Y40" s="227">
        <f>AVERAGE(Y9+Y13+Y14+Y15+Y17+Y20+Y29+Y31)/8</f>
        <v>0.125</v>
      </c>
      <c r="Z40" s="216">
        <f>AVERAGE(P40+S40+V40+Y40)</f>
        <v>0.55670386904761904</v>
      </c>
    </row>
    <row r="41" spans="1:53" ht="41.25" customHeight="1" x14ac:dyDescent="0.2">
      <c r="E41" s="17"/>
      <c r="G41" s="260"/>
      <c r="J41" s="17"/>
      <c r="K41" s="17"/>
      <c r="L41" s="17"/>
      <c r="M41" s="17"/>
      <c r="N41" s="17"/>
      <c r="O41" s="215" t="s">
        <v>1948</v>
      </c>
      <c r="P41" s="216">
        <f>AVERAGE(P11+P12+P22+P23+P24)/5</f>
        <v>0.16572463768115947</v>
      </c>
      <c r="Q41" s="216"/>
      <c r="R41" s="216"/>
      <c r="S41" s="216">
        <f>AVERAGE(S11+S12+S22+S23+S24)/5</f>
        <v>0.49300000000000005</v>
      </c>
      <c r="T41" s="216"/>
      <c r="U41" s="216"/>
      <c r="V41" s="216">
        <f>AVERAGE(V11+V12+V22+V23+V24)/5</f>
        <v>0</v>
      </c>
      <c r="W41" s="216"/>
      <c r="X41" s="216"/>
      <c r="Y41" s="216">
        <f>AVERAGE(Y11+Y12+Y22+Y23+Y24)/5</f>
        <v>0</v>
      </c>
      <c r="Z41" s="216">
        <f>AVERAGE(P41+S41+V41+Y41)</f>
        <v>0.65872463768115952</v>
      </c>
    </row>
    <row r="42" spans="1:53" ht="54.75" customHeight="1" x14ac:dyDescent="0.2">
      <c r="E42" s="17"/>
      <c r="G42" s="260"/>
      <c r="J42" s="17"/>
      <c r="K42" s="17"/>
      <c r="L42" s="17"/>
      <c r="M42" s="17"/>
      <c r="N42" s="17"/>
      <c r="O42" s="215" t="s">
        <v>1946</v>
      </c>
      <c r="P42" s="216">
        <f>AVERAGE(P16+P10+P21+P25+P26+P27+P28+P30+P32+P33+P34+P35+P36+P37+P38)/15</f>
        <v>0.17393110507063997</v>
      </c>
      <c r="Q42" s="216"/>
      <c r="R42" s="216"/>
      <c r="S42" s="216">
        <f>AVERAGE(S16+S10+S21+S25+S26+S27+S28+S30+S32+S33+S34+S35+S36+S37+S38)/15</f>
        <v>0.31977995905902884</v>
      </c>
      <c r="T42" s="216"/>
      <c r="U42" s="216"/>
      <c r="V42" s="216">
        <f>AVERAGE(V16+V10+V21+V25+V26+V27+V28+V30+V32+V33+V34+V35+V36+V37+V38)/15</f>
        <v>0</v>
      </c>
      <c r="W42" s="216"/>
      <c r="X42" s="216"/>
      <c r="Y42" s="216">
        <f>AVERAGE(Y16+Y10+Y21+Y25+Y26+Y27+Y28+Y30+Y32+Y33+Y34+Y35+Y36+Y37+Y38)/15</f>
        <v>0</v>
      </c>
      <c r="Z42" s="216">
        <f>AVERAGE(P42+S42+V42+Y42)</f>
        <v>0.49371106412966881</v>
      </c>
    </row>
    <row r="43" spans="1:53" ht="43.5" customHeight="1" thickBot="1" x14ac:dyDescent="0.25">
      <c r="R43" s="92"/>
      <c r="S43" s="91"/>
      <c r="X43" s="19"/>
      <c r="Y43" s="19"/>
      <c r="Z43" s="17"/>
    </row>
    <row r="44" spans="1:53" s="336" customFormat="1" ht="10.5" customHeight="1" thickTop="1" x14ac:dyDescent="0.2">
      <c r="A44" s="847" t="s">
        <v>1926</v>
      </c>
      <c r="B44" s="848"/>
      <c r="C44" s="848"/>
      <c r="D44" s="848"/>
      <c r="E44" s="848"/>
      <c r="F44" s="848"/>
      <c r="G44" s="848"/>
      <c r="H44" s="848"/>
      <c r="I44" s="848"/>
      <c r="J44" s="849"/>
      <c r="K44" s="853" t="s">
        <v>1927</v>
      </c>
      <c r="L44" s="854"/>
      <c r="M44" s="854"/>
      <c r="N44" s="854"/>
      <c r="O44" s="854"/>
      <c r="P44" s="854"/>
      <c r="Q44" s="855"/>
      <c r="R44" s="853" t="s">
        <v>1928</v>
      </c>
      <c r="S44" s="859"/>
      <c r="T44" s="847" t="s">
        <v>1929</v>
      </c>
      <c r="U44" s="848"/>
      <c r="V44" s="848"/>
      <c r="W44" s="848"/>
      <c r="X44" s="861"/>
      <c r="Y44" s="842">
        <v>1</v>
      </c>
      <c r="Z44" s="335"/>
      <c r="AC44" s="335"/>
      <c r="AF44" s="335"/>
    </row>
    <row r="45" spans="1:53" s="336" customFormat="1" ht="13.15" customHeight="1" thickBot="1" x14ac:dyDescent="0.25">
      <c r="A45" s="850"/>
      <c r="B45" s="851"/>
      <c r="C45" s="851"/>
      <c r="D45" s="851"/>
      <c r="E45" s="851"/>
      <c r="F45" s="851"/>
      <c r="G45" s="851"/>
      <c r="H45" s="851"/>
      <c r="I45" s="851"/>
      <c r="J45" s="852"/>
      <c r="K45" s="856"/>
      <c r="L45" s="857"/>
      <c r="M45" s="857"/>
      <c r="N45" s="857"/>
      <c r="O45" s="857"/>
      <c r="P45" s="857"/>
      <c r="Q45" s="858"/>
      <c r="R45" s="856"/>
      <c r="S45" s="860"/>
      <c r="T45" s="850"/>
      <c r="U45" s="851"/>
      <c r="V45" s="851"/>
      <c r="W45" s="851"/>
      <c r="X45" s="862"/>
      <c r="Y45" s="843"/>
      <c r="Z45" s="335"/>
      <c r="AC45" s="335"/>
      <c r="AF45" s="335"/>
    </row>
    <row r="46" spans="1:53" ht="43.5" customHeight="1" x14ac:dyDescent="0.2">
      <c r="X46" s="19"/>
      <c r="Y46" s="19"/>
      <c r="Z46" s="18"/>
    </row>
    <row r="47" spans="1:53" ht="43.5" customHeight="1" x14ac:dyDescent="0.2">
      <c r="X47" s="19"/>
      <c r="Y47" s="19"/>
      <c r="Z47" s="18"/>
    </row>
    <row r="48" spans="1:53" ht="43.5" customHeight="1" x14ac:dyDescent="0.2">
      <c r="X48" s="19"/>
      <c r="Y48" s="19"/>
      <c r="Z48" s="18"/>
    </row>
    <row r="49" spans="24:26" ht="43.5" customHeight="1" x14ac:dyDescent="0.2">
      <c r="X49" s="19"/>
      <c r="Y49" s="19"/>
      <c r="Z49" s="18"/>
    </row>
    <row r="50" spans="24:26" ht="43.5" customHeight="1" x14ac:dyDescent="0.2">
      <c r="X50" s="19"/>
      <c r="Y50" s="19"/>
      <c r="Z50" s="18"/>
    </row>
    <row r="51" spans="24:26" ht="43.5" customHeight="1" x14ac:dyDescent="0.2">
      <c r="X51" s="19"/>
      <c r="Y51" s="19"/>
      <c r="Z51" s="18"/>
    </row>
    <row r="52" spans="24:26" ht="43.5" customHeight="1" x14ac:dyDescent="0.2">
      <c r="X52" s="19"/>
      <c r="Y52" s="19"/>
      <c r="Z52" s="18"/>
    </row>
    <row r="53" spans="24:26" ht="43.5" customHeight="1" x14ac:dyDescent="0.2">
      <c r="X53" s="19"/>
      <c r="Y53" s="19"/>
      <c r="Z53" s="18"/>
    </row>
    <row r="54" spans="24:26" ht="43.5" customHeight="1" x14ac:dyDescent="0.2">
      <c r="X54" s="19"/>
      <c r="Y54" s="19"/>
      <c r="Z54" s="18"/>
    </row>
    <row r="55" spans="24:26" ht="43.5" customHeight="1" x14ac:dyDescent="0.2">
      <c r="X55" s="19"/>
      <c r="Y55" s="19"/>
      <c r="Z55" s="18"/>
    </row>
    <row r="56" spans="24:26" ht="43.5" customHeight="1" x14ac:dyDescent="0.2">
      <c r="X56" s="19"/>
      <c r="Y56" s="19"/>
      <c r="Z56" s="18"/>
    </row>
    <row r="57" spans="24:26" ht="43.5" customHeight="1" x14ac:dyDescent="0.2">
      <c r="X57" s="19"/>
      <c r="Y57" s="19"/>
      <c r="Z57" s="18"/>
    </row>
    <row r="58" spans="24:26" ht="43.5" customHeight="1" x14ac:dyDescent="0.2">
      <c r="X58" s="19"/>
      <c r="Y58" s="19"/>
      <c r="Z58" s="18"/>
    </row>
    <row r="59" spans="24:26" ht="43.5" customHeight="1" x14ac:dyDescent="0.2">
      <c r="X59" s="19"/>
      <c r="Y59" s="19"/>
      <c r="Z59" s="18"/>
    </row>
    <row r="60" spans="24:26" ht="43.5" customHeight="1" x14ac:dyDescent="0.2">
      <c r="X60" s="19"/>
      <c r="Y60" s="19"/>
      <c r="Z60" s="18"/>
    </row>
    <row r="61" spans="24:26" ht="43.5" customHeight="1" x14ac:dyDescent="0.2">
      <c r="X61" s="19"/>
      <c r="Y61" s="19"/>
      <c r="Z61" s="18"/>
    </row>
    <row r="62" spans="24:26" ht="43.5" customHeight="1" x14ac:dyDescent="0.2">
      <c r="X62" s="19"/>
      <c r="Y62" s="19"/>
      <c r="Z62" s="18"/>
    </row>
    <row r="63" spans="24:26" ht="43.5" customHeight="1" x14ac:dyDescent="0.2">
      <c r="X63" s="19"/>
      <c r="Y63" s="19"/>
      <c r="Z63" s="18"/>
    </row>
    <row r="64" spans="24:26" ht="43.5" customHeight="1" x14ac:dyDescent="0.2">
      <c r="X64" s="19"/>
      <c r="Y64" s="19"/>
      <c r="Z64" s="18"/>
    </row>
    <row r="65" spans="24:26" ht="43.5" customHeight="1" x14ac:dyDescent="0.2">
      <c r="X65" s="19"/>
      <c r="Y65" s="19"/>
      <c r="Z65" s="18"/>
    </row>
    <row r="66" spans="24:26" ht="43.5" customHeight="1" x14ac:dyDescent="0.2">
      <c r="X66" s="19"/>
      <c r="Y66" s="19"/>
      <c r="Z66" s="18"/>
    </row>
    <row r="67" spans="24:26" ht="43.5" customHeight="1" x14ac:dyDescent="0.2">
      <c r="X67" s="19"/>
      <c r="Y67" s="19"/>
      <c r="Z67" s="18"/>
    </row>
    <row r="68" spans="24:26" ht="43.5" customHeight="1" x14ac:dyDescent="0.2">
      <c r="X68" s="19"/>
      <c r="Y68" s="19"/>
      <c r="Z68" s="18"/>
    </row>
    <row r="69" spans="24:26" ht="43.5" customHeight="1" x14ac:dyDescent="0.2">
      <c r="X69" s="19"/>
      <c r="Y69" s="19"/>
      <c r="Z69" s="18"/>
    </row>
    <row r="70" spans="24:26" ht="43.5" customHeight="1" x14ac:dyDescent="0.2">
      <c r="X70" s="19"/>
      <c r="Y70" s="19"/>
      <c r="Z70" s="18"/>
    </row>
    <row r="71" spans="24:26" ht="43.5" customHeight="1" x14ac:dyDescent="0.2">
      <c r="X71" s="19"/>
      <c r="Y71" s="19"/>
      <c r="Z71" s="18"/>
    </row>
    <row r="72" spans="24:26" ht="43.5" customHeight="1" x14ac:dyDescent="0.2">
      <c r="X72" s="19"/>
      <c r="Y72" s="19"/>
      <c r="Z72" s="18"/>
    </row>
    <row r="73" spans="24:26" ht="43.5" customHeight="1" x14ac:dyDescent="0.2">
      <c r="X73" s="19"/>
      <c r="Y73" s="19"/>
      <c r="Z73" s="18"/>
    </row>
    <row r="74" spans="24:26" ht="43.5" customHeight="1" x14ac:dyDescent="0.2">
      <c r="X74" s="19"/>
      <c r="Y74" s="19"/>
      <c r="Z74" s="18"/>
    </row>
    <row r="75" spans="24:26" ht="43.5" customHeight="1" x14ac:dyDescent="0.2">
      <c r="X75" s="19"/>
      <c r="Y75" s="19"/>
      <c r="Z75" s="18"/>
    </row>
    <row r="76" spans="24:26" ht="43.5" customHeight="1" x14ac:dyDescent="0.2">
      <c r="X76" s="19"/>
      <c r="Y76" s="19"/>
      <c r="Z76" s="18"/>
    </row>
    <row r="77" spans="24:26" ht="43.5" customHeight="1" x14ac:dyDescent="0.2">
      <c r="X77" s="19"/>
      <c r="Y77" s="19"/>
      <c r="Z77" s="18"/>
    </row>
    <row r="78" spans="24:26" ht="43.5" customHeight="1" x14ac:dyDescent="0.2">
      <c r="X78" s="19"/>
      <c r="Y78" s="19"/>
      <c r="Z78" s="18"/>
    </row>
    <row r="79" spans="24:26" ht="43.5" customHeight="1" x14ac:dyDescent="0.2">
      <c r="X79" s="19"/>
      <c r="Y79" s="19"/>
      <c r="Z79" s="18"/>
    </row>
    <row r="80" spans="24:26" ht="43.5" customHeight="1" x14ac:dyDescent="0.2">
      <c r="X80" s="19"/>
      <c r="Y80" s="19"/>
      <c r="Z80" s="18"/>
    </row>
    <row r="81" spans="24:26" ht="43.5" customHeight="1" x14ac:dyDescent="0.2">
      <c r="X81" s="19"/>
      <c r="Y81" s="19"/>
      <c r="Z81" s="18"/>
    </row>
    <row r="82" spans="24:26" ht="43.5" customHeight="1" x14ac:dyDescent="0.2">
      <c r="X82" s="19"/>
      <c r="Y82" s="19"/>
      <c r="Z82" s="18"/>
    </row>
    <row r="83" spans="24:26" ht="43.5" customHeight="1" x14ac:dyDescent="0.2">
      <c r="X83" s="19"/>
      <c r="Y83" s="19"/>
      <c r="Z83" s="18"/>
    </row>
    <row r="84" spans="24:26" ht="43.5" customHeight="1" x14ac:dyDescent="0.2">
      <c r="X84" s="19"/>
      <c r="Y84" s="19"/>
      <c r="Z84" s="18"/>
    </row>
    <row r="85" spans="24:26" ht="43.5" customHeight="1" x14ac:dyDescent="0.2">
      <c r="X85" s="19"/>
      <c r="Y85" s="19"/>
      <c r="Z85" s="18"/>
    </row>
    <row r="86" spans="24:26" ht="43.5" customHeight="1" x14ac:dyDescent="0.2">
      <c r="X86" s="19"/>
      <c r="Y86" s="19"/>
      <c r="Z86" s="18"/>
    </row>
    <row r="87" spans="24:26" ht="43.5" customHeight="1" x14ac:dyDescent="0.2">
      <c r="X87" s="19"/>
      <c r="Y87" s="19"/>
      <c r="Z87" s="18"/>
    </row>
    <row r="88" spans="24:26" ht="43.5" customHeight="1" x14ac:dyDescent="0.2">
      <c r="X88" s="19"/>
      <c r="Y88" s="19"/>
      <c r="Z88" s="18"/>
    </row>
    <row r="89" spans="24:26" ht="43.5" customHeight="1" x14ac:dyDescent="0.2">
      <c r="X89" s="19"/>
      <c r="Y89" s="19"/>
      <c r="Z89" s="18"/>
    </row>
    <row r="90" spans="24:26" ht="43.5" customHeight="1" x14ac:dyDescent="0.2">
      <c r="X90" s="19"/>
      <c r="Y90" s="19"/>
      <c r="Z90" s="18"/>
    </row>
    <row r="91" spans="24:26" ht="43.5" customHeight="1" x14ac:dyDescent="0.2">
      <c r="X91" s="19"/>
      <c r="Y91" s="19"/>
      <c r="Z91" s="18"/>
    </row>
    <row r="92" spans="24:26" ht="43.5" customHeight="1" x14ac:dyDescent="0.2">
      <c r="X92" s="19"/>
      <c r="Y92" s="19"/>
      <c r="Z92" s="18"/>
    </row>
    <row r="93" spans="24:26" ht="43.5" customHeight="1" x14ac:dyDescent="0.2">
      <c r="X93" s="19"/>
      <c r="Y93" s="19"/>
      <c r="Z93" s="18"/>
    </row>
    <row r="94" spans="24:26" ht="43.5" customHeight="1" x14ac:dyDescent="0.2">
      <c r="X94" s="19"/>
      <c r="Y94" s="19"/>
      <c r="Z94" s="18"/>
    </row>
    <row r="95" spans="24:26" ht="43.5" customHeight="1" x14ac:dyDescent="0.2">
      <c r="X95" s="19"/>
      <c r="Y95" s="19"/>
      <c r="Z95" s="18"/>
    </row>
    <row r="96" spans="24:26" ht="43.5" customHeight="1" x14ac:dyDescent="0.2">
      <c r="X96" s="19"/>
      <c r="Y96" s="19"/>
      <c r="Z96" s="18"/>
    </row>
    <row r="97" spans="24:26" ht="43.5" customHeight="1" x14ac:dyDescent="0.2">
      <c r="X97" s="19"/>
      <c r="Y97" s="19"/>
      <c r="Z97" s="18"/>
    </row>
    <row r="98" spans="24:26" ht="43.5" customHeight="1" x14ac:dyDescent="0.2">
      <c r="X98" s="19"/>
      <c r="Y98" s="19"/>
      <c r="Z98" s="18"/>
    </row>
    <row r="99" spans="24:26" ht="43.5" customHeight="1" x14ac:dyDescent="0.2">
      <c r="X99" s="19"/>
      <c r="Y99" s="19"/>
      <c r="Z99" s="18"/>
    </row>
    <row r="100" spans="24:26" ht="43.5" customHeight="1" x14ac:dyDescent="0.2">
      <c r="X100" s="19"/>
      <c r="Y100" s="19"/>
      <c r="Z100" s="18"/>
    </row>
    <row r="101" spans="24:26" ht="43.5" customHeight="1" x14ac:dyDescent="0.2">
      <c r="X101" s="19"/>
      <c r="Y101" s="19"/>
      <c r="Z101" s="18"/>
    </row>
    <row r="102" spans="24:26" ht="43.5" customHeight="1" x14ac:dyDescent="0.2">
      <c r="X102" s="19"/>
      <c r="Y102" s="19"/>
      <c r="Z102" s="18"/>
    </row>
    <row r="103" spans="24:26" ht="43.5" customHeight="1" x14ac:dyDescent="0.2">
      <c r="X103" s="19"/>
      <c r="Y103" s="19"/>
      <c r="Z103" s="18"/>
    </row>
    <row r="104" spans="24:26" ht="43.5" customHeight="1" x14ac:dyDescent="0.2">
      <c r="X104" s="19"/>
      <c r="Y104" s="19"/>
      <c r="Z104" s="18"/>
    </row>
    <row r="105" spans="24:26" ht="43.5" customHeight="1" x14ac:dyDescent="0.2">
      <c r="X105" s="19"/>
      <c r="Y105" s="19"/>
      <c r="Z105" s="18"/>
    </row>
    <row r="106" spans="24:26" ht="43.5" customHeight="1" x14ac:dyDescent="0.2">
      <c r="X106" s="19"/>
      <c r="Y106" s="19"/>
      <c r="Z106" s="18"/>
    </row>
    <row r="107" spans="24:26" ht="43.5" customHeight="1" x14ac:dyDescent="0.2">
      <c r="X107" s="19"/>
      <c r="Y107" s="19"/>
      <c r="Z107" s="18"/>
    </row>
    <row r="108" spans="24:26" ht="43.5" customHeight="1" x14ac:dyDescent="0.2">
      <c r="X108" s="19"/>
      <c r="Y108" s="19"/>
      <c r="Z108" s="18"/>
    </row>
    <row r="109" spans="24:26" ht="43.5" customHeight="1" x14ac:dyDescent="0.2">
      <c r="X109" s="19"/>
      <c r="Y109" s="19"/>
      <c r="Z109" s="18"/>
    </row>
    <row r="110" spans="24:26" ht="43.5" customHeight="1" x14ac:dyDescent="0.2">
      <c r="X110" s="19"/>
      <c r="Y110" s="19"/>
      <c r="Z110" s="18"/>
    </row>
    <row r="111" spans="24:26" ht="43.5" customHeight="1" x14ac:dyDescent="0.2">
      <c r="X111" s="19"/>
      <c r="Y111" s="19"/>
      <c r="Z111" s="18"/>
    </row>
    <row r="112" spans="24:26" ht="43.5" customHeight="1" x14ac:dyDescent="0.2">
      <c r="X112" s="19"/>
      <c r="Y112" s="19"/>
      <c r="Z112" s="18"/>
    </row>
    <row r="113" spans="24:26" ht="43.5" customHeight="1" x14ac:dyDescent="0.2">
      <c r="X113" s="19"/>
      <c r="Y113" s="19"/>
      <c r="Z113" s="18"/>
    </row>
    <row r="114" spans="24:26" ht="43.5" customHeight="1" x14ac:dyDescent="0.2">
      <c r="X114" s="19"/>
      <c r="Y114" s="19"/>
      <c r="Z114" s="18"/>
    </row>
    <row r="115" spans="24:26" ht="43.5" customHeight="1" x14ac:dyDescent="0.2">
      <c r="X115" s="19"/>
      <c r="Y115" s="19"/>
      <c r="Z115" s="18"/>
    </row>
    <row r="116" spans="24:26" ht="43.5" customHeight="1" x14ac:dyDescent="0.2">
      <c r="X116" s="19"/>
      <c r="Y116" s="19"/>
      <c r="Z116" s="18"/>
    </row>
    <row r="117" spans="24:26" ht="43.5" customHeight="1" x14ac:dyDescent="0.2">
      <c r="X117" s="19"/>
      <c r="Y117" s="19"/>
      <c r="Z117" s="18"/>
    </row>
    <row r="118" spans="24:26" ht="43.5" customHeight="1" x14ac:dyDescent="0.2">
      <c r="X118" s="19"/>
      <c r="Y118" s="19"/>
      <c r="Z118" s="18"/>
    </row>
    <row r="119" spans="24:26" ht="43.5" customHeight="1" x14ac:dyDescent="0.2">
      <c r="X119" s="19"/>
      <c r="Y119" s="19"/>
      <c r="Z119" s="18"/>
    </row>
    <row r="120" spans="24:26" ht="43.5" customHeight="1" x14ac:dyDescent="0.2">
      <c r="X120" s="19"/>
      <c r="Y120" s="19"/>
      <c r="Z120" s="18"/>
    </row>
    <row r="121" spans="24:26" ht="43.5" customHeight="1" x14ac:dyDescent="0.2">
      <c r="X121" s="19"/>
      <c r="Y121" s="19"/>
      <c r="Z121" s="18"/>
    </row>
    <row r="122" spans="24:26" ht="43.5" customHeight="1" x14ac:dyDescent="0.2">
      <c r="X122" s="19"/>
      <c r="Y122" s="19"/>
      <c r="Z122" s="18"/>
    </row>
    <row r="123" spans="24:26" ht="43.5" customHeight="1" x14ac:dyDescent="0.2">
      <c r="X123" s="19"/>
      <c r="Y123" s="19"/>
      <c r="Z123" s="18"/>
    </row>
    <row r="124" spans="24:26" ht="43.5" customHeight="1" x14ac:dyDescent="0.2">
      <c r="X124" s="19"/>
      <c r="Y124" s="19"/>
      <c r="Z124" s="18"/>
    </row>
    <row r="125" spans="24:26" ht="43.5" customHeight="1" x14ac:dyDescent="0.2">
      <c r="X125" s="19"/>
      <c r="Y125" s="19"/>
      <c r="Z125" s="18"/>
    </row>
    <row r="126" spans="24:26" ht="43.5" customHeight="1" x14ac:dyDescent="0.2">
      <c r="X126" s="19"/>
      <c r="Y126" s="19"/>
      <c r="Z126" s="18"/>
    </row>
    <row r="127" spans="24:26" ht="43.5" customHeight="1" x14ac:dyDescent="0.2">
      <c r="X127" s="19"/>
      <c r="Y127" s="19"/>
      <c r="Z127" s="18"/>
    </row>
    <row r="128" spans="24:26" ht="43.5" customHeight="1" x14ac:dyDescent="0.2">
      <c r="X128" s="19"/>
      <c r="Y128" s="19"/>
      <c r="Z128" s="18"/>
    </row>
    <row r="129" spans="24:26" ht="43.5" customHeight="1" x14ac:dyDescent="0.2">
      <c r="X129" s="19"/>
      <c r="Y129" s="19"/>
      <c r="Z129" s="18"/>
    </row>
    <row r="130" spans="24:26" ht="43.5" customHeight="1" x14ac:dyDescent="0.2">
      <c r="X130" s="19"/>
      <c r="Y130" s="19"/>
      <c r="Z130" s="18"/>
    </row>
    <row r="131" spans="24:26" ht="43.5" customHeight="1" x14ac:dyDescent="0.2">
      <c r="X131" s="19"/>
      <c r="Y131" s="19"/>
      <c r="Z131" s="18"/>
    </row>
    <row r="132" spans="24:26" ht="43.5" customHeight="1" x14ac:dyDescent="0.2">
      <c r="X132" s="19"/>
      <c r="Y132" s="19"/>
      <c r="Z132" s="18"/>
    </row>
    <row r="133" spans="24:26" ht="43.5" customHeight="1" x14ac:dyDescent="0.2">
      <c r="X133" s="19"/>
      <c r="Y133" s="19"/>
      <c r="Z133" s="18"/>
    </row>
    <row r="134" spans="24:26" ht="43.5" customHeight="1" x14ac:dyDescent="0.2">
      <c r="X134" s="19"/>
      <c r="Y134" s="19"/>
      <c r="Z134" s="18"/>
    </row>
    <row r="135" spans="24:26" ht="43.5" customHeight="1" x14ac:dyDescent="0.2">
      <c r="X135" s="19"/>
      <c r="Y135" s="19"/>
      <c r="Z135" s="18"/>
    </row>
    <row r="136" spans="24:26" ht="43.5" customHeight="1" x14ac:dyDescent="0.2">
      <c r="X136" s="19"/>
      <c r="Y136" s="19"/>
      <c r="Z136" s="18"/>
    </row>
    <row r="137" spans="24:26" ht="43.5" customHeight="1" x14ac:dyDescent="0.2">
      <c r="X137" s="19"/>
      <c r="Y137" s="19"/>
      <c r="Z137" s="18"/>
    </row>
    <row r="138" spans="24:26" ht="43.5" customHeight="1" x14ac:dyDescent="0.2">
      <c r="X138" s="19"/>
      <c r="Y138" s="19"/>
      <c r="Z138" s="18"/>
    </row>
    <row r="139" spans="24:26" ht="43.5" customHeight="1" x14ac:dyDescent="0.2">
      <c r="X139" s="19"/>
      <c r="Y139" s="19"/>
      <c r="Z139" s="18"/>
    </row>
    <row r="140" spans="24:26" ht="43.5" customHeight="1" x14ac:dyDescent="0.2">
      <c r="X140" s="19"/>
      <c r="Y140" s="19"/>
      <c r="Z140" s="18"/>
    </row>
    <row r="141" spans="24:26" ht="43.5" customHeight="1" x14ac:dyDescent="0.2">
      <c r="X141" s="19"/>
      <c r="Y141" s="19"/>
      <c r="Z141" s="18"/>
    </row>
    <row r="142" spans="24:26" ht="43.5" customHeight="1" x14ac:dyDescent="0.2">
      <c r="X142" s="19"/>
      <c r="Y142" s="19"/>
      <c r="Z142" s="18"/>
    </row>
    <row r="143" spans="24:26" ht="43.5" customHeight="1" x14ac:dyDescent="0.2">
      <c r="X143" s="19"/>
      <c r="Y143" s="19"/>
      <c r="Z143" s="18"/>
    </row>
    <row r="144" spans="24:26" ht="43.5" customHeight="1" x14ac:dyDescent="0.2">
      <c r="X144" s="19"/>
      <c r="Y144" s="19"/>
      <c r="Z144" s="18"/>
    </row>
    <row r="145" spans="24:26" ht="43.5" customHeight="1" x14ac:dyDescent="0.2">
      <c r="X145" s="19"/>
      <c r="Y145" s="19"/>
      <c r="Z145" s="18"/>
    </row>
    <row r="146" spans="24:26" ht="43.5" customHeight="1" x14ac:dyDescent="0.2">
      <c r="X146" s="19"/>
      <c r="Y146" s="19"/>
      <c r="Z146" s="18"/>
    </row>
    <row r="147" spans="24:26" ht="43.5" customHeight="1" x14ac:dyDescent="0.2">
      <c r="X147" s="19"/>
      <c r="Y147" s="19"/>
      <c r="Z147" s="18"/>
    </row>
    <row r="148" spans="24:26" ht="43.5" customHeight="1" x14ac:dyDescent="0.2">
      <c r="X148" s="19"/>
      <c r="Y148" s="19"/>
      <c r="Z148" s="18"/>
    </row>
    <row r="149" spans="24:26" ht="43.5" customHeight="1" x14ac:dyDescent="0.2">
      <c r="X149" s="19"/>
      <c r="Y149" s="19"/>
      <c r="Z149" s="18"/>
    </row>
    <row r="150" spans="24:26" ht="43.5" customHeight="1" x14ac:dyDescent="0.2">
      <c r="X150" s="19"/>
      <c r="Y150" s="19"/>
      <c r="Z150" s="18"/>
    </row>
    <row r="151" spans="24:26" ht="43.5" customHeight="1" x14ac:dyDescent="0.2">
      <c r="X151" s="19"/>
      <c r="Y151" s="19"/>
      <c r="Z151" s="18"/>
    </row>
    <row r="152" spans="24:26" ht="43.5" customHeight="1" x14ac:dyDescent="0.2">
      <c r="X152" s="19"/>
      <c r="Y152" s="19"/>
      <c r="Z152" s="18"/>
    </row>
    <row r="153" spans="24:26" ht="43.5" customHeight="1" x14ac:dyDescent="0.2">
      <c r="X153" s="19"/>
      <c r="Y153" s="19"/>
      <c r="Z153" s="18"/>
    </row>
    <row r="154" spans="24:26" ht="43.5" customHeight="1" x14ac:dyDescent="0.2">
      <c r="X154" s="19"/>
      <c r="Y154" s="19"/>
      <c r="Z154" s="18"/>
    </row>
    <row r="155" spans="24:26" ht="43.5" customHeight="1" x14ac:dyDescent="0.2">
      <c r="X155" s="19"/>
      <c r="Y155" s="19"/>
      <c r="Z155" s="18"/>
    </row>
    <row r="156" spans="24:26" ht="43.5" customHeight="1" x14ac:dyDescent="0.2">
      <c r="X156" s="19"/>
      <c r="Y156" s="19"/>
      <c r="Z156" s="18"/>
    </row>
    <row r="157" spans="24:26" ht="43.5" customHeight="1" x14ac:dyDescent="0.2">
      <c r="X157" s="19"/>
      <c r="Y157" s="19"/>
      <c r="Z157" s="18"/>
    </row>
    <row r="158" spans="24:26" ht="43.5" customHeight="1" x14ac:dyDescent="0.2">
      <c r="X158" s="19"/>
      <c r="Y158" s="19"/>
      <c r="Z158" s="18"/>
    </row>
    <row r="159" spans="24:26" ht="43.5" customHeight="1" x14ac:dyDescent="0.2">
      <c r="X159" s="19"/>
      <c r="Y159" s="19"/>
      <c r="Z159" s="18"/>
    </row>
    <row r="160" spans="24:26" ht="43.5" customHeight="1" x14ac:dyDescent="0.2">
      <c r="X160" s="19"/>
      <c r="Y160" s="19"/>
      <c r="Z160" s="18"/>
    </row>
    <row r="161" spans="24:26" ht="43.5" customHeight="1" x14ac:dyDescent="0.2">
      <c r="X161" s="19"/>
      <c r="Y161" s="19"/>
      <c r="Z161" s="18"/>
    </row>
    <row r="162" spans="24:26" ht="43.5" customHeight="1" x14ac:dyDescent="0.2">
      <c r="X162" s="19"/>
      <c r="Y162" s="19"/>
      <c r="Z162" s="18"/>
    </row>
    <row r="163" spans="24:26" ht="43.5" customHeight="1" x14ac:dyDescent="0.2">
      <c r="X163" s="19"/>
      <c r="Y163" s="19"/>
      <c r="Z163" s="18"/>
    </row>
    <row r="164" spans="24:26" ht="43.5" customHeight="1" x14ac:dyDescent="0.2">
      <c r="X164" s="19"/>
      <c r="Y164" s="19"/>
      <c r="Z164" s="18"/>
    </row>
    <row r="165" spans="24:26" ht="43.5" customHeight="1" x14ac:dyDescent="0.2">
      <c r="X165" s="19"/>
      <c r="Y165" s="19"/>
      <c r="Z165" s="18"/>
    </row>
    <row r="166" spans="24:26" ht="43.5" customHeight="1" x14ac:dyDescent="0.2">
      <c r="X166" s="19"/>
      <c r="Y166" s="19"/>
      <c r="Z166" s="18"/>
    </row>
    <row r="167" spans="24:26" ht="43.5" customHeight="1" x14ac:dyDescent="0.2">
      <c r="X167" s="19"/>
      <c r="Y167" s="19"/>
      <c r="Z167" s="18"/>
    </row>
    <row r="168" spans="24:26" ht="43.5" customHeight="1" x14ac:dyDescent="0.2">
      <c r="X168" s="19"/>
      <c r="Y168" s="19"/>
      <c r="Z168" s="18"/>
    </row>
    <row r="169" spans="24:26" ht="43.5" customHeight="1" x14ac:dyDescent="0.2">
      <c r="X169" s="19"/>
      <c r="Y169" s="19"/>
      <c r="Z169" s="18"/>
    </row>
    <row r="170" spans="24:26" ht="43.5" customHeight="1" x14ac:dyDescent="0.2">
      <c r="X170" s="19"/>
      <c r="Y170" s="19"/>
      <c r="Z170" s="18"/>
    </row>
    <row r="171" spans="24:26" ht="43.5" customHeight="1" x14ac:dyDescent="0.2">
      <c r="X171" s="19"/>
      <c r="Y171" s="19"/>
      <c r="Z171" s="18"/>
    </row>
    <row r="172" spans="24:26" ht="43.5" customHeight="1" x14ac:dyDescent="0.2">
      <c r="X172" s="19"/>
      <c r="Y172" s="19"/>
      <c r="Z172" s="18"/>
    </row>
    <row r="173" spans="24:26" ht="43.5" customHeight="1" x14ac:dyDescent="0.2">
      <c r="X173" s="19"/>
      <c r="Y173" s="19"/>
      <c r="Z173" s="18"/>
    </row>
    <row r="174" spans="24:26" ht="43.5" customHeight="1" x14ac:dyDescent="0.2">
      <c r="X174" s="19"/>
      <c r="Y174" s="19"/>
      <c r="Z174" s="18"/>
    </row>
    <row r="175" spans="24:26" ht="43.5" customHeight="1" x14ac:dyDescent="0.2">
      <c r="X175" s="19"/>
      <c r="Y175" s="19"/>
      <c r="Z175" s="18"/>
    </row>
    <row r="176" spans="24:26" ht="43.5" customHeight="1" x14ac:dyDescent="0.2">
      <c r="X176" s="19"/>
      <c r="Y176" s="19"/>
      <c r="Z176" s="18"/>
    </row>
    <row r="177" spans="24:26" ht="43.5" customHeight="1" x14ac:dyDescent="0.2">
      <c r="X177" s="19"/>
      <c r="Y177" s="19"/>
      <c r="Z177" s="18"/>
    </row>
    <row r="178" spans="24:26" ht="43.5" customHeight="1" x14ac:dyDescent="0.2">
      <c r="X178" s="19"/>
      <c r="Y178" s="19"/>
      <c r="Z178" s="18"/>
    </row>
    <row r="179" spans="24:26" ht="43.5" customHeight="1" x14ac:dyDescent="0.2">
      <c r="X179" s="19"/>
      <c r="Y179" s="19"/>
      <c r="Z179" s="18"/>
    </row>
    <row r="180" spans="24:26" ht="43.5" customHeight="1" x14ac:dyDescent="0.2">
      <c r="X180" s="19"/>
      <c r="Y180" s="19"/>
      <c r="Z180" s="18"/>
    </row>
    <row r="181" spans="24:26" ht="43.5" customHeight="1" x14ac:dyDescent="0.2">
      <c r="X181" s="19"/>
      <c r="Y181" s="19"/>
      <c r="Z181" s="18"/>
    </row>
    <row r="182" spans="24:26" ht="43.5" customHeight="1" x14ac:dyDescent="0.2">
      <c r="X182" s="19"/>
      <c r="Y182" s="19"/>
      <c r="Z182" s="18"/>
    </row>
    <row r="183" spans="24:26" ht="43.5" customHeight="1" x14ac:dyDescent="0.2">
      <c r="X183" s="19"/>
      <c r="Y183" s="19"/>
      <c r="Z183" s="18"/>
    </row>
    <row r="184" spans="24:26" ht="43.5" customHeight="1" x14ac:dyDescent="0.2">
      <c r="X184" s="19"/>
      <c r="Y184" s="19"/>
      <c r="Z184" s="18"/>
    </row>
    <row r="185" spans="24:26" ht="43.5" customHeight="1" x14ac:dyDescent="0.2">
      <c r="X185" s="19"/>
      <c r="Y185" s="19"/>
      <c r="Z185" s="18"/>
    </row>
    <row r="186" spans="24:26" ht="43.5" customHeight="1" x14ac:dyDescent="0.2">
      <c r="X186" s="19"/>
      <c r="Y186" s="19"/>
      <c r="Z186" s="18"/>
    </row>
    <row r="187" spans="24:26" ht="43.5" customHeight="1" x14ac:dyDescent="0.2">
      <c r="X187" s="19"/>
      <c r="Y187" s="19"/>
      <c r="Z187" s="18"/>
    </row>
    <row r="188" spans="24:26" ht="43.5" customHeight="1" x14ac:dyDescent="0.2">
      <c r="X188" s="19"/>
      <c r="Y188" s="19"/>
      <c r="Z188" s="18"/>
    </row>
    <row r="189" spans="24:26" ht="43.5" customHeight="1" x14ac:dyDescent="0.2">
      <c r="X189" s="19"/>
      <c r="Y189" s="19"/>
      <c r="Z189" s="18"/>
    </row>
    <row r="190" spans="24:26" ht="43.5" customHeight="1" x14ac:dyDescent="0.2">
      <c r="X190" s="19"/>
      <c r="Y190" s="19"/>
      <c r="Z190" s="18"/>
    </row>
    <row r="191" spans="24:26" ht="43.5" customHeight="1" x14ac:dyDescent="0.2">
      <c r="X191" s="19"/>
      <c r="Y191" s="19"/>
      <c r="Z191" s="18"/>
    </row>
    <row r="192" spans="24:26" ht="43.5" customHeight="1" x14ac:dyDescent="0.2">
      <c r="X192" s="19"/>
      <c r="Y192" s="19"/>
      <c r="Z192" s="18"/>
    </row>
    <row r="193" spans="24:26" ht="43.5" customHeight="1" x14ac:dyDescent="0.2">
      <c r="X193" s="19"/>
      <c r="Y193" s="19"/>
      <c r="Z193" s="18"/>
    </row>
    <row r="194" spans="24:26" ht="43.5" customHeight="1" x14ac:dyDescent="0.2">
      <c r="X194" s="19"/>
      <c r="Y194" s="19"/>
      <c r="Z194" s="18"/>
    </row>
    <row r="195" spans="24:26" ht="43.5" customHeight="1" x14ac:dyDescent="0.2">
      <c r="X195" s="19"/>
      <c r="Y195" s="19"/>
      <c r="Z195" s="18"/>
    </row>
    <row r="196" spans="24:26" ht="43.5" customHeight="1" x14ac:dyDescent="0.2">
      <c r="X196" s="19"/>
      <c r="Y196" s="19"/>
      <c r="Z196" s="18"/>
    </row>
    <row r="197" spans="24:26" ht="43.5" customHeight="1" x14ac:dyDescent="0.2">
      <c r="X197" s="19"/>
      <c r="Y197" s="19"/>
      <c r="Z197" s="18"/>
    </row>
    <row r="198" spans="24:26" ht="43.5" customHeight="1" x14ac:dyDescent="0.2">
      <c r="X198" s="19"/>
      <c r="Y198" s="19"/>
      <c r="Z198" s="18"/>
    </row>
    <row r="199" spans="24:26" ht="43.5" customHeight="1" x14ac:dyDescent="0.2">
      <c r="X199" s="19"/>
      <c r="Y199" s="19"/>
      <c r="Z199" s="18"/>
    </row>
    <row r="200" spans="24:26" ht="43.5" customHeight="1" x14ac:dyDescent="0.2">
      <c r="X200" s="19"/>
      <c r="Y200" s="19"/>
      <c r="Z200" s="18"/>
    </row>
    <row r="201" spans="24:26" ht="43.5" customHeight="1" x14ac:dyDescent="0.2">
      <c r="X201" s="19"/>
      <c r="Y201" s="19"/>
      <c r="Z201" s="18"/>
    </row>
    <row r="202" spans="24:26" ht="43.5" customHeight="1" x14ac:dyDescent="0.2">
      <c r="X202" s="19"/>
      <c r="Y202" s="19"/>
      <c r="Z202" s="18"/>
    </row>
    <row r="203" spans="24:26" ht="43.5" customHeight="1" x14ac:dyDescent="0.2">
      <c r="X203" s="19"/>
      <c r="Y203" s="19"/>
      <c r="Z203" s="18"/>
    </row>
    <row r="204" spans="24:26" ht="43.5" customHeight="1" x14ac:dyDescent="0.2">
      <c r="X204" s="19"/>
      <c r="Y204" s="19"/>
      <c r="Z204" s="18"/>
    </row>
    <row r="205" spans="24:26" ht="43.5" customHeight="1" x14ac:dyDescent="0.2">
      <c r="X205" s="19"/>
      <c r="Y205" s="19"/>
      <c r="Z205" s="18"/>
    </row>
    <row r="206" spans="24:26" ht="43.5" customHeight="1" x14ac:dyDescent="0.2">
      <c r="X206" s="19"/>
      <c r="Y206" s="19"/>
      <c r="Z206" s="18"/>
    </row>
    <row r="207" spans="24:26" ht="43.5" customHeight="1" x14ac:dyDescent="0.2">
      <c r="X207" s="19"/>
      <c r="Y207" s="19"/>
      <c r="Z207" s="18"/>
    </row>
    <row r="208" spans="24:26" ht="43.5" customHeight="1" x14ac:dyDescent="0.2">
      <c r="X208" s="19"/>
      <c r="Y208" s="19"/>
      <c r="Z208" s="18"/>
    </row>
    <row r="209" spans="24:26" ht="43.5" customHeight="1" x14ac:dyDescent="0.2">
      <c r="X209" s="19"/>
      <c r="Y209" s="19"/>
      <c r="Z209" s="18"/>
    </row>
    <row r="210" spans="24:26" ht="43.5" customHeight="1" x14ac:dyDescent="0.2">
      <c r="X210" s="19"/>
      <c r="Y210" s="19"/>
      <c r="Z210" s="18"/>
    </row>
    <row r="211" spans="24:26" ht="43.5" customHeight="1" x14ac:dyDescent="0.2">
      <c r="X211" s="19"/>
      <c r="Y211" s="19"/>
      <c r="Z211" s="18"/>
    </row>
    <row r="212" spans="24:26" ht="43.5" customHeight="1" x14ac:dyDescent="0.2">
      <c r="X212" s="19"/>
      <c r="Y212" s="19"/>
      <c r="Z212" s="18"/>
    </row>
    <row r="213" spans="24:26" ht="43.5" customHeight="1" x14ac:dyDescent="0.2">
      <c r="X213" s="19"/>
      <c r="Y213" s="19"/>
      <c r="Z213" s="18"/>
    </row>
    <row r="214" spans="24:26" ht="43.5" customHeight="1" x14ac:dyDescent="0.2">
      <c r="X214" s="19"/>
      <c r="Y214" s="19"/>
      <c r="Z214" s="18"/>
    </row>
    <row r="215" spans="24:26" ht="43.5" customHeight="1" x14ac:dyDescent="0.2">
      <c r="X215" s="19"/>
      <c r="Y215" s="19"/>
      <c r="Z215" s="18"/>
    </row>
    <row r="216" spans="24:26" ht="43.5" customHeight="1" x14ac:dyDescent="0.2">
      <c r="X216" s="19"/>
      <c r="Y216" s="19"/>
      <c r="Z216" s="18"/>
    </row>
    <row r="217" spans="24:26" ht="43.5" customHeight="1" x14ac:dyDescent="0.2">
      <c r="X217" s="19"/>
      <c r="Y217" s="19"/>
      <c r="Z217" s="18"/>
    </row>
    <row r="218" spans="24:26" ht="43.5" customHeight="1" x14ac:dyDescent="0.2">
      <c r="X218" s="19"/>
      <c r="Y218" s="19"/>
      <c r="Z218" s="18"/>
    </row>
    <row r="219" spans="24:26" ht="43.5" customHeight="1" x14ac:dyDescent="0.2">
      <c r="X219" s="19"/>
      <c r="Y219" s="19"/>
      <c r="Z219" s="18"/>
    </row>
    <row r="220" spans="24:26" ht="43.5" customHeight="1" x14ac:dyDescent="0.2">
      <c r="X220" s="19"/>
      <c r="Y220" s="19"/>
      <c r="Z220" s="18"/>
    </row>
    <row r="221" spans="24:26" ht="43.5" customHeight="1" x14ac:dyDescent="0.2">
      <c r="X221" s="19"/>
      <c r="Y221" s="19"/>
      <c r="Z221" s="18"/>
    </row>
    <row r="222" spans="24:26" ht="43.5" customHeight="1" x14ac:dyDescent="0.2">
      <c r="X222" s="19"/>
      <c r="Y222" s="19"/>
      <c r="Z222" s="18"/>
    </row>
    <row r="223" spans="24:26" ht="43.5" customHeight="1" x14ac:dyDescent="0.2">
      <c r="X223" s="19"/>
      <c r="Y223" s="19"/>
      <c r="Z223" s="18"/>
    </row>
    <row r="224" spans="24:26" ht="43.5" customHeight="1" x14ac:dyDescent="0.2">
      <c r="X224" s="19"/>
      <c r="Y224" s="19"/>
      <c r="Z224" s="18"/>
    </row>
    <row r="225" spans="24:26" ht="43.5" customHeight="1" x14ac:dyDescent="0.2">
      <c r="X225" s="19"/>
      <c r="Y225" s="19"/>
      <c r="Z225" s="18"/>
    </row>
    <row r="226" spans="24:26" ht="43.5" customHeight="1" x14ac:dyDescent="0.2">
      <c r="X226" s="19"/>
      <c r="Y226" s="19"/>
      <c r="Z226" s="18"/>
    </row>
    <row r="227" spans="24:26" ht="43.5" customHeight="1" x14ac:dyDescent="0.2">
      <c r="X227" s="19"/>
      <c r="Y227" s="19"/>
      <c r="Z227" s="18"/>
    </row>
    <row r="228" spans="24:26" ht="43.5" customHeight="1" x14ac:dyDescent="0.2">
      <c r="X228" s="19"/>
      <c r="Y228" s="19"/>
      <c r="Z228" s="18"/>
    </row>
    <row r="229" spans="24:26" ht="43.5" customHeight="1" x14ac:dyDescent="0.2">
      <c r="X229" s="19"/>
      <c r="Y229" s="19"/>
      <c r="Z229" s="18"/>
    </row>
    <row r="230" spans="24:26" ht="43.5" customHeight="1" x14ac:dyDescent="0.2">
      <c r="X230" s="19"/>
      <c r="Y230" s="19"/>
      <c r="Z230" s="18"/>
    </row>
    <row r="231" spans="24:26" ht="43.5" customHeight="1" x14ac:dyDescent="0.2">
      <c r="X231" s="19"/>
      <c r="Y231" s="19"/>
      <c r="Z231" s="18"/>
    </row>
    <row r="232" spans="24:26" ht="43.5" customHeight="1" x14ac:dyDescent="0.2">
      <c r="X232" s="19"/>
      <c r="Y232" s="19"/>
      <c r="Z232" s="18"/>
    </row>
    <row r="233" spans="24:26" ht="43.5" customHeight="1" x14ac:dyDescent="0.2">
      <c r="X233" s="19"/>
      <c r="Y233" s="19"/>
      <c r="Z233" s="18"/>
    </row>
    <row r="234" spans="24:26" ht="43.5" customHeight="1" x14ac:dyDescent="0.2">
      <c r="X234" s="19"/>
      <c r="Y234" s="19"/>
      <c r="Z234" s="18"/>
    </row>
    <row r="235" spans="24:26" ht="43.5" customHeight="1" x14ac:dyDescent="0.2">
      <c r="X235" s="19"/>
      <c r="Y235" s="19"/>
      <c r="Z235" s="18"/>
    </row>
    <row r="236" spans="24:26" ht="43.5" customHeight="1" x14ac:dyDescent="0.2">
      <c r="X236" s="19"/>
      <c r="Y236" s="19"/>
      <c r="Z236" s="18"/>
    </row>
    <row r="237" spans="24:26" ht="43.5" customHeight="1" x14ac:dyDescent="0.2">
      <c r="X237" s="19"/>
      <c r="Y237" s="19"/>
      <c r="Z237" s="18"/>
    </row>
    <row r="238" spans="24:26" ht="43.5" customHeight="1" x14ac:dyDescent="0.2">
      <c r="X238" s="19"/>
      <c r="Y238" s="19"/>
      <c r="Z238" s="18"/>
    </row>
    <row r="239" spans="24:26" ht="43.5" customHeight="1" x14ac:dyDescent="0.2">
      <c r="X239" s="19"/>
      <c r="Y239" s="19"/>
      <c r="Z239" s="18"/>
    </row>
    <row r="240" spans="24:26" ht="43.5" customHeight="1" x14ac:dyDescent="0.2">
      <c r="X240" s="19"/>
      <c r="Y240" s="19"/>
      <c r="Z240" s="18"/>
    </row>
    <row r="241" spans="24:26" ht="43.5" customHeight="1" x14ac:dyDescent="0.2">
      <c r="X241" s="19"/>
      <c r="Y241" s="19"/>
      <c r="Z241" s="18"/>
    </row>
    <row r="242" spans="24:26" ht="43.5" customHeight="1" x14ac:dyDescent="0.2">
      <c r="X242" s="19"/>
      <c r="Y242" s="19"/>
      <c r="Z242" s="18"/>
    </row>
    <row r="243" spans="24:26" ht="43.5" customHeight="1" x14ac:dyDescent="0.2">
      <c r="X243" s="19"/>
      <c r="Y243" s="19"/>
      <c r="Z243" s="18"/>
    </row>
    <row r="244" spans="24:26" ht="43.5" customHeight="1" x14ac:dyDescent="0.2">
      <c r="X244" s="19"/>
      <c r="Y244" s="19"/>
      <c r="Z244" s="18"/>
    </row>
    <row r="245" spans="24:26" ht="43.5" customHeight="1" x14ac:dyDescent="0.2">
      <c r="X245" s="19"/>
      <c r="Y245" s="19"/>
      <c r="Z245" s="18"/>
    </row>
    <row r="246" spans="24:26" ht="43.5" customHeight="1" x14ac:dyDescent="0.2">
      <c r="X246" s="19"/>
      <c r="Y246" s="19"/>
      <c r="Z246" s="18"/>
    </row>
    <row r="247" spans="24:26" ht="43.5" customHeight="1" x14ac:dyDescent="0.2">
      <c r="X247" s="19"/>
      <c r="Y247" s="19"/>
      <c r="Z247" s="18"/>
    </row>
    <row r="248" spans="24:26" ht="43.5" customHeight="1" x14ac:dyDescent="0.2">
      <c r="X248" s="19"/>
      <c r="Y248" s="19"/>
      <c r="Z248" s="18"/>
    </row>
    <row r="249" spans="24:26" ht="43.5" customHeight="1" x14ac:dyDescent="0.2">
      <c r="X249" s="19"/>
      <c r="Y249" s="19"/>
      <c r="Z249" s="18"/>
    </row>
    <row r="250" spans="24:26" ht="43.5" customHeight="1" x14ac:dyDescent="0.2">
      <c r="X250" s="19"/>
      <c r="Y250" s="19"/>
      <c r="Z250" s="18"/>
    </row>
    <row r="251" spans="24:26" ht="43.5" customHeight="1" x14ac:dyDescent="0.2">
      <c r="X251" s="19"/>
      <c r="Y251" s="19"/>
      <c r="Z251" s="18"/>
    </row>
    <row r="252" spans="24:26" ht="43.5" customHeight="1" x14ac:dyDescent="0.2">
      <c r="X252" s="19"/>
      <c r="Y252" s="19"/>
      <c r="Z252" s="18"/>
    </row>
    <row r="253" spans="24:26" ht="43.5" customHeight="1" x14ac:dyDescent="0.2">
      <c r="X253" s="19"/>
      <c r="Y253" s="19"/>
      <c r="Z253" s="18"/>
    </row>
    <row r="254" spans="24:26" ht="43.5" customHeight="1" x14ac:dyDescent="0.2">
      <c r="X254" s="19"/>
      <c r="Y254" s="19"/>
      <c r="Z254" s="18"/>
    </row>
    <row r="255" spans="24:26" ht="43.5" customHeight="1" x14ac:dyDescent="0.2">
      <c r="X255" s="19"/>
      <c r="Y255" s="19"/>
      <c r="Z255" s="18"/>
    </row>
    <row r="256" spans="24:26" ht="43.5" customHeight="1" x14ac:dyDescent="0.2">
      <c r="X256" s="19"/>
      <c r="Y256" s="19"/>
      <c r="Z256" s="18"/>
    </row>
    <row r="257" spans="24:26" ht="43.5" customHeight="1" x14ac:dyDescent="0.2">
      <c r="X257" s="19"/>
      <c r="Y257" s="19"/>
      <c r="Z257" s="18"/>
    </row>
    <row r="258" spans="24:26" ht="43.5" customHeight="1" x14ac:dyDescent="0.2">
      <c r="X258" s="19"/>
      <c r="Y258" s="19"/>
      <c r="Z258" s="18"/>
    </row>
    <row r="259" spans="24:26" ht="43.5" customHeight="1" x14ac:dyDescent="0.2">
      <c r="X259" s="19"/>
      <c r="Y259" s="19"/>
      <c r="Z259" s="18"/>
    </row>
    <row r="260" spans="24:26" ht="43.5" customHeight="1" x14ac:dyDescent="0.2">
      <c r="X260" s="19"/>
      <c r="Y260" s="19"/>
      <c r="Z260" s="18"/>
    </row>
    <row r="261" spans="24:26" ht="43.5" customHeight="1" x14ac:dyDescent="0.2">
      <c r="X261" s="19"/>
      <c r="Y261" s="19"/>
      <c r="Z261" s="18"/>
    </row>
    <row r="262" spans="24:26" ht="43.5" customHeight="1" x14ac:dyDescent="0.2">
      <c r="X262" s="19"/>
      <c r="Y262" s="19"/>
      <c r="Z262" s="18"/>
    </row>
    <row r="263" spans="24:26" ht="43.5" customHeight="1" x14ac:dyDescent="0.2">
      <c r="X263" s="19"/>
      <c r="Y263" s="19"/>
      <c r="Z263" s="18"/>
    </row>
    <row r="264" spans="24:26" ht="43.5" customHeight="1" x14ac:dyDescent="0.2">
      <c r="X264" s="19"/>
      <c r="Y264" s="19"/>
      <c r="Z264" s="18"/>
    </row>
    <row r="265" spans="24:26" ht="43.5" customHeight="1" x14ac:dyDescent="0.2">
      <c r="X265" s="19"/>
      <c r="Y265" s="19"/>
      <c r="Z265" s="18"/>
    </row>
    <row r="266" spans="24:26" ht="43.5" customHeight="1" x14ac:dyDescent="0.2">
      <c r="X266" s="19"/>
      <c r="Y266" s="19"/>
      <c r="Z266" s="18"/>
    </row>
    <row r="267" spans="24:26" ht="43.5" customHeight="1" x14ac:dyDescent="0.2">
      <c r="X267" s="19"/>
      <c r="Y267" s="19"/>
      <c r="Z267" s="18"/>
    </row>
    <row r="268" spans="24:26" ht="43.5" customHeight="1" x14ac:dyDescent="0.2">
      <c r="X268" s="19"/>
      <c r="Y268" s="19"/>
      <c r="Z268" s="18"/>
    </row>
    <row r="269" spans="24:26" ht="43.5" customHeight="1" x14ac:dyDescent="0.2">
      <c r="X269" s="19"/>
      <c r="Y269" s="19"/>
      <c r="Z269" s="18"/>
    </row>
    <row r="270" spans="24:26" ht="43.5" customHeight="1" x14ac:dyDescent="0.2">
      <c r="X270" s="19"/>
      <c r="Y270" s="19"/>
      <c r="Z270" s="18"/>
    </row>
    <row r="271" spans="24:26" ht="43.5" customHeight="1" x14ac:dyDescent="0.2">
      <c r="X271" s="19"/>
      <c r="Y271" s="19"/>
      <c r="Z271" s="18"/>
    </row>
    <row r="272" spans="24:26" ht="43.5" customHeight="1" x14ac:dyDescent="0.2">
      <c r="X272" s="19"/>
      <c r="Y272" s="19"/>
      <c r="Z272" s="18"/>
    </row>
    <row r="273" spans="24:26" ht="43.5" customHeight="1" x14ac:dyDescent="0.2">
      <c r="X273" s="19"/>
      <c r="Y273" s="19"/>
      <c r="Z273" s="18"/>
    </row>
    <row r="274" spans="24:26" ht="43.5" customHeight="1" x14ac:dyDescent="0.2">
      <c r="X274" s="19"/>
      <c r="Y274" s="19"/>
      <c r="Z274" s="18"/>
    </row>
    <row r="275" spans="24:26" ht="43.5" customHeight="1" x14ac:dyDescent="0.2">
      <c r="X275" s="19"/>
      <c r="Y275" s="19"/>
      <c r="Z275" s="18"/>
    </row>
    <row r="276" spans="24:26" ht="43.5" customHeight="1" x14ac:dyDescent="0.2">
      <c r="X276" s="19"/>
      <c r="Y276" s="19"/>
      <c r="Z276" s="18"/>
    </row>
    <row r="277" spans="24:26" ht="43.5" customHeight="1" x14ac:dyDescent="0.2">
      <c r="X277" s="19"/>
      <c r="Y277" s="19"/>
      <c r="Z277" s="18"/>
    </row>
    <row r="278" spans="24:26" ht="43.5" customHeight="1" x14ac:dyDescent="0.2">
      <c r="X278" s="19"/>
      <c r="Y278" s="19"/>
      <c r="Z278" s="18"/>
    </row>
    <row r="279" spans="24:26" ht="43.5" customHeight="1" x14ac:dyDescent="0.2">
      <c r="X279" s="19"/>
      <c r="Y279" s="19"/>
      <c r="Z279" s="18"/>
    </row>
    <row r="280" spans="24:26" ht="43.5" customHeight="1" x14ac:dyDescent="0.2">
      <c r="X280" s="19"/>
      <c r="Y280" s="19"/>
      <c r="Z280" s="18"/>
    </row>
    <row r="281" spans="24:26" ht="43.5" customHeight="1" x14ac:dyDescent="0.2">
      <c r="X281" s="19"/>
      <c r="Y281" s="19"/>
      <c r="Z281" s="18"/>
    </row>
    <row r="282" spans="24:26" ht="43.5" customHeight="1" x14ac:dyDescent="0.2">
      <c r="X282" s="19"/>
      <c r="Y282" s="19"/>
      <c r="Z282" s="18"/>
    </row>
    <row r="283" spans="24:26" ht="43.5" customHeight="1" x14ac:dyDescent="0.2">
      <c r="X283" s="19"/>
      <c r="Y283" s="19"/>
      <c r="Z283" s="18"/>
    </row>
    <row r="284" spans="24:26" ht="43.5" customHeight="1" x14ac:dyDescent="0.2">
      <c r="X284" s="19"/>
      <c r="Y284" s="19"/>
      <c r="Z284" s="18"/>
    </row>
    <row r="285" spans="24:26" ht="43.5" customHeight="1" x14ac:dyDescent="0.2">
      <c r="X285" s="19"/>
      <c r="Y285" s="19"/>
      <c r="Z285" s="18"/>
    </row>
    <row r="286" spans="24:26" ht="43.5" customHeight="1" x14ac:dyDescent="0.2">
      <c r="X286" s="19"/>
      <c r="Y286" s="19"/>
      <c r="Z286" s="18"/>
    </row>
    <row r="287" spans="24:26" ht="43.5" customHeight="1" x14ac:dyDescent="0.2">
      <c r="X287" s="19"/>
      <c r="Y287" s="19"/>
      <c r="Z287" s="18"/>
    </row>
    <row r="288" spans="24:26" ht="43.5" customHeight="1" x14ac:dyDescent="0.2">
      <c r="X288" s="19"/>
      <c r="Y288" s="19"/>
      <c r="Z288" s="18"/>
    </row>
    <row r="289" spans="24:26" ht="43.5" customHeight="1" x14ac:dyDescent="0.2">
      <c r="X289" s="19"/>
      <c r="Y289" s="19"/>
      <c r="Z289" s="18"/>
    </row>
    <row r="290" spans="24:26" ht="43.5" customHeight="1" x14ac:dyDescent="0.2">
      <c r="X290" s="19"/>
      <c r="Y290" s="19"/>
      <c r="Z290" s="18"/>
    </row>
    <row r="291" spans="24:26" ht="43.5" customHeight="1" x14ac:dyDescent="0.2">
      <c r="X291" s="19"/>
      <c r="Y291" s="19"/>
      <c r="Z291" s="18"/>
    </row>
    <row r="292" spans="24:26" ht="43.5" customHeight="1" x14ac:dyDescent="0.2">
      <c r="X292" s="19"/>
      <c r="Y292" s="19"/>
      <c r="Z292" s="18"/>
    </row>
    <row r="293" spans="24:26" ht="43.5" customHeight="1" x14ac:dyDescent="0.2">
      <c r="X293" s="19"/>
      <c r="Y293" s="19"/>
      <c r="Z293" s="18"/>
    </row>
    <row r="294" spans="24:26" ht="43.5" customHeight="1" x14ac:dyDescent="0.2">
      <c r="X294" s="19"/>
      <c r="Y294" s="19"/>
      <c r="Z294" s="18"/>
    </row>
    <row r="295" spans="24:26" ht="43.5" customHeight="1" x14ac:dyDescent="0.2">
      <c r="X295" s="19"/>
      <c r="Y295" s="19"/>
      <c r="Z295" s="18"/>
    </row>
    <row r="296" spans="24:26" ht="43.5" customHeight="1" x14ac:dyDescent="0.2">
      <c r="X296" s="19"/>
      <c r="Y296" s="19"/>
      <c r="Z296" s="18"/>
    </row>
    <row r="297" spans="24:26" ht="43.5" customHeight="1" x14ac:dyDescent="0.2">
      <c r="X297" s="19"/>
      <c r="Y297" s="19"/>
      <c r="Z297" s="18"/>
    </row>
    <row r="298" spans="24:26" ht="43.5" customHeight="1" x14ac:dyDescent="0.2">
      <c r="X298" s="19"/>
      <c r="Y298" s="19"/>
      <c r="Z298" s="18"/>
    </row>
    <row r="299" spans="24:26" ht="43.5" customHeight="1" x14ac:dyDescent="0.2">
      <c r="X299" s="19"/>
      <c r="Y299" s="19"/>
      <c r="Z299" s="18"/>
    </row>
    <row r="300" spans="24:26" ht="43.5" customHeight="1" x14ac:dyDescent="0.2">
      <c r="X300" s="19"/>
      <c r="Y300" s="19"/>
      <c r="Z300" s="18"/>
    </row>
    <row r="301" spans="24:26" ht="43.5" customHeight="1" x14ac:dyDescent="0.2">
      <c r="X301" s="19"/>
      <c r="Y301" s="19"/>
      <c r="Z301" s="18"/>
    </row>
    <row r="302" spans="24:26" ht="43.5" customHeight="1" x14ac:dyDescent="0.2">
      <c r="X302" s="19"/>
      <c r="Y302" s="19"/>
      <c r="Z302" s="18"/>
    </row>
    <row r="303" spans="24:26" ht="43.5" customHeight="1" x14ac:dyDescent="0.2">
      <c r="X303" s="19"/>
      <c r="Y303" s="19"/>
      <c r="Z303" s="18"/>
    </row>
    <row r="304" spans="24:26" ht="43.5" customHeight="1" x14ac:dyDescent="0.2">
      <c r="X304" s="19"/>
      <c r="Y304" s="19"/>
      <c r="Z304" s="18"/>
    </row>
    <row r="305" spans="24:26" ht="43.5" customHeight="1" x14ac:dyDescent="0.2">
      <c r="X305" s="19"/>
      <c r="Y305" s="19"/>
      <c r="Z305" s="18"/>
    </row>
    <row r="306" spans="24:26" ht="43.5" customHeight="1" x14ac:dyDescent="0.2">
      <c r="X306" s="19"/>
      <c r="Y306" s="19"/>
      <c r="Z306" s="18"/>
    </row>
    <row r="307" spans="24:26" ht="43.5" customHeight="1" x14ac:dyDescent="0.2">
      <c r="X307" s="19"/>
      <c r="Y307" s="19"/>
      <c r="Z307" s="18"/>
    </row>
    <row r="308" spans="24:26" ht="43.5" customHeight="1" x14ac:dyDescent="0.2">
      <c r="X308" s="19"/>
      <c r="Y308" s="19"/>
      <c r="Z308" s="18"/>
    </row>
    <row r="309" spans="24:26" ht="43.5" customHeight="1" x14ac:dyDescent="0.2">
      <c r="X309" s="19"/>
      <c r="Y309" s="19"/>
      <c r="Z309" s="18"/>
    </row>
    <row r="310" spans="24:26" ht="43.5" customHeight="1" x14ac:dyDescent="0.2">
      <c r="X310" s="19"/>
      <c r="Y310" s="19"/>
      <c r="Z310" s="18"/>
    </row>
    <row r="311" spans="24:26" ht="43.5" customHeight="1" x14ac:dyDescent="0.2">
      <c r="X311" s="19"/>
      <c r="Y311" s="19"/>
      <c r="Z311" s="18"/>
    </row>
    <row r="312" spans="24:26" ht="43.5" customHeight="1" x14ac:dyDescent="0.2">
      <c r="X312" s="19"/>
      <c r="Y312" s="19"/>
      <c r="Z312" s="18"/>
    </row>
    <row r="313" spans="24:26" ht="43.5" customHeight="1" x14ac:dyDescent="0.2">
      <c r="X313" s="19"/>
      <c r="Y313" s="19"/>
      <c r="Z313" s="18"/>
    </row>
    <row r="314" spans="24:26" ht="43.5" customHeight="1" x14ac:dyDescent="0.2">
      <c r="X314" s="19"/>
      <c r="Y314" s="19"/>
      <c r="Z314" s="18"/>
    </row>
    <row r="315" spans="24:26" ht="43.5" customHeight="1" x14ac:dyDescent="0.2">
      <c r="X315" s="19"/>
      <c r="Y315" s="19"/>
      <c r="Z315" s="18"/>
    </row>
    <row r="316" spans="24:26" ht="43.5" customHeight="1" x14ac:dyDescent="0.2">
      <c r="X316" s="19"/>
      <c r="Y316" s="19"/>
      <c r="Z316" s="18"/>
    </row>
    <row r="317" spans="24:26" ht="43.5" customHeight="1" x14ac:dyDescent="0.2">
      <c r="X317" s="19"/>
      <c r="Y317" s="19"/>
      <c r="Z317" s="18"/>
    </row>
    <row r="318" spans="24:26" ht="43.5" customHeight="1" x14ac:dyDescent="0.2">
      <c r="X318" s="19"/>
      <c r="Y318" s="19"/>
      <c r="Z318" s="18"/>
    </row>
    <row r="319" spans="24:26" ht="43.5" customHeight="1" x14ac:dyDescent="0.2">
      <c r="X319" s="19"/>
      <c r="Y319" s="19"/>
      <c r="Z319" s="18"/>
    </row>
    <row r="320" spans="24:26" ht="43.5" customHeight="1" x14ac:dyDescent="0.2">
      <c r="X320" s="19"/>
      <c r="Y320" s="19"/>
      <c r="Z320" s="18"/>
    </row>
    <row r="321" spans="24:26" ht="43.5" customHeight="1" x14ac:dyDescent="0.2">
      <c r="X321" s="19"/>
      <c r="Y321" s="19"/>
      <c r="Z321" s="18"/>
    </row>
    <row r="322" spans="24:26" ht="43.5" customHeight="1" x14ac:dyDescent="0.2">
      <c r="X322" s="19"/>
      <c r="Y322" s="19"/>
      <c r="Z322" s="18"/>
    </row>
    <row r="323" spans="24:26" ht="43.5" customHeight="1" x14ac:dyDescent="0.2">
      <c r="X323" s="19"/>
      <c r="Y323" s="19"/>
      <c r="Z323" s="18"/>
    </row>
    <row r="324" spans="24:26" ht="43.5" customHeight="1" x14ac:dyDescent="0.2">
      <c r="X324" s="19"/>
      <c r="Y324" s="19"/>
      <c r="Z324" s="18"/>
    </row>
    <row r="325" spans="24:26" ht="43.5" customHeight="1" x14ac:dyDescent="0.2">
      <c r="X325" s="19"/>
      <c r="Y325" s="19"/>
      <c r="Z325" s="18"/>
    </row>
    <row r="326" spans="24:26" ht="43.5" customHeight="1" x14ac:dyDescent="0.2">
      <c r="X326" s="19"/>
      <c r="Y326" s="19"/>
      <c r="Z326" s="18"/>
    </row>
    <row r="327" spans="24:26" ht="43.5" customHeight="1" x14ac:dyDescent="0.2">
      <c r="X327" s="19"/>
      <c r="Y327" s="19"/>
      <c r="Z327" s="18"/>
    </row>
    <row r="328" spans="24:26" ht="43.5" customHeight="1" x14ac:dyDescent="0.2">
      <c r="X328" s="19"/>
      <c r="Y328" s="19"/>
      <c r="Z328" s="18"/>
    </row>
    <row r="329" spans="24:26" ht="43.5" customHeight="1" x14ac:dyDescent="0.2">
      <c r="X329" s="19"/>
      <c r="Y329" s="19"/>
      <c r="Z329" s="18"/>
    </row>
    <row r="330" spans="24:26" ht="43.5" customHeight="1" x14ac:dyDescent="0.2">
      <c r="X330" s="19"/>
      <c r="Y330" s="19"/>
      <c r="Z330" s="18"/>
    </row>
    <row r="331" spans="24:26" ht="43.5" customHeight="1" x14ac:dyDescent="0.2">
      <c r="X331" s="19"/>
      <c r="Y331" s="19"/>
      <c r="Z331" s="18"/>
    </row>
    <row r="332" spans="24:26" ht="43.5" customHeight="1" x14ac:dyDescent="0.2">
      <c r="X332" s="19"/>
      <c r="Y332" s="19"/>
      <c r="Z332" s="18"/>
    </row>
    <row r="333" spans="24:26" ht="43.5" customHeight="1" x14ac:dyDescent="0.2">
      <c r="X333" s="19"/>
      <c r="Y333" s="19"/>
      <c r="Z333" s="18"/>
    </row>
    <row r="334" spans="24:26" ht="43.5" customHeight="1" x14ac:dyDescent="0.2">
      <c r="X334" s="19"/>
      <c r="Y334" s="19"/>
      <c r="Z334" s="18"/>
    </row>
    <row r="335" spans="24:26" ht="43.5" customHeight="1" x14ac:dyDescent="0.2">
      <c r="X335" s="19"/>
      <c r="Y335" s="19"/>
      <c r="Z335" s="18"/>
    </row>
    <row r="336" spans="24:26" ht="43.5" customHeight="1" x14ac:dyDescent="0.2">
      <c r="X336" s="19"/>
      <c r="Y336" s="19"/>
      <c r="Z336" s="18"/>
    </row>
    <row r="337" spans="24:26" ht="43.5" customHeight="1" x14ac:dyDescent="0.2">
      <c r="X337" s="19"/>
      <c r="Y337" s="19"/>
      <c r="Z337" s="18"/>
    </row>
    <row r="338" spans="24:26" ht="43.5" customHeight="1" x14ac:dyDescent="0.2">
      <c r="X338" s="19"/>
      <c r="Y338" s="19"/>
      <c r="Z338" s="18"/>
    </row>
    <row r="339" spans="24:26" ht="43.5" customHeight="1" x14ac:dyDescent="0.2">
      <c r="X339" s="19"/>
      <c r="Y339" s="19"/>
      <c r="Z339" s="18"/>
    </row>
    <row r="340" spans="24:26" ht="43.5" customHeight="1" x14ac:dyDescent="0.2">
      <c r="X340" s="19"/>
      <c r="Y340" s="19"/>
      <c r="Z340" s="18"/>
    </row>
    <row r="341" spans="24:26" ht="43.5" customHeight="1" x14ac:dyDescent="0.2">
      <c r="X341" s="19"/>
      <c r="Y341" s="19"/>
      <c r="Z341" s="18"/>
    </row>
    <row r="342" spans="24:26" ht="43.5" customHeight="1" x14ac:dyDescent="0.2">
      <c r="X342" s="19"/>
      <c r="Y342" s="19"/>
      <c r="Z342" s="18"/>
    </row>
    <row r="343" spans="24:26" ht="43.5" customHeight="1" x14ac:dyDescent="0.2">
      <c r="X343" s="19"/>
      <c r="Y343" s="19"/>
      <c r="Z343" s="18"/>
    </row>
    <row r="344" spans="24:26" ht="43.5" customHeight="1" x14ac:dyDescent="0.2">
      <c r="X344" s="19"/>
      <c r="Y344" s="19"/>
      <c r="Z344" s="18"/>
    </row>
    <row r="345" spans="24:26" ht="43.5" customHeight="1" x14ac:dyDescent="0.2">
      <c r="X345" s="19"/>
      <c r="Y345" s="19"/>
      <c r="Z345" s="18"/>
    </row>
    <row r="346" spans="24:26" ht="43.5" customHeight="1" x14ac:dyDescent="0.2">
      <c r="X346" s="19"/>
      <c r="Y346" s="19"/>
      <c r="Z346" s="18"/>
    </row>
    <row r="347" spans="24:26" ht="43.5" customHeight="1" x14ac:dyDescent="0.2">
      <c r="X347" s="19"/>
      <c r="Y347" s="19"/>
      <c r="Z347" s="18"/>
    </row>
    <row r="348" spans="24:26" ht="43.5" customHeight="1" x14ac:dyDescent="0.2">
      <c r="X348" s="19"/>
      <c r="Y348" s="19"/>
      <c r="Z348" s="18"/>
    </row>
    <row r="349" spans="24:26" ht="43.5" customHeight="1" x14ac:dyDescent="0.2">
      <c r="X349" s="19"/>
      <c r="Y349" s="19"/>
      <c r="Z349" s="18"/>
    </row>
    <row r="350" spans="24:26" ht="43.5" customHeight="1" x14ac:dyDescent="0.2">
      <c r="X350" s="19"/>
      <c r="Y350" s="19"/>
      <c r="Z350" s="18"/>
    </row>
    <row r="351" spans="24:26" ht="43.5" customHeight="1" x14ac:dyDescent="0.2">
      <c r="X351" s="19"/>
      <c r="Y351" s="19"/>
      <c r="Z351" s="18"/>
    </row>
    <row r="352" spans="24:26" ht="43.5" customHeight="1" x14ac:dyDescent="0.2">
      <c r="X352" s="19"/>
      <c r="Y352" s="19"/>
      <c r="Z352" s="18"/>
    </row>
    <row r="353" spans="24:26" ht="43.5" customHeight="1" x14ac:dyDescent="0.2">
      <c r="X353" s="19"/>
      <c r="Y353" s="19"/>
      <c r="Z353" s="18"/>
    </row>
    <row r="354" spans="24:26" ht="43.5" customHeight="1" x14ac:dyDescent="0.2">
      <c r="X354" s="19"/>
      <c r="Y354" s="19"/>
      <c r="Z354" s="18"/>
    </row>
    <row r="355" spans="24:26" ht="43.5" customHeight="1" x14ac:dyDescent="0.2">
      <c r="X355" s="19"/>
      <c r="Y355" s="19"/>
      <c r="Z355" s="18"/>
    </row>
    <row r="356" spans="24:26" ht="43.5" customHeight="1" x14ac:dyDescent="0.2">
      <c r="X356" s="19"/>
      <c r="Y356" s="19"/>
      <c r="Z356" s="18"/>
    </row>
    <row r="357" spans="24:26" ht="43.5" customHeight="1" x14ac:dyDescent="0.2">
      <c r="X357" s="19"/>
      <c r="Y357" s="19"/>
      <c r="Z357" s="18"/>
    </row>
    <row r="358" spans="24:26" ht="43.5" customHeight="1" x14ac:dyDescent="0.2">
      <c r="X358" s="19"/>
      <c r="Y358" s="19"/>
      <c r="Z358" s="18"/>
    </row>
    <row r="359" spans="24:26" ht="43.5" customHeight="1" x14ac:dyDescent="0.2">
      <c r="X359" s="19"/>
      <c r="Y359" s="19"/>
      <c r="Z359" s="18"/>
    </row>
    <row r="360" spans="24:26" ht="43.5" customHeight="1" x14ac:dyDescent="0.2">
      <c r="X360" s="19"/>
      <c r="Y360" s="19"/>
      <c r="Z360" s="18"/>
    </row>
    <row r="361" spans="24:26" ht="43.5" customHeight="1" x14ac:dyDescent="0.2">
      <c r="X361" s="19"/>
      <c r="Y361" s="19"/>
      <c r="Z361" s="18"/>
    </row>
    <row r="362" spans="24:26" ht="43.5" customHeight="1" x14ac:dyDescent="0.2">
      <c r="X362" s="19"/>
      <c r="Y362" s="19"/>
      <c r="Z362" s="18"/>
    </row>
    <row r="363" spans="24:26" ht="43.5" customHeight="1" x14ac:dyDescent="0.2">
      <c r="X363" s="19"/>
      <c r="Y363" s="19"/>
      <c r="Z363" s="18"/>
    </row>
    <row r="364" spans="24:26" ht="43.5" customHeight="1" x14ac:dyDescent="0.2">
      <c r="X364" s="19"/>
      <c r="Y364" s="19"/>
      <c r="Z364" s="18"/>
    </row>
    <row r="365" spans="24:26" ht="43.5" customHeight="1" x14ac:dyDescent="0.2">
      <c r="X365" s="19"/>
      <c r="Y365" s="19"/>
      <c r="Z365" s="18"/>
    </row>
    <row r="366" spans="24:26" ht="43.5" customHeight="1" x14ac:dyDescent="0.2">
      <c r="X366" s="19"/>
      <c r="Y366" s="19"/>
      <c r="Z366" s="18"/>
    </row>
    <row r="367" spans="24:26" ht="43.5" customHeight="1" x14ac:dyDescent="0.2">
      <c r="X367" s="19"/>
      <c r="Y367" s="19"/>
      <c r="Z367" s="18"/>
    </row>
    <row r="368" spans="24:26" ht="43.5" customHeight="1" x14ac:dyDescent="0.2">
      <c r="X368" s="19"/>
      <c r="Y368" s="19"/>
      <c r="Z368" s="18"/>
    </row>
    <row r="369" spans="24:26" ht="43.5" customHeight="1" x14ac:dyDescent="0.2">
      <c r="X369" s="19"/>
      <c r="Y369" s="19"/>
      <c r="Z369" s="18"/>
    </row>
    <row r="370" spans="24:26" ht="43.5" customHeight="1" x14ac:dyDescent="0.2">
      <c r="X370" s="19"/>
      <c r="Y370" s="19"/>
      <c r="Z370" s="18"/>
    </row>
    <row r="371" spans="24:26" ht="43.5" customHeight="1" x14ac:dyDescent="0.2">
      <c r="X371" s="19"/>
      <c r="Y371" s="19"/>
      <c r="Z371" s="18"/>
    </row>
    <row r="372" spans="24:26" ht="43.5" customHeight="1" x14ac:dyDescent="0.2">
      <c r="X372" s="19"/>
      <c r="Y372" s="19"/>
      <c r="Z372" s="18"/>
    </row>
    <row r="373" spans="24:26" ht="43.5" customHeight="1" x14ac:dyDescent="0.2">
      <c r="X373" s="19"/>
      <c r="Y373" s="19"/>
      <c r="Z373" s="18"/>
    </row>
    <row r="374" spans="24:26" ht="43.5" customHeight="1" x14ac:dyDescent="0.2">
      <c r="X374" s="19"/>
      <c r="Y374" s="19"/>
      <c r="Z374" s="18"/>
    </row>
    <row r="375" spans="24:26" ht="43.5" customHeight="1" x14ac:dyDescent="0.2">
      <c r="X375" s="19"/>
      <c r="Y375" s="19"/>
      <c r="Z375" s="18"/>
    </row>
    <row r="376" spans="24:26" ht="43.5" customHeight="1" x14ac:dyDescent="0.2">
      <c r="X376" s="19"/>
      <c r="Y376" s="19"/>
      <c r="Z376" s="18"/>
    </row>
    <row r="377" spans="24:26" ht="43.5" customHeight="1" x14ac:dyDescent="0.2">
      <c r="X377" s="19"/>
      <c r="Y377" s="19"/>
      <c r="Z377" s="18"/>
    </row>
    <row r="378" spans="24:26" ht="43.5" customHeight="1" x14ac:dyDescent="0.2">
      <c r="X378" s="19"/>
      <c r="Y378" s="19"/>
      <c r="Z378" s="18"/>
    </row>
    <row r="379" spans="24:26" ht="43.5" customHeight="1" x14ac:dyDescent="0.2">
      <c r="X379" s="19"/>
      <c r="Y379" s="19"/>
      <c r="Z379" s="18"/>
    </row>
    <row r="380" spans="24:26" ht="43.5" customHeight="1" x14ac:dyDescent="0.2">
      <c r="X380" s="19"/>
      <c r="Y380" s="19"/>
      <c r="Z380" s="18"/>
    </row>
    <row r="381" spans="24:26" ht="43.5" customHeight="1" x14ac:dyDescent="0.2">
      <c r="X381" s="19"/>
      <c r="Y381" s="19"/>
      <c r="Z381" s="18"/>
    </row>
    <row r="382" spans="24:26" ht="43.5" customHeight="1" x14ac:dyDescent="0.2">
      <c r="X382" s="19"/>
      <c r="Y382" s="19"/>
      <c r="Z382" s="18"/>
    </row>
    <row r="383" spans="24:26" ht="43.5" customHeight="1" x14ac:dyDescent="0.2">
      <c r="X383" s="19"/>
      <c r="Y383" s="19"/>
      <c r="Z383" s="18"/>
    </row>
    <row r="384" spans="24:26" ht="43.5" customHeight="1" x14ac:dyDescent="0.2">
      <c r="X384" s="19"/>
      <c r="Y384" s="19"/>
      <c r="Z384" s="18"/>
    </row>
    <row r="385" spans="24:26" ht="43.5" customHeight="1" x14ac:dyDescent="0.2">
      <c r="X385" s="19"/>
      <c r="Y385" s="19"/>
      <c r="Z385" s="18"/>
    </row>
    <row r="386" spans="24:26" ht="43.5" customHeight="1" x14ac:dyDescent="0.2">
      <c r="X386" s="19"/>
      <c r="Y386" s="19"/>
      <c r="Z386" s="18"/>
    </row>
    <row r="387" spans="24:26" ht="43.5" customHeight="1" x14ac:dyDescent="0.2">
      <c r="X387" s="19"/>
      <c r="Y387" s="19"/>
      <c r="Z387" s="18"/>
    </row>
    <row r="388" spans="24:26" ht="43.5" customHeight="1" x14ac:dyDescent="0.2">
      <c r="X388" s="19"/>
      <c r="Y388" s="19"/>
      <c r="Z388" s="18"/>
    </row>
    <row r="389" spans="24:26" ht="43.5" customHeight="1" x14ac:dyDescent="0.2">
      <c r="X389" s="19"/>
      <c r="Y389" s="19"/>
      <c r="Z389" s="18"/>
    </row>
    <row r="390" spans="24:26" ht="43.5" customHeight="1" x14ac:dyDescent="0.2">
      <c r="X390" s="19"/>
      <c r="Y390" s="19"/>
      <c r="Z390" s="18"/>
    </row>
    <row r="391" spans="24:26" ht="43.5" customHeight="1" x14ac:dyDescent="0.2">
      <c r="X391" s="19"/>
      <c r="Y391" s="19"/>
      <c r="Z391" s="18"/>
    </row>
    <row r="392" spans="24:26" ht="43.5" customHeight="1" x14ac:dyDescent="0.2">
      <c r="X392" s="19"/>
      <c r="Y392" s="19"/>
      <c r="Z392" s="18"/>
    </row>
    <row r="393" spans="24:26" ht="43.5" customHeight="1" x14ac:dyDescent="0.2">
      <c r="X393" s="19"/>
      <c r="Y393" s="19"/>
      <c r="Z393" s="18"/>
    </row>
    <row r="394" spans="24:26" ht="43.5" customHeight="1" x14ac:dyDescent="0.2">
      <c r="X394" s="19"/>
      <c r="Y394" s="19"/>
      <c r="Z394" s="18"/>
    </row>
    <row r="395" spans="24:26" ht="43.5" customHeight="1" x14ac:dyDescent="0.2">
      <c r="X395" s="19"/>
      <c r="Y395" s="19"/>
      <c r="Z395" s="18"/>
    </row>
    <row r="396" spans="24:26" ht="43.5" customHeight="1" x14ac:dyDescent="0.2">
      <c r="X396" s="19"/>
      <c r="Y396" s="19"/>
      <c r="Z396" s="18"/>
    </row>
    <row r="397" spans="24:26" ht="43.5" customHeight="1" x14ac:dyDescent="0.2">
      <c r="X397" s="19"/>
      <c r="Y397" s="19"/>
      <c r="Z397" s="18"/>
    </row>
    <row r="398" spans="24:26" ht="43.5" customHeight="1" x14ac:dyDescent="0.2">
      <c r="X398" s="19"/>
      <c r="Y398" s="19"/>
      <c r="Z398" s="18"/>
    </row>
    <row r="399" spans="24:26" ht="43.5" customHeight="1" x14ac:dyDescent="0.2">
      <c r="X399" s="19"/>
      <c r="Y399" s="19"/>
      <c r="Z399" s="18"/>
    </row>
    <row r="400" spans="24:26" ht="43.5" customHeight="1" x14ac:dyDescent="0.2">
      <c r="X400" s="19"/>
      <c r="Y400" s="19"/>
      <c r="Z400" s="18"/>
    </row>
    <row r="401" spans="24:26" ht="43.5" customHeight="1" x14ac:dyDescent="0.2">
      <c r="X401" s="19"/>
      <c r="Y401" s="19"/>
      <c r="Z401" s="18"/>
    </row>
    <row r="402" spans="24:26" ht="43.5" customHeight="1" x14ac:dyDescent="0.2">
      <c r="X402" s="19"/>
      <c r="Y402" s="19"/>
      <c r="Z402" s="18"/>
    </row>
    <row r="403" spans="24:26" ht="43.5" customHeight="1" x14ac:dyDescent="0.2">
      <c r="X403" s="19"/>
      <c r="Y403" s="19"/>
      <c r="Z403" s="18"/>
    </row>
    <row r="404" spans="24:26" ht="43.5" customHeight="1" x14ac:dyDescent="0.2">
      <c r="X404" s="19"/>
      <c r="Y404" s="19"/>
      <c r="Z404" s="18"/>
    </row>
    <row r="405" spans="24:26" ht="43.5" customHeight="1" x14ac:dyDescent="0.2">
      <c r="X405" s="19"/>
      <c r="Y405" s="19"/>
      <c r="Z405" s="18"/>
    </row>
    <row r="406" spans="24:26" ht="43.5" customHeight="1" x14ac:dyDescent="0.2">
      <c r="X406" s="19"/>
      <c r="Y406" s="19"/>
      <c r="Z406" s="18"/>
    </row>
    <row r="407" spans="24:26" ht="43.5" customHeight="1" x14ac:dyDescent="0.2">
      <c r="X407" s="19"/>
      <c r="Y407" s="19"/>
      <c r="Z407" s="18"/>
    </row>
    <row r="408" spans="24:26" ht="43.5" customHeight="1" x14ac:dyDescent="0.2">
      <c r="X408" s="19"/>
      <c r="Y408" s="19"/>
      <c r="Z408" s="18"/>
    </row>
    <row r="409" spans="24:26" ht="43.5" customHeight="1" x14ac:dyDescent="0.2">
      <c r="X409" s="19"/>
      <c r="Y409" s="19"/>
      <c r="Z409" s="18"/>
    </row>
    <row r="410" spans="24:26" ht="43.5" customHeight="1" x14ac:dyDescent="0.2">
      <c r="X410" s="19"/>
      <c r="Y410" s="19"/>
      <c r="Z410" s="18"/>
    </row>
    <row r="411" spans="24:26" ht="43.5" customHeight="1" x14ac:dyDescent="0.2">
      <c r="X411" s="19"/>
      <c r="Y411" s="19"/>
      <c r="Z411" s="18"/>
    </row>
    <row r="412" spans="24:26" ht="43.5" customHeight="1" x14ac:dyDescent="0.2">
      <c r="X412" s="19"/>
      <c r="Y412" s="19"/>
      <c r="Z412" s="18"/>
    </row>
    <row r="413" spans="24:26" ht="43.5" customHeight="1" x14ac:dyDescent="0.2">
      <c r="X413" s="19"/>
      <c r="Y413" s="19"/>
      <c r="Z413" s="18"/>
    </row>
    <row r="414" spans="24:26" ht="43.5" customHeight="1" x14ac:dyDescent="0.2">
      <c r="X414" s="19"/>
      <c r="Y414" s="19"/>
      <c r="Z414" s="18"/>
    </row>
    <row r="415" spans="24:26" ht="43.5" customHeight="1" x14ac:dyDescent="0.2">
      <c r="X415" s="19"/>
      <c r="Y415" s="19"/>
      <c r="Z415" s="18"/>
    </row>
    <row r="416" spans="24:26" ht="43.5" customHeight="1" x14ac:dyDescent="0.2">
      <c r="X416" s="19"/>
      <c r="Y416" s="19"/>
      <c r="Z416" s="18"/>
    </row>
    <row r="417" spans="24:26" ht="43.5" customHeight="1" x14ac:dyDescent="0.2">
      <c r="X417" s="19"/>
      <c r="Y417" s="19"/>
      <c r="Z417" s="18"/>
    </row>
    <row r="418" spans="24:26" ht="43.5" customHeight="1" x14ac:dyDescent="0.2">
      <c r="X418" s="19"/>
      <c r="Y418" s="19"/>
      <c r="Z418" s="18"/>
    </row>
    <row r="419" spans="24:26" ht="43.5" customHeight="1" x14ac:dyDescent="0.2">
      <c r="X419" s="19"/>
      <c r="Y419" s="19"/>
      <c r="Z419" s="18"/>
    </row>
    <row r="420" spans="24:26" ht="43.5" customHeight="1" x14ac:dyDescent="0.2">
      <c r="X420" s="19"/>
      <c r="Y420" s="19"/>
      <c r="Z420" s="18"/>
    </row>
    <row r="421" spans="24:26" ht="43.5" customHeight="1" x14ac:dyDescent="0.2">
      <c r="X421" s="19"/>
      <c r="Y421" s="19"/>
      <c r="Z421" s="18"/>
    </row>
    <row r="422" spans="24:26" ht="43.5" customHeight="1" x14ac:dyDescent="0.2">
      <c r="X422" s="19"/>
      <c r="Y422" s="19"/>
      <c r="Z422" s="18"/>
    </row>
    <row r="423" spans="24:26" ht="43.5" customHeight="1" x14ac:dyDescent="0.2">
      <c r="X423" s="19"/>
      <c r="Y423" s="19"/>
      <c r="Z423" s="18"/>
    </row>
    <row r="424" spans="24:26" ht="43.5" customHeight="1" x14ac:dyDescent="0.2">
      <c r="X424" s="19"/>
      <c r="Y424" s="19"/>
      <c r="Z424" s="18"/>
    </row>
    <row r="425" spans="24:26" ht="43.5" customHeight="1" x14ac:dyDescent="0.2">
      <c r="X425" s="19"/>
      <c r="Y425" s="19"/>
      <c r="Z425" s="18"/>
    </row>
    <row r="426" spans="24:26" ht="43.5" customHeight="1" x14ac:dyDescent="0.2">
      <c r="X426" s="19"/>
      <c r="Y426" s="19"/>
      <c r="Z426" s="18"/>
    </row>
    <row r="427" spans="24:26" ht="43.5" customHeight="1" x14ac:dyDescent="0.2">
      <c r="X427" s="19"/>
      <c r="Y427" s="19"/>
      <c r="Z427" s="18"/>
    </row>
    <row r="428" spans="24:26" ht="43.5" customHeight="1" x14ac:dyDescent="0.2">
      <c r="X428" s="19"/>
      <c r="Y428" s="19"/>
      <c r="Z428" s="18"/>
    </row>
    <row r="429" spans="24:26" ht="43.5" customHeight="1" x14ac:dyDescent="0.2">
      <c r="X429" s="19"/>
      <c r="Y429" s="19"/>
      <c r="Z429" s="18"/>
    </row>
    <row r="430" spans="24:26" ht="43.5" customHeight="1" x14ac:dyDescent="0.2">
      <c r="X430" s="19"/>
      <c r="Y430" s="19"/>
      <c r="Z430" s="18"/>
    </row>
    <row r="431" spans="24:26" ht="43.5" customHeight="1" x14ac:dyDescent="0.2">
      <c r="X431" s="19"/>
      <c r="Y431" s="19"/>
      <c r="Z431" s="18"/>
    </row>
    <row r="432" spans="24:26" ht="43.5" customHeight="1" x14ac:dyDescent="0.2">
      <c r="X432" s="19"/>
      <c r="Y432" s="19"/>
      <c r="Z432" s="18"/>
    </row>
    <row r="433" spans="24:26" ht="43.5" customHeight="1" x14ac:dyDescent="0.2">
      <c r="X433" s="19"/>
      <c r="Y433" s="19"/>
      <c r="Z433" s="18"/>
    </row>
    <row r="434" spans="24:26" ht="43.5" customHeight="1" x14ac:dyDescent="0.2">
      <c r="X434" s="19"/>
      <c r="Y434" s="19"/>
      <c r="Z434" s="18"/>
    </row>
    <row r="435" spans="24:26" ht="43.5" customHeight="1" x14ac:dyDescent="0.2">
      <c r="X435" s="19"/>
      <c r="Y435" s="19"/>
      <c r="Z435" s="18"/>
    </row>
    <row r="436" spans="24:26" ht="43.5" customHeight="1" x14ac:dyDescent="0.2">
      <c r="X436" s="19"/>
      <c r="Y436" s="19"/>
      <c r="Z436" s="18"/>
    </row>
    <row r="437" spans="24:26" ht="43.5" customHeight="1" x14ac:dyDescent="0.2">
      <c r="X437" s="19"/>
      <c r="Y437" s="19"/>
      <c r="Z437" s="18"/>
    </row>
    <row r="438" spans="24:26" ht="43.5" customHeight="1" x14ac:dyDescent="0.2">
      <c r="X438" s="19"/>
      <c r="Y438" s="19"/>
      <c r="Z438" s="18"/>
    </row>
    <row r="439" spans="24:26" ht="43.5" customHeight="1" x14ac:dyDescent="0.2">
      <c r="X439" s="19"/>
      <c r="Y439" s="19"/>
      <c r="Z439" s="18"/>
    </row>
    <row r="440" spans="24:26" ht="43.5" customHeight="1" x14ac:dyDescent="0.2">
      <c r="X440" s="19"/>
      <c r="Y440" s="19"/>
      <c r="Z440" s="18"/>
    </row>
    <row r="441" spans="24:26" ht="43.5" customHeight="1" x14ac:dyDescent="0.2">
      <c r="X441" s="19"/>
      <c r="Y441" s="19"/>
      <c r="Z441" s="18"/>
    </row>
    <row r="442" spans="24:26" ht="43.5" customHeight="1" x14ac:dyDescent="0.2">
      <c r="X442" s="19"/>
      <c r="Y442" s="19"/>
      <c r="Z442" s="18"/>
    </row>
    <row r="443" spans="24:26" ht="43.5" customHeight="1" x14ac:dyDescent="0.2">
      <c r="X443" s="19"/>
      <c r="Y443" s="19"/>
      <c r="Z443" s="18"/>
    </row>
    <row r="444" spans="24:26" ht="43.5" customHeight="1" x14ac:dyDescent="0.2">
      <c r="X444" s="19"/>
      <c r="Y444" s="19"/>
      <c r="Z444" s="18"/>
    </row>
    <row r="445" spans="24:26" ht="43.5" customHeight="1" x14ac:dyDescent="0.2">
      <c r="X445" s="19"/>
      <c r="Y445" s="19"/>
      <c r="Z445" s="18"/>
    </row>
    <row r="446" spans="24:26" ht="43.5" customHeight="1" x14ac:dyDescent="0.2">
      <c r="X446" s="19"/>
      <c r="Y446" s="19"/>
      <c r="Z446" s="18"/>
    </row>
    <row r="447" spans="24:26" ht="43.5" customHeight="1" x14ac:dyDescent="0.2">
      <c r="X447" s="19"/>
      <c r="Y447" s="19"/>
      <c r="Z447" s="18"/>
    </row>
    <row r="448" spans="24:26" ht="43.5" customHeight="1" x14ac:dyDescent="0.2">
      <c r="X448" s="19"/>
      <c r="Y448" s="19"/>
      <c r="Z448" s="18"/>
    </row>
    <row r="449" spans="24:26" ht="43.5" customHeight="1" x14ac:dyDescent="0.2">
      <c r="X449" s="19"/>
      <c r="Y449" s="19"/>
      <c r="Z449" s="18"/>
    </row>
    <row r="450" spans="24:26" ht="43.5" customHeight="1" x14ac:dyDescent="0.2">
      <c r="X450" s="19"/>
      <c r="Y450" s="19"/>
      <c r="Z450" s="18"/>
    </row>
    <row r="451" spans="24:26" ht="43.5" customHeight="1" x14ac:dyDescent="0.2">
      <c r="X451" s="19"/>
      <c r="Y451" s="19"/>
      <c r="Z451" s="18"/>
    </row>
    <row r="452" spans="24:26" ht="43.5" customHeight="1" x14ac:dyDescent="0.2">
      <c r="X452" s="19"/>
      <c r="Y452" s="19"/>
      <c r="Z452" s="18"/>
    </row>
    <row r="453" spans="24:26" ht="43.5" customHeight="1" x14ac:dyDescent="0.2">
      <c r="X453" s="19"/>
      <c r="Y453" s="19"/>
      <c r="Z453" s="18"/>
    </row>
    <row r="454" spans="24:26" ht="43.5" customHeight="1" x14ac:dyDescent="0.2">
      <c r="X454" s="19"/>
      <c r="Y454" s="19"/>
      <c r="Z454" s="18"/>
    </row>
    <row r="455" spans="24:26" ht="43.5" customHeight="1" x14ac:dyDescent="0.2">
      <c r="X455" s="19"/>
      <c r="Y455" s="19"/>
      <c r="Z455" s="18"/>
    </row>
    <row r="456" spans="24:26" ht="43.5" customHeight="1" x14ac:dyDescent="0.2">
      <c r="X456" s="19"/>
      <c r="Y456" s="19"/>
      <c r="Z456" s="18"/>
    </row>
    <row r="457" spans="24:26" ht="43.5" customHeight="1" x14ac:dyDescent="0.2">
      <c r="X457" s="19"/>
      <c r="Y457" s="19"/>
      <c r="Z457" s="18"/>
    </row>
    <row r="458" spans="24:26" ht="43.5" customHeight="1" x14ac:dyDescent="0.2">
      <c r="X458" s="19"/>
      <c r="Y458" s="19"/>
      <c r="Z458" s="18"/>
    </row>
    <row r="459" spans="24:26" ht="43.5" customHeight="1" x14ac:dyDescent="0.2">
      <c r="X459" s="19"/>
      <c r="Y459" s="19"/>
      <c r="Z459" s="18"/>
    </row>
    <row r="460" spans="24:26" ht="43.5" customHeight="1" x14ac:dyDescent="0.2">
      <c r="X460" s="19"/>
      <c r="Y460" s="19"/>
      <c r="Z460" s="18"/>
    </row>
    <row r="461" spans="24:26" ht="43.5" customHeight="1" x14ac:dyDescent="0.2">
      <c r="X461" s="19"/>
      <c r="Y461" s="19"/>
      <c r="Z461" s="18"/>
    </row>
    <row r="462" spans="24:26" ht="43.5" customHeight="1" x14ac:dyDescent="0.2">
      <c r="X462" s="19"/>
      <c r="Y462" s="19"/>
      <c r="Z462" s="18"/>
    </row>
    <row r="463" spans="24:26" ht="43.5" customHeight="1" x14ac:dyDescent="0.2">
      <c r="X463" s="19"/>
      <c r="Y463" s="19"/>
      <c r="Z463" s="18"/>
    </row>
    <row r="464" spans="24:26" ht="43.5" customHeight="1" x14ac:dyDescent="0.2">
      <c r="X464" s="19"/>
      <c r="Y464" s="19"/>
      <c r="Z464" s="18"/>
    </row>
    <row r="465" spans="24:26" ht="43.5" customHeight="1" x14ac:dyDescent="0.2">
      <c r="X465" s="19"/>
      <c r="Y465" s="19"/>
      <c r="Z465" s="18"/>
    </row>
    <row r="466" spans="24:26" ht="43.5" customHeight="1" x14ac:dyDescent="0.2">
      <c r="X466" s="19"/>
      <c r="Y466" s="19"/>
      <c r="Z466" s="18"/>
    </row>
    <row r="467" spans="24:26" ht="43.5" customHeight="1" x14ac:dyDescent="0.2">
      <c r="X467" s="19"/>
      <c r="Y467" s="19"/>
      <c r="Z467" s="18"/>
    </row>
    <row r="468" spans="24:26" ht="43.5" customHeight="1" x14ac:dyDescent="0.2">
      <c r="X468" s="19"/>
      <c r="Y468" s="19"/>
      <c r="Z468" s="18"/>
    </row>
    <row r="469" spans="24:26" ht="43.5" customHeight="1" x14ac:dyDescent="0.2">
      <c r="X469" s="19"/>
      <c r="Y469" s="19"/>
      <c r="Z469" s="18"/>
    </row>
    <row r="470" spans="24:26" ht="43.5" customHeight="1" x14ac:dyDescent="0.2">
      <c r="X470" s="19"/>
      <c r="Y470" s="19"/>
      <c r="Z470" s="18"/>
    </row>
    <row r="471" spans="24:26" ht="43.5" customHeight="1" x14ac:dyDescent="0.2">
      <c r="X471" s="19"/>
      <c r="Y471" s="19"/>
      <c r="Z471" s="18"/>
    </row>
    <row r="472" spans="24:26" ht="43.5" customHeight="1" x14ac:dyDescent="0.2">
      <c r="X472" s="19"/>
      <c r="Y472" s="19"/>
      <c r="Z472" s="18"/>
    </row>
    <row r="473" spans="24:26" ht="43.5" customHeight="1" x14ac:dyDescent="0.2">
      <c r="X473" s="19"/>
      <c r="Y473" s="19"/>
      <c r="Z473" s="18"/>
    </row>
    <row r="474" spans="24:26" ht="43.5" customHeight="1" x14ac:dyDescent="0.2">
      <c r="X474" s="19"/>
      <c r="Y474" s="19"/>
      <c r="Z474" s="18"/>
    </row>
    <row r="475" spans="24:26" ht="43.5" customHeight="1" x14ac:dyDescent="0.2">
      <c r="X475" s="19"/>
      <c r="Y475" s="19"/>
      <c r="Z475" s="18"/>
    </row>
    <row r="476" spans="24:26" ht="43.5" customHeight="1" x14ac:dyDescent="0.2">
      <c r="X476" s="19"/>
      <c r="Y476" s="19"/>
      <c r="Z476" s="18"/>
    </row>
    <row r="477" spans="24:26" ht="43.5" customHeight="1" x14ac:dyDescent="0.2">
      <c r="X477" s="19"/>
      <c r="Y477" s="19"/>
      <c r="Z477" s="18"/>
    </row>
    <row r="478" spans="24:26" ht="43.5" customHeight="1" x14ac:dyDescent="0.2">
      <c r="X478" s="19"/>
      <c r="Y478" s="19"/>
      <c r="Z478" s="18"/>
    </row>
    <row r="479" spans="24:26" ht="43.5" customHeight="1" x14ac:dyDescent="0.2">
      <c r="X479" s="19"/>
      <c r="Y479" s="19"/>
      <c r="Z479" s="18"/>
    </row>
    <row r="480" spans="24:26" ht="43.5" customHeight="1" x14ac:dyDescent="0.2">
      <c r="X480" s="19"/>
      <c r="Y480" s="19"/>
      <c r="Z480" s="18"/>
    </row>
    <row r="481" spans="24:26" ht="43.5" customHeight="1" x14ac:dyDescent="0.2">
      <c r="X481" s="19"/>
      <c r="Y481" s="19"/>
      <c r="Z481" s="18"/>
    </row>
    <row r="482" spans="24:26" ht="43.5" customHeight="1" x14ac:dyDescent="0.2">
      <c r="X482" s="19"/>
      <c r="Y482" s="19"/>
      <c r="Z482" s="18"/>
    </row>
    <row r="483" spans="24:26" ht="43.5" customHeight="1" x14ac:dyDescent="0.2">
      <c r="X483" s="19"/>
      <c r="Y483" s="19"/>
      <c r="Z483" s="18"/>
    </row>
    <row r="484" spans="24:26" ht="43.5" customHeight="1" x14ac:dyDescent="0.2">
      <c r="X484" s="19"/>
      <c r="Y484" s="19"/>
      <c r="Z484" s="18"/>
    </row>
    <row r="485" spans="24:26" ht="43.5" customHeight="1" x14ac:dyDescent="0.2">
      <c r="X485" s="19"/>
      <c r="Y485" s="19"/>
      <c r="Z485" s="18"/>
    </row>
    <row r="486" spans="24:26" ht="43.5" customHeight="1" x14ac:dyDescent="0.2">
      <c r="X486" s="19"/>
      <c r="Y486" s="19"/>
      <c r="Z486" s="18"/>
    </row>
    <row r="487" spans="24:26" ht="43.5" customHeight="1" x14ac:dyDescent="0.2">
      <c r="X487" s="19"/>
      <c r="Y487" s="19"/>
      <c r="Z487" s="18"/>
    </row>
    <row r="488" spans="24:26" ht="43.5" customHeight="1" x14ac:dyDescent="0.2">
      <c r="X488" s="19"/>
      <c r="Y488" s="19"/>
      <c r="Z488" s="18"/>
    </row>
    <row r="489" spans="24:26" ht="43.5" customHeight="1" x14ac:dyDescent="0.2">
      <c r="X489" s="19"/>
      <c r="Y489" s="19"/>
      <c r="Z489" s="18"/>
    </row>
    <row r="490" spans="24:26" ht="43.5" customHeight="1" x14ac:dyDescent="0.2">
      <c r="X490" s="19"/>
      <c r="Y490" s="19"/>
      <c r="Z490" s="18"/>
    </row>
    <row r="491" spans="24:26" ht="43.5" customHeight="1" x14ac:dyDescent="0.2">
      <c r="X491" s="19"/>
      <c r="Y491" s="19"/>
      <c r="Z491" s="18"/>
    </row>
    <row r="492" spans="24:26" ht="43.5" customHeight="1" x14ac:dyDescent="0.2">
      <c r="X492" s="19"/>
      <c r="Y492" s="19"/>
      <c r="Z492" s="18"/>
    </row>
    <row r="493" spans="24:26" ht="43.5" customHeight="1" x14ac:dyDescent="0.2">
      <c r="X493" s="19"/>
      <c r="Y493" s="19"/>
      <c r="Z493" s="18"/>
    </row>
    <row r="494" spans="24:26" ht="43.5" customHeight="1" x14ac:dyDescent="0.2">
      <c r="X494" s="19"/>
      <c r="Y494" s="19"/>
      <c r="Z494" s="18"/>
    </row>
    <row r="495" spans="24:26" ht="43.5" customHeight="1" x14ac:dyDescent="0.2">
      <c r="X495" s="19"/>
      <c r="Y495" s="19"/>
      <c r="Z495" s="18"/>
    </row>
  </sheetData>
  <mergeCells count="32">
    <mergeCell ref="Y44:Y45"/>
    <mergeCell ref="D6:N6"/>
    <mergeCell ref="A44:J45"/>
    <mergeCell ref="K44:Q45"/>
    <mergeCell ref="R44:S45"/>
    <mergeCell ref="T44:X45"/>
    <mergeCell ref="G35:G36"/>
    <mergeCell ref="D39:K39"/>
    <mergeCell ref="A25:A26"/>
    <mergeCell ref="F25:F26"/>
    <mergeCell ref="A27:A28"/>
    <mergeCell ref="F27:F28"/>
    <mergeCell ref="A29:A30"/>
    <mergeCell ref="F29:F30"/>
    <mergeCell ref="A32:A38"/>
    <mergeCell ref="F32:F38"/>
    <mergeCell ref="G33:G34"/>
    <mergeCell ref="A13:A18"/>
    <mergeCell ref="F13:F18"/>
    <mergeCell ref="A20:A22"/>
    <mergeCell ref="F20:F22"/>
    <mergeCell ref="A23:A24"/>
    <mergeCell ref="F23:F24"/>
    <mergeCell ref="D1:Z1"/>
    <mergeCell ref="D2:Z2"/>
    <mergeCell ref="D3:Z3"/>
    <mergeCell ref="R5:T5"/>
    <mergeCell ref="U5:W5"/>
    <mergeCell ref="X5:Z5"/>
    <mergeCell ref="D5:N5"/>
    <mergeCell ref="O5:Q5"/>
    <mergeCell ref="D4:Z4"/>
  </mergeCells>
  <pageMargins left="0.7" right="0.7" top="0.75" bottom="0.75" header="0.3" footer="0.3"/>
  <pageSetup orientation="portrait" r:id="rId1"/>
  <ignoredErrors>
    <ignoredError sqref="Y11 V11 P16 S16 V16 Y16"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J41"/>
  <sheetViews>
    <sheetView topLeftCell="C1" zoomScale="64" zoomScaleNormal="100" workbookViewId="0">
      <pane ySplit="5" topLeftCell="A6" activePane="bottomLeft" state="frozen"/>
      <selection pane="bottomLeft" activeCell="F32" sqref="F32"/>
    </sheetView>
  </sheetViews>
  <sheetFormatPr baseColWidth="10" defaultColWidth="11.5703125" defaultRowHeight="15.75" x14ac:dyDescent="0.2"/>
  <cols>
    <col min="1" max="2" width="7.28515625" style="127" customWidth="1"/>
    <col min="3" max="3" width="21.85546875" style="96" customWidth="1"/>
    <col min="4" max="4" width="43" style="96" customWidth="1"/>
    <col min="5" max="5" width="18.5703125" style="127" customWidth="1"/>
    <col min="6" max="6" width="15.42578125" style="127" customWidth="1"/>
    <col min="7" max="7" width="8.28515625" style="127" customWidth="1"/>
    <col min="8" max="11" width="8.28515625" style="96" customWidth="1"/>
    <col min="12" max="12" width="11.42578125" style="96" customWidth="1"/>
    <col min="13" max="13" width="9.42578125" style="96" customWidth="1"/>
    <col min="14" max="14" width="36.28515625" style="96" customWidth="1"/>
    <col min="15" max="15" width="11.28515625" style="96" customWidth="1"/>
    <col min="16" max="16" width="9.28515625" style="96" customWidth="1"/>
    <col min="17" max="17" width="53.140625" style="96" customWidth="1"/>
    <col min="18" max="18" width="18.5703125" style="96" customWidth="1"/>
    <col min="19" max="19" width="10.42578125" style="96" customWidth="1"/>
    <col min="20" max="20" width="19.140625" style="96" customWidth="1"/>
    <col min="21" max="21" width="21.28515625" style="96" customWidth="1"/>
    <col min="22" max="22" width="12.7109375" style="96" customWidth="1"/>
    <col min="23" max="23" width="23.5703125" style="96" customWidth="1"/>
    <col min="24" max="24" width="17.140625" style="96" bestFit="1" customWidth="1"/>
    <col min="25" max="25" width="15" style="96" bestFit="1" customWidth="1"/>
    <col min="26" max="26" width="10.7109375" style="96" bestFit="1" customWidth="1"/>
    <col min="27" max="27" width="8.28515625" style="96" bestFit="1" customWidth="1"/>
    <col min="28" max="28" width="10.42578125" style="96" bestFit="1" customWidth="1"/>
    <col min="29" max="29" width="21.28515625" style="96" bestFit="1" customWidth="1"/>
    <col min="30" max="30" width="17.140625" style="96" bestFit="1" customWidth="1"/>
    <col min="31" max="31" width="15" style="96" bestFit="1" customWidth="1"/>
    <col min="32" max="32" width="10.7109375" style="96" bestFit="1" customWidth="1"/>
    <col min="33" max="33" width="8.28515625" style="96" bestFit="1" customWidth="1"/>
    <col min="34" max="34" width="10.42578125" style="96" bestFit="1" customWidth="1"/>
    <col min="35" max="35" width="21.28515625" style="96" bestFit="1" customWidth="1"/>
    <col min="36" max="36" width="17.140625" style="96" bestFit="1" customWidth="1"/>
    <col min="37" max="37" width="15" style="96" bestFit="1" customWidth="1"/>
    <col min="38" max="38" width="10.7109375" style="96" bestFit="1" customWidth="1"/>
    <col min="39" max="39" width="8.28515625" style="96" bestFit="1" customWidth="1"/>
    <col min="40" max="40" width="10.42578125" style="96" bestFit="1" customWidth="1"/>
    <col min="41" max="41" width="21.28515625" style="96" bestFit="1" customWidth="1"/>
    <col min="42" max="42" width="17.140625" style="96" bestFit="1" customWidth="1"/>
    <col min="43" max="43" width="15" style="96" bestFit="1" customWidth="1"/>
    <col min="44" max="44" width="10.7109375" style="96" bestFit="1" customWidth="1"/>
    <col min="45" max="45" width="8.28515625" style="96" bestFit="1" customWidth="1"/>
    <col min="46" max="46" width="10.42578125" style="96" bestFit="1" customWidth="1"/>
    <col min="47" max="47" width="10.42578125" style="96" customWidth="1"/>
    <col min="48" max="16384" width="11.5703125" style="96"/>
  </cols>
  <sheetData>
    <row r="1" spans="1:348" ht="39.75" customHeight="1" thickBot="1" x14ac:dyDescent="0.25">
      <c r="A1" s="868"/>
      <c r="B1" s="868"/>
      <c r="C1" s="868"/>
      <c r="D1" s="868"/>
      <c r="E1" s="868"/>
      <c r="F1" s="868"/>
      <c r="G1" s="868"/>
      <c r="H1" s="868"/>
      <c r="I1" s="868"/>
      <c r="J1" s="868"/>
      <c r="K1" s="868"/>
      <c r="L1" s="868"/>
      <c r="M1" s="868"/>
      <c r="N1" s="868"/>
      <c r="O1" s="868"/>
      <c r="P1" s="868"/>
      <c r="Q1" s="868"/>
      <c r="R1" s="868"/>
      <c r="S1" s="868"/>
      <c r="T1" s="868"/>
      <c r="U1" s="868"/>
      <c r="V1" s="868"/>
      <c r="W1" s="869"/>
      <c r="X1" s="95"/>
      <c r="Y1" s="95"/>
      <c r="Z1" s="95"/>
      <c r="AA1" s="95"/>
      <c r="AB1" s="95"/>
      <c r="AC1" s="95"/>
      <c r="AD1" s="95"/>
      <c r="AE1" s="95"/>
      <c r="AF1" s="95"/>
      <c r="AG1" s="95"/>
      <c r="AH1" s="95"/>
      <c r="AI1" s="95"/>
      <c r="AJ1" s="95"/>
      <c r="AK1" s="95"/>
      <c r="AL1" s="95"/>
      <c r="AM1" s="95"/>
      <c r="AN1" s="95"/>
      <c r="AO1" s="95"/>
      <c r="AP1" s="95"/>
      <c r="AQ1" s="95"/>
      <c r="AR1" s="95"/>
      <c r="AS1" s="95"/>
      <c r="AT1" s="95"/>
      <c r="AU1" s="95"/>
    </row>
    <row r="2" spans="1:348" ht="28.5" customHeight="1" thickBot="1" x14ac:dyDescent="0.25">
      <c r="A2" s="870" t="s">
        <v>1966</v>
      </c>
      <c r="B2" s="871"/>
      <c r="C2" s="871"/>
      <c r="D2" s="871"/>
      <c r="E2" s="871"/>
      <c r="F2" s="871"/>
      <c r="G2" s="871"/>
      <c r="H2" s="871"/>
      <c r="I2" s="871"/>
      <c r="J2" s="871"/>
      <c r="K2" s="871"/>
      <c r="L2" s="871"/>
      <c r="M2" s="871"/>
      <c r="N2" s="871"/>
      <c r="O2" s="871"/>
      <c r="P2" s="871"/>
      <c r="Q2" s="871"/>
      <c r="R2" s="871"/>
      <c r="S2" s="871"/>
      <c r="T2" s="871"/>
      <c r="U2" s="871"/>
      <c r="V2" s="871"/>
      <c r="W2" s="872"/>
      <c r="X2" s="97"/>
      <c r="Y2" s="97"/>
      <c r="Z2" s="97"/>
      <c r="AA2" s="97"/>
      <c r="AB2" s="97"/>
      <c r="AC2" s="97"/>
      <c r="AD2" s="97"/>
      <c r="AE2" s="97"/>
      <c r="AF2" s="97"/>
      <c r="AG2" s="97"/>
      <c r="AH2" s="97"/>
      <c r="AI2" s="97"/>
      <c r="AJ2" s="97"/>
      <c r="AK2" s="97"/>
      <c r="AL2" s="97"/>
      <c r="AM2" s="97"/>
      <c r="AN2" s="97"/>
      <c r="AO2" s="97"/>
      <c r="AP2" s="97"/>
      <c r="AQ2" s="97"/>
      <c r="AR2" s="97"/>
      <c r="AS2" s="97"/>
      <c r="AT2" s="97"/>
      <c r="AU2" s="97"/>
    </row>
    <row r="3" spans="1:348" ht="30.75" customHeight="1" x14ac:dyDescent="0.2">
      <c r="A3" s="873" t="s">
        <v>2041</v>
      </c>
      <c r="B3" s="874"/>
      <c r="C3" s="874"/>
      <c r="D3" s="874"/>
      <c r="E3" s="874"/>
      <c r="F3" s="874"/>
      <c r="G3" s="874"/>
      <c r="H3" s="874"/>
      <c r="I3" s="874"/>
      <c r="J3" s="874"/>
      <c r="K3" s="874"/>
      <c r="L3" s="874"/>
      <c r="M3" s="874"/>
      <c r="N3" s="874"/>
      <c r="O3" s="874"/>
      <c r="P3" s="874"/>
      <c r="Q3" s="874"/>
      <c r="R3" s="874"/>
      <c r="S3" s="874"/>
      <c r="T3" s="874"/>
      <c r="U3" s="874"/>
      <c r="V3" s="874"/>
      <c r="W3" s="875"/>
      <c r="X3" s="98"/>
      <c r="Y3" s="98"/>
      <c r="Z3" s="98"/>
      <c r="AA3" s="98"/>
      <c r="AB3" s="98"/>
      <c r="AC3" s="98"/>
      <c r="AD3" s="98"/>
      <c r="AE3" s="98"/>
      <c r="AF3" s="98"/>
      <c r="AG3" s="98"/>
      <c r="AH3" s="98"/>
      <c r="AI3" s="98"/>
      <c r="AJ3" s="98"/>
      <c r="AK3" s="98"/>
      <c r="AL3" s="98"/>
      <c r="AM3" s="98"/>
      <c r="AN3" s="98"/>
      <c r="AO3" s="98"/>
      <c r="AP3" s="98"/>
      <c r="AQ3" s="98"/>
      <c r="AR3" s="98"/>
      <c r="AS3" s="98"/>
      <c r="AT3" s="98"/>
      <c r="AU3" s="98"/>
    </row>
    <row r="4" spans="1:348" ht="15.75" customHeight="1" x14ac:dyDescent="0.2">
      <c r="A4" s="881" t="s">
        <v>2042</v>
      </c>
      <c r="B4" s="882"/>
      <c r="C4" s="882"/>
      <c r="D4" s="882"/>
      <c r="E4" s="882"/>
      <c r="F4" s="882"/>
      <c r="G4" s="882"/>
      <c r="H4" s="882"/>
      <c r="I4" s="882"/>
      <c r="J4" s="882"/>
      <c r="K4" s="883"/>
      <c r="L4" s="828" t="s">
        <v>1968</v>
      </c>
      <c r="M4" s="828"/>
      <c r="N4" s="828"/>
      <c r="O4" s="828" t="s">
        <v>1969</v>
      </c>
      <c r="P4" s="828"/>
      <c r="Q4" s="828"/>
      <c r="R4" s="828" t="s">
        <v>1970</v>
      </c>
      <c r="S4" s="828"/>
      <c r="T4" s="828"/>
      <c r="U4" s="828" t="s">
        <v>1971</v>
      </c>
      <c r="V4" s="828"/>
      <c r="W4" s="828"/>
      <c r="X4" s="99"/>
      <c r="Y4" s="99"/>
      <c r="Z4" s="99"/>
      <c r="AA4" s="99"/>
      <c r="AB4" s="99"/>
      <c r="AC4" s="876">
        <v>2022</v>
      </c>
      <c r="AD4" s="876"/>
      <c r="AE4" s="876"/>
      <c r="AF4" s="876"/>
      <c r="AG4" s="876"/>
      <c r="AH4" s="876"/>
      <c r="AI4" s="877">
        <v>2023</v>
      </c>
      <c r="AJ4" s="877"/>
      <c r="AK4" s="877"/>
      <c r="AL4" s="877"/>
      <c r="AM4" s="877"/>
      <c r="AN4" s="877"/>
      <c r="AO4" s="877">
        <v>2024</v>
      </c>
      <c r="AP4" s="877"/>
      <c r="AQ4" s="877"/>
      <c r="AR4" s="877"/>
      <c r="AS4" s="877"/>
      <c r="AT4" s="877"/>
      <c r="AU4" s="464"/>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row>
    <row r="5" spans="1:348" s="103" customFormat="1" ht="48.75" customHeight="1" x14ac:dyDescent="0.2">
      <c r="A5" s="101" t="s">
        <v>2043</v>
      </c>
      <c r="B5" s="101" t="s">
        <v>1976</v>
      </c>
      <c r="C5" s="101" t="s">
        <v>1977</v>
      </c>
      <c r="D5" s="101" t="s">
        <v>1978</v>
      </c>
      <c r="E5" s="101" t="s">
        <v>1979</v>
      </c>
      <c r="F5" s="32" t="s">
        <v>2370</v>
      </c>
      <c r="G5" s="101" t="s">
        <v>1980</v>
      </c>
      <c r="H5" s="101" t="s">
        <v>2044</v>
      </c>
      <c r="I5" s="101" t="s">
        <v>1982</v>
      </c>
      <c r="J5" s="101" t="s">
        <v>1983</v>
      </c>
      <c r="K5" s="101" t="s">
        <v>1984</v>
      </c>
      <c r="L5" s="32" t="s">
        <v>1985</v>
      </c>
      <c r="M5" s="32" t="s">
        <v>1986</v>
      </c>
      <c r="N5" s="32" t="s">
        <v>1987</v>
      </c>
      <c r="O5" s="32" t="s">
        <v>1985</v>
      </c>
      <c r="P5" s="32" t="s">
        <v>1986</v>
      </c>
      <c r="Q5" s="32" t="s">
        <v>1987</v>
      </c>
      <c r="R5" s="32" t="s">
        <v>1985</v>
      </c>
      <c r="S5" s="32" t="s">
        <v>1986</v>
      </c>
      <c r="T5" s="32" t="s">
        <v>1987</v>
      </c>
      <c r="U5" s="32" t="s">
        <v>1985</v>
      </c>
      <c r="V5" s="32" t="s">
        <v>1986</v>
      </c>
      <c r="W5" s="32" t="s">
        <v>1987</v>
      </c>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row>
    <row r="6" spans="1:348" s="100" customFormat="1" ht="156" customHeight="1" x14ac:dyDescent="0.2">
      <c r="A6" s="210" t="s">
        <v>2045</v>
      </c>
      <c r="B6" s="210" t="s">
        <v>2045</v>
      </c>
      <c r="C6" s="878" t="s">
        <v>2046</v>
      </c>
      <c r="D6" s="209" t="s">
        <v>2047</v>
      </c>
      <c r="E6" s="209" t="s">
        <v>282</v>
      </c>
      <c r="F6" s="209"/>
      <c r="G6" s="104">
        <v>0</v>
      </c>
      <c r="H6" s="207">
        <v>0</v>
      </c>
      <c r="I6" s="207">
        <v>0.1</v>
      </c>
      <c r="J6" s="207">
        <f>'Plan de Acción 2022'!R271</f>
        <v>0.25</v>
      </c>
      <c r="K6" s="207">
        <v>1</v>
      </c>
      <c r="L6" s="207">
        <f>('Plan de Acción 2022'!W271+'Plan de Acción 2022'!W347+'Plan de Acción 2022'!W348+'Plan de Acción 2022'!W349)/4</f>
        <v>0.4375</v>
      </c>
      <c r="M6" s="207">
        <f>(L6*15%)/(J6-I6)</f>
        <v>0.43750000000000006</v>
      </c>
      <c r="N6" s="207" t="s">
        <v>1222</v>
      </c>
      <c r="O6" s="207">
        <f>('Plan de Acción 2022'!AA271+'Plan de Acción 2022'!AA347+'Plan de Acción 2022'!AA348+'Plan de Acción 2022'!AA349)/4</f>
        <v>0.51250000000000007</v>
      </c>
      <c r="P6" s="207">
        <f>(O6*15%)/(J6-I6)</f>
        <v>0.51250000000000007</v>
      </c>
      <c r="Q6" s="504" t="s">
        <v>2310</v>
      </c>
      <c r="R6" s="207">
        <f>('Plan de Acción 2022'!AD64+'Plan de Acción 2022'!AD65+'Plan de Acción 2022'!AD66+'Plan de Acción 2022'!AD271+'Plan de Acción 2022'!AD347+'Plan de Acción 2022'!AD349)/6</f>
        <v>0</v>
      </c>
      <c r="S6" s="207">
        <f>(R6*15%)/(J6-I6)</f>
        <v>0</v>
      </c>
      <c r="T6" s="104"/>
      <c r="U6" s="207">
        <f>('Plan de Acción 2022'!AG64+'Plan de Acción 2022'!AG65+'Plan de Acción 2022'!AG66+'Plan de Acción 2022'!AG271+'Plan de Acción 2022'!AG347+'Plan de Acción 2022'!AG349)/6</f>
        <v>0</v>
      </c>
      <c r="V6" s="207">
        <f>(U6*15%)/(J6-I6)</f>
        <v>0</v>
      </c>
      <c r="W6" s="104"/>
    </row>
    <row r="7" spans="1:348" s="516" customFormat="1" ht="126" x14ac:dyDescent="0.2">
      <c r="A7" s="513" t="s">
        <v>2045</v>
      </c>
      <c r="B7" s="513" t="s">
        <v>1991</v>
      </c>
      <c r="C7" s="878"/>
      <c r="D7" s="514" t="s">
        <v>2048</v>
      </c>
      <c r="E7" s="514" t="s">
        <v>298</v>
      </c>
      <c r="F7" s="514"/>
      <c r="G7" s="514">
        <v>0</v>
      </c>
      <c r="H7" s="515">
        <v>0.15</v>
      </c>
      <c r="I7" s="515">
        <v>0.02</v>
      </c>
      <c r="J7" s="515">
        <f>'Plan de Acción 2022'!R272</f>
        <v>0.15</v>
      </c>
      <c r="K7" s="515">
        <v>0.5</v>
      </c>
      <c r="L7" s="515">
        <f>'Plan de Acción 2022'!W67</f>
        <v>0.1</v>
      </c>
      <c r="M7" s="515">
        <f>(L7*13%)/(J7-I7)</f>
        <v>0.1</v>
      </c>
      <c r="N7" s="515" t="s">
        <v>292</v>
      </c>
      <c r="O7" s="515">
        <f>'Plan de Acción 2022'!AA67</f>
        <v>0.1</v>
      </c>
      <c r="P7" s="515">
        <f>(O7*13%)/(J7-I7)</f>
        <v>0.1</v>
      </c>
      <c r="Q7" s="514" t="s">
        <v>2369</v>
      </c>
      <c r="R7" s="515">
        <f>'Plan de Acción 2022'!AD67</f>
        <v>0</v>
      </c>
      <c r="S7" s="515">
        <f>(R7*12%)/(J7-I7)</f>
        <v>0</v>
      </c>
      <c r="T7" s="515"/>
      <c r="U7" s="515">
        <f>'Plan de Acción 2022'!AG67</f>
        <v>0</v>
      </c>
      <c r="V7" s="515">
        <f>(U7*12%)/(J7-I7)</f>
        <v>0</v>
      </c>
      <c r="W7" s="514"/>
    </row>
    <row r="8" spans="1:348" ht="78.75" x14ac:dyDescent="0.2">
      <c r="A8" s="105" t="s">
        <v>2045</v>
      </c>
      <c r="B8" s="105" t="s">
        <v>2049</v>
      </c>
      <c r="C8" s="879" t="s">
        <v>2050</v>
      </c>
      <c r="D8" s="105" t="s">
        <v>1009</v>
      </c>
      <c r="E8" s="105" t="s">
        <v>1011</v>
      </c>
      <c r="F8" s="529">
        <v>0.3</v>
      </c>
      <c r="G8" s="106">
        <f>10/150</f>
        <v>6.6666666666666666E-2</v>
      </c>
      <c r="H8" s="107">
        <v>0.08</v>
      </c>
      <c r="I8" s="107">
        <v>2.0000000000000001E-4</v>
      </c>
      <c r="J8" s="107">
        <f>'Plan de Acción 2022'!R233</f>
        <v>0.12</v>
      </c>
      <c r="K8" s="107">
        <v>0.2</v>
      </c>
      <c r="L8" s="107">
        <f>'Plan de Acción 2022'!W233</f>
        <v>0.2</v>
      </c>
      <c r="M8" s="388">
        <f>(L8*12%)/(J8-I8)</f>
        <v>0.20033388981636063</v>
      </c>
      <c r="N8" s="391" t="s">
        <v>2051</v>
      </c>
      <c r="O8" s="107">
        <f>'Plan de Acción 2022'!AA233</f>
        <v>0.3</v>
      </c>
      <c r="P8" s="528">
        <f>(O8*12%)/(J8-I8)</f>
        <v>0.30050083472454092</v>
      </c>
      <c r="Q8" s="391" t="s">
        <v>1001</v>
      </c>
      <c r="R8" s="107">
        <f>'Plan de Acción 2022'!AD233</f>
        <v>0</v>
      </c>
      <c r="S8" s="207">
        <f>(R8*12%)/(J8-I8)</f>
        <v>0</v>
      </c>
      <c r="T8" s="108"/>
      <c r="U8" s="107">
        <f>'Plan de Acción 2022'!AG233</f>
        <v>0</v>
      </c>
      <c r="V8" s="207">
        <f>(U8*12%)/(J8-I8)</f>
        <v>0</v>
      </c>
      <c r="W8" s="109"/>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row>
    <row r="9" spans="1:348" s="100" customFormat="1" ht="135" customHeight="1" x14ac:dyDescent="0.2">
      <c r="A9" s="461" t="s">
        <v>2045</v>
      </c>
      <c r="B9" s="461" t="s">
        <v>2049</v>
      </c>
      <c r="C9" s="880"/>
      <c r="D9" s="461" t="s">
        <v>2052</v>
      </c>
      <c r="E9" s="461" t="s">
        <v>1005</v>
      </c>
      <c r="F9" s="211">
        <v>0.45</v>
      </c>
      <c r="G9" s="110">
        <v>0.05</v>
      </c>
      <c r="H9" s="110">
        <v>0.3</v>
      </c>
      <c r="I9" s="110">
        <v>0.3</v>
      </c>
      <c r="J9" s="110">
        <f>'Plan de Acción 2022'!R232</f>
        <v>0.6</v>
      </c>
      <c r="K9" s="110">
        <v>1</v>
      </c>
      <c r="L9" s="110">
        <f>'Plan de Acción 2022'!W232</f>
        <v>0.25</v>
      </c>
      <c r="M9" s="207">
        <f>(L9*30%)/(J9-I9)</f>
        <v>0.25</v>
      </c>
      <c r="N9" s="110" t="s">
        <v>2053</v>
      </c>
      <c r="O9" s="110">
        <f>'Plan de Acción 2022'!AA232</f>
        <v>0.45</v>
      </c>
      <c r="P9" s="207">
        <f>(O9*30%)/(J9-I9)</f>
        <v>0.45000000000000007</v>
      </c>
      <c r="Q9" s="110" t="s">
        <v>2313</v>
      </c>
      <c r="R9" s="110">
        <f>'Plan de Acción 2022'!AD232</f>
        <v>0</v>
      </c>
      <c r="S9" s="207">
        <f>(R9*30%)/(J9-I9)</f>
        <v>0</v>
      </c>
      <c r="T9" s="111"/>
      <c r="U9" s="110">
        <f>'Plan de Acción 2022'!AG232</f>
        <v>0</v>
      </c>
      <c r="V9" s="207">
        <f>(U9*30%)/(J9-I9)</f>
        <v>0</v>
      </c>
      <c r="W9" s="112"/>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row>
    <row r="10" spans="1:348" s="100" customFormat="1" ht="173.25" x14ac:dyDescent="0.2">
      <c r="A10" s="461" t="s">
        <v>2045</v>
      </c>
      <c r="B10" s="461" t="s">
        <v>2049</v>
      </c>
      <c r="C10" s="880"/>
      <c r="D10" s="462" t="s">
        <v>2054</v>
      </c>
      <c r="E10" s="461" t="s">
        <v>989</v>
      </c>
      <c r="F10" s="510">
        <v>1100</v>
      </c>
      <c r="G10" s="204" t="s">
        <v>2055</v>
      </c>
      <c r="H10" s="110">
        <v>0</v>
      </c>
      <c r="I10" s="110">
        <v>0</v>
      </c>
      <c r="J10" s="110">
        <f>'Plan de Acción 2022'!R229</f>
        <v>0.33</v>
      </c>
      <c r="K10" s="204">
        <v>1300</v>
      </c>
      <c r="L10" s="110">
        <f>'Plan de Acción 2022'!W229</f>
        <v>0.97</v>
      </c>
      <c r="M10" s="207">
        <f>(L10*33%)/(J10-I10)</f>
        <v>0.97</v>
      </c>
      <c r="N10" s="204" t="s">
        <v>2056</v>
      </c>
      <c r="O10" s="110">
        <f>('Plan de Acción 2022'!AA229+'Plan de Acción 2022'!AA230+'Plan de Acción 2022'!AA231)/3</f>
        <v>0.5</v>
      </c>
      <c r="P10" s="207">
        <f>(O10*33%)/(J10-I10)</f>
        <v>0.5</v>
      </c>
      <c r="Q10" s="461" t="s">
        <v>2314</v>
      </c>
      <c r="R10" s="110">
        <f>('Plan de Acción 2022'!AD229+'Plan de Acción 2022'!AD230+'Plan de Acción 2022'!AD231)/3</f>
        <v>0</v>
      </c>
      <c r="S10" s="207">
        <f>(R10*33%)/(J10-I10)</f>
        <v>0</v>
      </c>
      <c r="T10" s="467"/>
      <c r="U10" s="110">
        <f>('Plan de Acción 2022'!AG229+'Plan de Acción 2022'!AG230+'Plan de Acción 2022'!AG231)/3</f>
        <v>0</v>
      </c>
      <c r="V10" s="207">
        <f>(U10*33%)/(J10-I10)</f>
        <v>0</v>
      </c>
      <c r="W10" s="205"/>
    </row>
    <row r="11" spans="1:348" s="100" customFormat="1" ht="157.5" x14ac:dyDescent="0.2">
      <c r="A11" s="461" t="s">
        <v>2045</v>
      </c>
      <c r="B11" s="461" t="s">
        <v>2057</v>
      </c>
      <c r="C11" s="867" t="s">
        <v>2058</v>
      </c>
      <c r="D11" s="462" t="s">
        <v>2059</v>
      </c>
      <c r="E11" s="211" t="s">
        <v>1088</v>
      </c>
      <c r="F11" s="211">
        <v>0.04</v>
      </c>
      <c r="G11" s="110">
        <v>0.04</v>
      </c>
      <c r="H11" s="200">
        <v>0</v>
      </c>
      <c r="I11" s="110">
        <v>0</v>
      </c>
      <c r="J11" s="200">
        <f>'Plan de Acción 2022'!R246</f>
        <v>0.1</v>
      </c>
      <c r="K11" s="120">
        <v>0.2</v>
      </c>
      <c r="L11" s="120">
        <f>('Plan de Acción 2022'!W246+'Plan de Acción 2022'!W247+'Plan de Acción 2022'!W248+'Plan de Acción 2022'!W249+'Plan de Acción 2022'!W250+'Plan de Acción 2022'!W251+'Plan de Acción 2022'!W252+'Plan de Acción 2022'!W254+'Plan de Acción 2022'!W255+'Plan de Acción 2022'!W256+'Plan de Acción 2022'!W257+'Plan de Acción 2022'!W258+'Plan de Acción 2022'!W259+'Plan de Acción 2022'!W260+'Plan de Acción 2022'!W261+'Plan de Acción 2022'!W262+'Plan de Acción 2022'!W263+'Plan de Acción 2022'!W264+'Plan de Acción 2022'!W265+'Plan de Acción 2022'!W266)/18</f>
        <v>0.28333333333333338</v>
      </c>
      <c r="M11" s="207">
        <f>(L11*10%)/(J11-I11)</f>
        <v>0.28333333333333338</v>
      </c>
      <c r="N11" s="120" t="s">
        <v>2316</v>
      </c>
      <c r="O11" s="120">
        <f>('Plan de Acción 2022'!AA246+'Plan de Acción 2022'!AA247+'Plan de Acción 2022'!AA248+'Plan de Acción 2022'!AA249+'Plan de Acción 2022'!AA250+'Plan de Acción 2022'!AA251+'Plan de Acción 2022'!AA252+'Plan de Acción 2022'!AA254+'Plan de Acción 2022'!AA255+'Plan de Acción 2022'!AA256+'Plan de Acción 2022'!AA257+'Plan de Acción 2022'!AA258+'Plan de Acción 2022'!AA259+'Plan de Acción 2022'!AA260+'Plan de Acción 2022'!AA261+'Plan de Acción 2022'!AA262+'Plan de Acción 2022'!AA263+'Plan de Acción 2022'!AA264+'Plan de Acción 2022'!AA265+'Plan de Acción 2022'!AA266)/18</f>
        <v>0.5444444444444444</v>
      </c>
      <c r="P11" s="207">
        <f>(O11*10%)/(J11-I11)</f>
        <v>0.5444444444444444</v>
      </c>
      <c r="Q11" s="462" t="s">
        <v>2317</v>
      </c>
      <c r="R11" s="120">
        <f>('Plan de Acción 2022'!AD246+'Plan de Acción 2022'!AD247+'Plan de Acción 2022'!AD248+'Plan de Acción 2022'!AD249+'Plan de Acción 2022'!AD250+'Plan de Acción 2022'!AD251+'Plan de Acción 2022'!AD252+'Plan de Acción 2022'!AD254+'Plan de Acción 2022'!AD255+'Plan de Acción 2022'!AD256+'Plan de Acción 2022'!AD257+'Plan de Acción 2022'!AD258+'Plan de Acción 2022'!AD259+'Plan de Acción 2022'!AD260+'Plan de Acción 2022'!AD261+'Plan de Acción 2022'!AD262+'Plan de Acción 2022'!AD263+'Plan de Acción 2022'!AD264+'Plan de Acción 2022'!AD265+'Plan de Acción 2022'!AD266)/18</f>
        <v>0</v>
      </c>
      <c r="S11" s="207">
        <f>(R11*10%)/(J11-I11)</f>
        <v>0</v>
      </c>
      <c r="T11" s="461"/>
      <c r="U11" s="120">
        <f>('Plan de Acción 2022'!AG246+'Plan de Acción 2022'!AG247+'Plan de Acción 2022'!AG248+'Plan de Acción 2022'!AG249+'Plan de Acción 2022'!AG250+'Plan de Acción 2022'!AG251+'Plan de Acción 2022'!AG252+'Plan de Acción 2022'!AG254+'Plan de Acción 2022'!AG255+'Plan de Acción 2022'!AG256+'Plan de Acción 2022'!AG257+'Plan de Acción 2022'!AG258+'Plan de Acción 2022'!AG259+'Plan de Acción 2022'!AG260+'Plan de Acción 2022'!AG261+'Plan de Acción 2022'!AG262+'Plan de Acción 2022'!AG263+'Plan de Acción 2022'!AG264+'Plan de Acción 2022'!AG265+'Plan de Acción 2022'!AG266)/18</f>
        <v>0</v>
      </c>
      <c r="V11" s="207">
        <f>(U11*10%)/(J11-I11)</f>
        <v>0</v>
      </c>
      <c r="W11" s="461"/>
    </row>
    <row r="12" spans="1:348" s="100" customFormat="1" ht="165.75" customHeight="1" x14ac:dyDescent="0.2">
      <c r="A12" s="461" t="s">
        <v>2045</v>
      </c>
      <c r="B12" s="461" t="s">
        <v>2057</v>
      </c>
      <c r="C12" s="867"/>
      <c r="D12" s="461" t="s">
        <v>2060</v>
      </c>
      <c r="E12" s="461" t="s">
        <v>1048</v>
      </c>
      <c r="F12" s="211">
        <v>0.79</v>
      </c>
      <c r="G12" s="461">
        <v>0</v>
      </c>
      <c r="H12" s="110">
        <v>0</v>
      </c>
      <c r="I12" s="110">
        <v>0</v>
      </c>
      <c r="J12" s="110">
        <f>'Plan de Acción 2022'!R239</f>
        <v>0.33</v>
      </c>
      <c r="K12" s="461">
        <v>3600</v>
      </c>
      <c r="L12" s="120">
        <f>('Plan de Acción 2022'!W243+'Plan de Acción 2022'!W239+'Plan de Acción 2022'!W240+'Plan de Acción 2022'!W241+'Plan de Acción 2022'!W242+'Plan de Acción 2022'!W244+'Plan de Acción 2022'!W245)/7</f>
        <v>0.4642857142857143</v>
      </c>
      <c r="M12" s="207">
        <f>(L12*33%)/(J12-I12)</f>
        <v>0.4642857142857143</v>
      </c>
      <c r="N12" s="461" t="s">
        <v>2061</v>
      </c>
      <c r="O12" s="120">
        <f>('Plan de Acción 2022'!AA243+'Plan de Acción 2022'!AA239+'Plan de Acción 2022'!AA240+'Plan de Acción 2022'!AA241+'Plan de Acción 2022'!AA242+'Plan de Acción 2022'!AA244+'Plan de Acción 2022'!AA245)/7</f>
        <v>0.5714285714285714</v>
      </c>
      <c r="P12" s="207">
        <f>(O12*33%)/(J12-I12)</f>
        <v>0.5714285714285714</v>
      </c>
      <c r="Q12" s="505" t="s">
        <v>2318</v>
      </c>
      <c r="R12" s="120">
        <f>('Plan de Acción 2022'!AD243+'Plan de Acción 2022'!AD239+'Plan de Acción 2022'!AD240+'Plan de Acción 2022'!AD241+'Plan de Acción 2022'!AD242+'Plan de Acción 2022'!AD244+'Plan de Acción 2022'!AD245)/7</f>
        <v>0</v>
      </c>
      <c r="S12" s="207">
        <f>(R12*33%)/(J12-I12)</f>
        <v>0</v>
      </c>
      <c r="T12" s="461"/>
      <c r="U12" s="120">
        <f>('Plan de Acción 2022'!AG243+'Plan de Acción 2022'!AG239+'Plan de Acción 2022'!AG240+'Plan de Acción 2022'!AG241+'Plan de Acción 2022'!AG242+'Plan de Acción 2022'!AG244+'Plan de Acción 2022'!AG245)/7</f>
        <v>0</v>
      </c>
      <c r="V12" s="207">
        <f>(U12*33%)/(J12-I12)</f>
        <v>0</v>
      </c>
      <c r="W12" s="461"/>
    </row>
    <row r="13" spans="1:348" ht="117.75" customHeight="1" x14ac:dyDescent="0.2">
      <c r="A13" s="460" t="s">
        <v>2045</v>
      </c>
      <c r="B13" s="113" t="s">
        <v>2057</v>
      </c>
      <c r="C13" s="867"/>
      <c r="D13" s="113" t="s">
        <v>1037</v>
      </c>
      <c r="E13" s="460" t="s">
        <v>1040</v>
      </c>
      <c r="F13" s="214">
        <v>0</v>
      </c>
      <c r="G13" s="460">
        <v>0</v>
      </c>
      <c r="H13" s="114" t="s">
        <v>2062</v>
      </c>
      <c r="I13" s="115">
        <v>0.01</v>
      </c>
      <c r="J13" s="114">
        <f>'Plan de Acción 2022'!R238</f>
        <v>0.66</v>
      </c>
      <c r="K13" s="460">
        <v>3</v>
      </c>
      <c r="L13" s="214">
        <f>('Plan de Acción 2022'!W238)</f>
        <v>0.35</v>
      </c>
      <c r="M13" s="207">
        <f>(L13*65%)/(J13-I13)</f>
        <v>0.35</v>
      </c>
      <c r="N13" s="462" t="s">
        <v>1035</v>
      </c>
      <c r="O13" s="214">
        <f>('Plan de Acción 2022'!AA238)</f>
        <v>0.6</v>
      </c>
      <c r="P13" s="207">
        <f>(O13*65%)/(J13-I13)</f>
        <v>0.6</v>
      </c>
      <c r="Q13" s="465" t="s">
        <v>1043</v>
      </c>
      <c r="R13" s="214">
        <f>('Plan de Acción 2022'!AD238)</f>
        <v>0</v>
      </c>
      <c r="S13" s="207">
        <f>(R13*65%)/(J13-I13)</f>
        <v>0</v>
      </c>
      <c r="T13" s="465"/>
      <c r="U13" s="214">
        <f>('Plan de Acción 2022'!AG238)</f>
        <v>0</v>
      </c>
      <c r="V13" s="207">
        <f>(U13*54%)/(J13-I13)</f>
        <v>0</v>
      </c>
      <c r="W13" s="116"/>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row>
    <row r="14" spans="1:348" s="100" customFormat="1" ht="155.25" customHeight="1" x14ac:dyDescent="0.2">
      <c r="A14" s="461" t="s">
        <v>2045</v>
      </c>
      <c r="B14" s="461" t="s">
        <v>2057</v>
      </c>
      <c r="C14" s="867"/>
      <c r="D14" s="461" t="s">
        <v>1016</v>
      </c>
      <c r="E14" s="462" t="s">
        <v>1019</v>
      </c>
      <c r="F14" s="120">
        <v>0.11</v>
      </c>
      <c r="G14" s="461">
        <v>0</v>
      </c>
      <c r="H14" s="200">
        <v>0</v>
      </c>
      <c r="I14" s="120">
        <v>0</v>
      </c>
      <c r="J14" s="200">
        <f>'Plan de Acción 2022'!R234</f>
        <v>0.1</v>
      </c>
      <c r="K14" s="110">
        <v>0.1</v>
      </c>
      <c r="L14" s="110">
        <f>('Plan de Acción 2022'!W234+'Plan de Acción 2022'!W235+'Plan de Acción 2022'!W236+'Plan de Acción 2022'!W237)/4</f>
        <v>0.375</v>
      </c>
      <c r="M14" s="207">
        <f>(L14*10%)/(J14-I14)</f>
        <v>0.37500000000000006</v>
      </c>
      <c r="N14" s="110" t="s">
        <v>2319</v>
      </c>
      <c r="O14" s="110">
        <f>('Plan de Acción 2022'!AA234+'Plan de Acción 2022'!AA235+'Plan de Acción 2022'!AA236+'Plan de Acción 2022'!AA237)/4</f>
        <v>0.52500000000000002</v>
      </c>
      <c r="P14" s="207">
        <f>(O14*10%)/(J14-I14)</f>
        <v>0.52500000000000002</v>
      </c>
      <c r="Q14" s="505" t="s">
        <v>2322</v>
      </c>
      <c r="R14" s="110">
        <f>('Plan de Acción 2022'!AD234+'Plan de Acción 2022'!AD235+'Plan de Acción 2022'!AD236+'Plan de Acción 2022'!AD237)/4</f>
        <v>0</v>
      </c>
      <c r="S14" s="207">
        <f>(R14*10%)/(J14-I14)</f>
        <v>0</v>
      </c>
      <c r="T14" s="462"/>
      <c r="U14" s="110">
        <f>('Plan de Acción 2022'!AG234+'Plan de Acción 2022'!AG235+'Plan de Acción 2022'!AG236+'Plan de Acción 2022'!AG237)/4</f>
        <v>0</v>
      </c>
      <c r="V14" s="207">
        <f>(U14*10%)/(J14-I14)</f>
        <v>0</v>
      </c>
      <c r="W14" s="201"/>
    </row>
    <row r="15" spans="1:348" s="100" customFormat="1" ht="122.25" customHeight="1" x14ac:dyDescent="0.2">
      <c r="A15" s="461" t="s">
        <v>1950</v>
      </c>
      <c r="B15" s="461" t="s">
        <v>2063</v>
      </c>
      <c r="C15" s="867" t="s">
        <v>2064</v>
      </c>
      <c r="D15" s="461" t="s">
        <v>1663</v>
      </c>
      <c r="E15" s="461" t="s">
        <v>2065</v>
      </c>
      <c r="F15" s="110">
        <v>0.5</v>
      </c>
      <c r="G15" s="461">
        <v>0</v>
      </c>
      <c r="H15" s="110">
        <v>0.5</v>
      </c>
      <c r="I15" s="110">
        <v>0.5</v>
      </c>
      <c r="J15" s="110">
        <f>'Plan de Acción 2022'!R383</f>
        <v>1</v>
      </c>
      <c r="K15" s="110">
        <v>1</v>
      </c>
      <c r="L15" s="110">
        <f>('Plan de Acción 2022'!W383+'Plan de Acción 2022'!W384+'Plan de Acción 2022'!W385+'Plan de Acción 2022'!W386+'Plan de Acción 2022'!W387)/5</f>
        <v>0.04</v>
      </c>
      <c r="M15" s="207">
        <f>(L15*50%)/(J15-I15)</f>
        <v>0.04</v>
      </c>
      <c r="N15" s="110" t="s">
        <v>2066</v>
      </c>
      <c r="O15" s="110">
        <f>('Plan de Acción 2022'!AA383+'Plan de Acción 2022'!AA384+'Plan de Acción 2022'!AA385+'Plan de Acción 2022'!AA386+'Plan de Acción 2022'!AA387)/5</f>
        <v>0.5</v>
      </c>
      <c r="P15" s="207">
        <f>(O15*50%)/(J15-I15)</f>
        <v>0.5</v>
      </c>
      <c r="Q15" s="110" t="s">
        <v>2323</v>
      </c>
      <c r="R15" s="110">
        <f>('Plan de Acción 2022'!AD383+'Plan de Acción 2022'!AD384+'Plan de Acción 2022'!AD385+'Plan de Acción 2022'!AD386+'Plan de Acción 2022'!AD387)/5</f>
        <v>0</v>
      </c>
      <c r="S15" s="207">
        <f>(R15*50%)/(J15-I15)</f>
        <v>0</v>
      </c>
      <c r="T15" s="110"/>
      <c r="U15" s="110">
        <f>('Plan de Acción 2022'!AG383+'Plan de Acción 2022'!AG384+'Plan de Acción 2022'!AG385+'Plan de Acción 2022'!AG386+'Plan de Acción 2022'!AG387)/5</f>
        <v>0</v>
      </c>
      <c r="V15" s="207">
        <f>(U15*50%)/(J15-I15)</f>
        <v>0</v>
      </c>
      <c r="W15" s="208"/>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row>
    <row r="16" spans="1:348" s="100" customFormat="1" ht="88.5" customHeight="1" x14ac:dyDescent="0.2">
      <c r="A16" s="461" t="s">
        <v>1950</v>
      </c>
      <c r="B16" s="461" t="s">
        <v>2063</v>
      </c>
      <c r="C16" s="867"/>
      <c r="D16" s="202" t="s">
        <v>2067</v>
      </c>
      <c r="E16" s="202" t="s">
        <v>2068</v>
      </c>
      <c r="F16" s="202"/>
      <c r="G16" s="461">
        <v>0</v>
      </c>
      <c r="H16" s="110">
        <v>1</v>
      </c>
      <c r="I16" s="110">
        <v>1</v>
      </c>
      <c r="J16" s="110" t="s">
        <v>53</v>
      </c>
      <c r="K16" s="110">
        <v>1</v>
      </c>
      <c r="L16" s="110"/>
      <c r="M16" s="110" t="s">
        <v>53</v>
      </c>
      <c r="N16" s="207" t="s">
        <v>53</v>
      </c>
      <c r="O16" s="207" t="s">
        <v>53</v>
      </c>
      <c r="P16" s="110" t="s">
        <v>53</v>
      </c>
      <c r="Q16" s="207" t="s">
        <v>53</v>
      </c>
      <c r="R16" s="207" t="s">
        <v>53</v>
      </c>
      <c r="S16" s="110" t="s">
        <v>53</v>
      </c>
      <c r="T16" s="207" t="s">
        <v>53</v>
      </c>
      <c r="U16" s="207" t="s">
        <v>53</v>
      </c>
      <c r="V16" s="110" t="s">
        <v>53</v>
      </c>
      <c r="W16" s="207" t="s">
        <v>53</v>
      </c>
    </row>
    <row r="17" spans="1:348" ht="93" customHeight="1" x14ac:dyDescent="0.2">
      <c r="A17" s="460" t="s">
        <v>1950</v>
      </c>
      <c r="B17" s="460" t="s">
        <v>2063</v>
      </c>
      <c r="C17" s="867"/>
      <c r="D17" s="461" t="s">
        <v>2069</v>
      </c>
      <c r="E17" s="460" t="s">
        <v>2070</v>
      </c>
      <c r="F17" s="114">
        <v>0.2</v>
      </c>
      <c r="G17" s="460">
        <v>0</v>
      </c>
      <c r="H17" s="114">
        <v>0.3</v>
      </c>
      <c r="I17" s="110">
        <v>0.3</v>
      </c>
      <c r="J17" s="114">
        <f>'Plan de Acción 2022'!R388</f>
        <v>0.6</v>
      </c>
      <c r="K17" s="114">
        <v>1</v>
      </c>
      <c r="L17" s="114">
        <f>('Plan de Acción 2022'!W388)</f>
        <v>0</v>
      </c>
      <c r="M17" s="388">
        <f>(L17*30%)/(J17-I17)</f>
        <v>0</v>
      </c>
      <c r="N17" s="114" t="s">
        <v>1682</v>
      </c>
      <c r="O17" s="114">
        <f>('Plan de Acción 2022'!AA388)</f>
        <v>0.2</v>
      </c>
      <c r="P17" s="207">
        <f>(O17*30%)/(J17-I17)</f>
        <v>0.2</v>
      </c>
      <c r="Q17" s="460" t="s">
        <v>2324</v>
      </c>
      <c r="R17" s="114">
        <f>('Plan de Acción 2022'!AD388)</f>
        <v>0</v>
      </c>
      <c r="S17" s="207">
        <f>(R17*30%)/(J17-I17)</f>
        <v>0</v>
      </c>
      <c r="T17" s="110"/>
      <c r="U17" s="114">
        <f>('Plan de Acción 2022'!AG388)</f>
        <v>0</v>
      </c>
      <c r="V17" s="207">
        <f>(U17*30%)/(J17-I17)</f>
        <v>0</v>
      </c>
      <c r="W17" s="208"/>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row>
    <row r="18" spans="1:348" s="100" customFormat="1" ht="173.25" x14ac:dyDescent="0.2">
      <c r="A18" s="461" t="s">
        <v>1950</v>
      </c>
      <c r="B18" s="461" t="s">
        <v>2063</v>
      </c>
      <c r="C18" s="867"/>
      <c r="D18" s="202" t="s">
        <v>2071</v>
      </c>
      <c r="E18" s="202" t="s">
        <v>2072</v>
      </c>
      <c r="F18" s="202"/>
      <c r="G18" s="110">
        <v>0</v>
      </c>
      <c r="H18" s="110">
        <v>0</v>
      </c>
      <c r="I18" s="110">
        <v>0</v>
      </c>
      <c r="J18" s="110">
        <v>0</v>
      </c>
      <c r="K18" s="110">
        <v>1</v>
      </c>
      <c r="L18" s="207"/>
      <c r="M18" s="110" t="s">
        <v>53</v>
      </c>
      <c r="N18" s="110" t="s">
        <v>53</v>
      </c>
      <c r="O18" s="110" t="s">
        <v>53</v>
      </c>
      <c r="P18" s="110" t="s">
        <v>53</v>
      </c>
      <c r="Q18" s="110" t="s">
        <v>53</v>
      </c>
      <c r="R18" s="110" t="s">
        <v>53</v>
      </c>
      <c r="S18" s="110" t="s">
        <v>53</v>
      </c>
      <c r="T18" s="207" t="s">
        <v>53</v>
      </c>
      <c r="U18" s="207" t="s">
        <v>53</v>
      </c>
      <c r="V18" s="110" t="s">
        <v>53</v>
      </c>
      <c r="W18" s="207" t="s">
        <v>53</v>
      </c>
    </row>
    <row r="19" spans="1:348" s="100" customFormat="1" ht="173.25" x14ac:dyDescent="0.2">
      <c r="A19" s="461" t="s">
        <v>1950</v>
      </c>
      <c r="B19" s="461" t="s">
        <v>2063</v>
      </c>
      <c r="C19" s="867"/>
      <c r="D19" s="202" t="s">
        <v>2073</v>
      </c>
      <c r="E19" s="202" t="s">
        <v>2074</v>
      </c>
      <c r="F19" s="202"/>
      <c r="G19" s="110">
        <v>0</v>
      </c>
      <c r="H19" s="110">
        <v>0</v>
      </c>
      <c r="I19" s="110">
        <v>0</v>
      </c>
      <c r="J19" s="110">
        <v>0</v>
      </c>
      <c r="K19" s="110">
        <v>1</v>
      </c>
      <c r="L19" s="207" t="s">
        <v>53</v>
      </c>
      <c r="M19" s="110" t="s">
        <v>53</v>
      </c>
      <c r="N19" s="207" t="s">
        <v>53</v>
      </c>
      <c r="O19" s="207" t="s">
        <v>53</v>
      </c>
      <c r="P19" s="110" t="s">
        <v>53</v>
      </c>
      <c r="Q19" s="207" t="s">
        <v>53</v>
      </c>
      <c r="R19" s="207" t="s">
        <v>53</v>
      </c>
      <c r="S19" s="110" t="s">
        <v>53</v>
      </c>
      <c r="T19" s="110" t="s">
        <v>53</v>
      </c>
      <c r="U19" s="207" t="s">
        <v>53</v>
      </c>
      <c r="V19" s="110" t="s">
        <v>53</v>
      </c>
      <c r="W19" s="110" t="s">
        <v>53</v>
      </c>
    </row>
    <row r="20" spans="1:348" s="100" customFormat="1" ht="174.75" customHeight="1" x14ac:dyDescent="0.2">
      <c r="A20" s="461" t="s">
        <v>1950</v>
      </c>
      <c r="B20" s="461" t="s">
        <v>2075</v>
      </c>
      <c r="C20" s="887" t="s">
        <v>2076</v>
      </c>
      <c r="D20" s="462" t="s">
        <v>1405</v>
      </c>
      <c r="E20" s="461" t="s">
        <v>1406</v>
      </c>
      <c r="F20" s="110">
        <v>0.43</v>
      </c>
      <c r="G20" s="461">
        <v>0</v>
      </c>
      <c r="H20" s="110">
        <v>1</v>
      </c>
      <c r="I20" s="110">
        <v>1</v>
      </c>
      <c r="J20" s="110">
        <f>'Plan de Acción 2022'!R389</f>
        <v>1</v>
      </c>
      <c r="K20" s="110">
        <v>1</v>
      </c>
      <c r="L20" s="110">
        <f>('Plan de Acción 2022'!W389+'Plan de Acción 2022'!W390+'Plan de Acción 2022'!W391+'Plan de Acción 2022'!W392)/4</f>
        <v>0.27500000000000002</v>
      </c>
      <c r="M20" s="207">
        <f>(L20*100%)/J20</f>
        <v>0.27500000000000002</v>
      </c>
      <c r="N20" s="110" t="s">
        <v>2077</v>
      </c>
      <c r="O20" s="110">
        <f>('Plan de Acción 2022'!AA389+'Plan de Acción 2022'!AA390+'Plan de Acción 2022'!AA391+'Plan de Acción 2022'!AA392)/4</f>
        <v>0.43000000000000005</v>
      </c>
      <c r="P20" s="207">
        <f>(O20*100%)</f>
        <v>0.43000000000000005</v>
      </c>
      <c r="Q20" s="110" t="s">
        <v>2371</v>
      </c>
      <c r="R20" s="110">
        <f>('Plan de Acción 2022'!AD389+'Plan de Acción 2022'!AD390+'Plan de Acción 2022'!AD391+'Plan de Acción 2022'!AD392)/4</f>
        <v>0</v>
      </c>
      <c r="S20" s="207">
        <f>(R20*100%)/J20</f>
        <v>0</v>
      </c>
      <c r="T20" s="110"/>
      <c r="U20" s="110">
        <f>('Plan de Acción 2022'!AG389+'Plan de Acción 2022'!AG390+'Plan de Acción 2022'!AG391+'Plan de Acción 2022'!AG392)/4</f>
        <v>0</v>
      </c>
      <c r="V20" s="207">
        <f>(U20*100%)/J20</f>
        <v>0</v>
      </c>
      <c r="W20" s="110">
        <f>('Plan de Acción 2022'!AI389+'Plan de Acción 2022'!AI390+'Plan de Acción 2022'!AI391+'Plan de Acción 2022'!AI392)/4</f>
        <v>0</v>
      </c>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row>
    <row r="21" spans="1:348" s="100" customFormat="1" ht="98.25" customHeight="1" x14ac:dyDescent="0.2">
      <c r="A21" s="461" t="s">
        <v>1950</v>
      </c>
      <c r="B21" s="461" t="s">
        <v>2075</v>
      </c>
      <c r="C21" s="887"/>
      <c r="D21" s="462" t="s">
        <v>2078</v>
      </c>
      <c r="E21" s="461" t="s">
        <v>1306</v>
      </c>
      <c r="F21" s="110">
        <v>0.31</v>
      </c>
      <c r="G21" s="461">
        <v>0</v>
      </c>
      <c r="H21" s="110">
        <v>1</v>
      </c>
      <c r="I21" s="110">
        <v>1</v>
      </c>
      <c r="J21" s="110">
        <f>'Plan de Acción 2022'!R392</f>
        <v>1</v>
      </c>
      <c r="K21" s="110">
        <v>1</v>
      </c>
      <c r="L21" s="110">
        <f>('Plan de Acción 2022'!W392+'Plan de Acción 2022'!W393+'Plan de Acción 2022'!W394+'Plan de Acción 2022'!W395+'Plan de Acción 2022'!W396+'Plan de Acción 2022'!W397+'Plan de Acción 2022'!W398+'Plan de Acción 2022'!W399+'Plan de Acción 2022'!W400+'Plan de Acción 2022'!W401+'Plan de Acción 2022'!W402+'Plan de Acción 2022'!W404)/12</f>
        <v>0.16250000000000001</v>
      </c>
      <c r="M21" s="207">
        <f t="shared" ref="M21:M22" si="0">(L21*100%)/J21</f>
        <v>0.16250000000000001</v>
      </c>
      <c r="N21" s="110" t="s">
        <v>2079</v>
      </c>
      <c r="O21" s="110">
        <f>('Plan de Acción 2022'!AA392+'Plan de Acción 2022'!AA393+'Plan de Acción 2022'!AA394+'Plan de Acción 2022'!AA395+'Plan de Acción 2022'!AA396+'Plan de Acción 2022'!AA397+'Plan de Acción 2022'!AA398+'Plan de Acción 2022'!AA399+'Plan de Acción 2022'!AA400+'Plan de Acción 2022'!AA401+'Plan de Acción 2022'!AA402+'Plan de Acción 2022'!AA404)/12</f>
        <v>0.31</v>
      </c>
      <c r="P21" s="207">
        <f>(O21*100%)</f>
        <v>0.31</v>
      </c>
      <c r="Q21" s="506" t="s">
        <v>2325</v>
      </c>
      <c r="R21" s="110">
        <f>('Plan de Acción 2022'!AD392+'Plan de Acción 2022'!AD393+'Plan de Acción 2022'!AD394+'Plan de Acción 2022'!AD395+'Plan de Acción 2022'!AD396+'Plan de Acción 2022'!AD397+'Plan de Acción 2022'!AD398+'Plan de Acción 2022'!AD399+'Plan de Acción 2022'!AD400+'Plan de Acción 2022'!AD401+'Plan de Acción 2022'!AD402+'Plan de Acción 2022'!AD404)/12</f>
        <v>0</v>
      </c>
      <c r="S21" s="207">
        <f t="shared" ref="S21:S24" si="1">(R21*100%)/J21</f>
        <v>0</v>
      </c>
      <c r="T21" s="110"/>
      <c r="U21" s="110">
        <f>('Plan de Acción 2022'!AG392+'Plan de Acción 2022'!AG393+'Plan de Acción 2022'!AG394+'Plan de Acción 2022'!AG395+'Plan de Acción 2022'!AG396+'Plan de Acción 2022'!AG397+'Plan de Acción 2022'!AG398+'Plan de Acción 2022'!AG399+'Plan de Acción 2022'!AG400+'Plan de Acción 2022'!AG401+'Plan de Acción 2022'!AG402+'Plan de Acción 2022'!AG404)/12</f>
        <v>0</v>
      </c>
      <c r="V21" s="207">
        <f t="shared" ref="V21:V24" si="2">(U21*100%)/J21</f>
        <v>0</v>
      </c>
      <c r="W21" s="117"/>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row>
    <row r="22" spans="1:348" s="100" customFormat="1" ht="128.25" customHeight="1" x14ac:dyDescent="0.2">
      <c r="A22" s="461" t="s">
        <v>1950</v>
      </c>
      <c r="B22" s="461" t="s">
        <v>2063</v>
      </c>
      <c r="C22" s="887" t="s">
        <v>2080</v>
      </c>
      <c r="D22" s="461" t="s">
        <v>2081</v>
      </c>
      <c r="E22" s="461" t="s">
        <v>1731</v>
      </c>
      <c r="F22" s="110">
        <v>0.2</v>
      </c>
      <c r="G22" s="461">
        <v>0</v>
      </c>
      <c r="H22" s="110">
        <v>1</v>
      </c>
      <c r="I22" s="115">
        <v>1</v>
      </c>
      <c r="J22" s="110">
        <f>'Plan de Acción 2022'!R393</f>
        <v>1</v>
      </c>
      <c r="K22" s="110">
        <v>1</v>
      </c>
      <c r="L22" s="110">
        <f>'Plan de Acción 2022'!W405</f>
        <v>0.2</v>
      </c>
      <c r="M22" s="207">
        <f t="shared" si="0"/>
        <v>0.2</v>
      </c>
      <c r="N22" s="110" t="s">
        <v>1732</v>
      </c>
      <c r="O22" s="110">
        <f>'Plan de Acción 2022'!AA405</f>
        <v>0.2</v>
      </c>
      <c r="P22" s="207">
        <f>(O22*100%)</f>
        <v>0.2</v>
      </c>
      <c r="Q22" s="110" t="str">
        <f>CONCATENATE('Plan de Acción 2022'!AB405)</f>
        <v>Actividad programada para el 2º semestre</v>
      </c>
      <c r="R22" s="110">
        <f>'Plan de Acción 2022'!AD405</f>
        <v>0</v>
      </c>
      <c r="S22" s="207">
        <f t="shared" si="1"/>
        <v>0</v>
      </c>
      <c r="T22" s="465"/>
      <c r="U22" s="110">
        <f>'Plan de Acción 2022'!AG405</f>
        <v>0</v>
      </c>
      <c r="V22" s="207">
        <f t="shared" si="2"/>
        <v>0</v>
      </c>
      <c r="W22" s="11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row>
    <row r="23" spans="1:348" s="100" customFormat="1" ht="109.5" customHeight="1" x14ac:dyDescent="0.2">
      <c r="A23" s="461" t="s">
        <v>1950</v>
      </c>
      <c r="B23" s="461" t="s">
        <v>2063</v>
      </c>
      <c r="C23" s="887"/>
      <c r="D23" s="461" t="s">
        <v>1734</v>
      </c>
      <c r="E23" s="461" t="s">
        <v>2082</v>
      </c>
      <c r="F23" s="110">
        <v>0.2</v>
      </c>
      <c r="G23" s="461">
        <v>0</v>
      </c>
      <c r="H23" s="110">
        <v>0.25</v>
      </c>
      <c r="I23" s="115">
        <v>0.25</v>
      </c>
      <c r="J23" s="203">
        <v>1</v>
      </c>
      <c r="K23" s="110">
        <v>1</v>
      </c>
      <c r="L23" s="110">
        <f>'Plan de Acción 2022'!W406</f>
        <v>0</v>
      </c>
      <c r="M23" s="388">
        <f>(L23*75%)/(J23-I23)</f>
        <v>0</v>
      </c>
      <c r="N23" s="110" t="s">
        <v>1736</v>
      </c>
      <c r="O23" s="110">
        <f>'Plan de Acción 2022'!AA406</f>
        <v>0.5</v>
      </c>
      <c r="P23" s="207">
        <f>(O23*75%)/(J23-I23)</f>
        <v>0.5</v>
      </c>
      <c r="Q23" s="110" t="s">
        <v>2326</v>
      </c>
      <c r="R23" s="110">
        <f>'Plan de Acción 2022'!AD406</f>
        <v>0</v>
      </c>
      <c r="S23" s="207">
        <f>(R23*75%)/(J23-I23)</f>
        <v>0</v>
      </c>
      <c r="T23" s="465"/>
      <c r="U23" s="110">
        <f>'Plan de Acción 2022'!AG406</f>
        <v>0</v>
      </c>
      <c r="V23" s="207">
        <f>(U23*75%)/(J23-I23)</f>
        <v>0</v>
      </c>
      <c r="W23" s="11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row>
    <row r="24" spans="1:348" s="100" customFormat="1" ht="167.25" customHeight="1" x14ac:dyDescent="0.2">
      <c r="A24" s="461" t="s">
        <v>1950</v>
      </c>
      <c r="B24" s="461" t="s">
        <v>2063</v>
      </c>
      <c r="C24" s="887"/>
      <c r="D24" s="462" t="s">
        <v>1338</v>
      </c>
      <c r="E24" s="461" t="s">
        <v>1340</v>
      </c>
      <c r="F24" s="510"/>
      <c r="G24" s="461">
        <v>0</v>
      </c>
      <c r="H24" s="110">
        <v>1</v>
      </c>
      <c r="I24" s="118">
        <v>1</v>
      </c>
      <c r="J24" s="110">
        <f>'Plan de Acción 2022'!R407</f>
        <v>1</v>
      </c>
      <c r="K24" s="110">
        <v>1</v>
      </c>
      <c r="L24" s="110">
        <f>('Plan de Acción 2022'!W407+'Plan de Acción 2022'!W408)/2</f>
        <v>0.57499999999999996</v>
      </c>
      <c r="M24" s="207">
        <f>(L24*100%)/J24</f>
        <v>0.57499999999999996</v>
      </c>
      <c r="N24" s="110" t="s">
        <v>1739</v>
      </c>
      <c r="O24" s="110">
        <f>('Plan de Acción 2022'!AA407+'Plan de Acción 2022'!AA408)/2</f>
        <v>0.5</v>
      </c>
      <c r="P24" s="207">
        <f>(O24*100%)/J24</f>
        <v>0.5</v>
      </c>
      <c r="Q24" s="506" t="s">
        <v>2372</v>
      </c>
      <c r="R24" s="110">
        <f>('Plan de Acción 2022'!AD407+'Plan de Acción 2022'!AD408)/2</f>
        <v>0</v>
      </c>
      <c r="S24" s="207">
        <f t="shared" si="1"/>
        <v>0</v>
      </c>
      <c r="T24" s="118"/>
      <c r="U24" s="110">
        <f>('Plan de Acción 2022'!AG407+'Plan de Acción 2022'!AG408)/2</f>
        <v>0</v>
      </c>
      <c r="V24" s="207">
        <f t="shared" si="2"/>
        <v>0</v>
      </c>
      <c r="W24" s="119"/>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row>
    <row r="25" spans="1:348" s="100" customFormat="1" ht="89.25" customHeight="1" x14ac:dyDescent="0.2">
      <c r="A25" s="461" t="s">
        <v>1950</v>
      </c>
      <c r="B25" s="461" t="s">
        <v>2063</v>
      </c>
      <c r="C25" s="887"/>
      <c r="D25" s="461" t="s">
        <v>2083</v>
      </c>
      <c r="E25" s="461" t="s">
        <v>2084</v>
      </c>
      <c r="F25" s="110">
        <v>0.4</v>
      </c>
      <c r="G25" s="461">
        <v>0</v>
      </c>
      <c r="H25" s="110">
        <v>0.25</v>
      </c>
      <c r="I25" s="115">
        <v>0.25</v>
      </c>
      <c r="J25" s="110">
        <f>'Plan de Acción 2022'!R409</f>
        <v>0.5</v>
      </c>
      <c r="K25" s="110">
        <v>1</v>
      </c>
      <c r="L25" s="110">
        <f>'Plan de Acción 2022'!W409</f>
        <v>0.1</v>
      </c>
      <c r="M25" s="207">
        <f>(L25*25%)/(J25-I25)</f>
        <v>0.1</v>
      </c>
      <c r="N25" s="110" t="s">
        <v>1747</v>
      </c>
      <c r="O25" s="110">
        <f>'Plan de Acción 2022'!AA409</f>
        <v>0.4</v>
      </c>
      <c r="P25" s="207">
        <f>(O25*25%)/(J25-I25)</f>
        <v>0.4</v>
      </c>
      <c r="Q25" s="506" t="s">
        <v>2327</v>
      </c>
      <c r="R25" s="110">
        <f>'Plan de Acción 2022'!AD409</f>
        <v>0</v>
      </c>
      <c r="S25" s="207">
        <f>(R25*25%)/(J25-I25)</f>
        <v>0</v>
      </c>
      <c r="T25" s="465"/>
      <c r="U25" s="110">
        <f>'Plan de Acción 2022'!AG409</f>
        <v>0</v>
      </c>
      <c r="V25" s="207">
        <f>(U25*25%)/(J25-I25)</f>
        <v>0</v>
      </c>
      <c r="W25" s="11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row>
    <row r="26" spans="1:348" s="100" customFormat="1" ht="229.5" customHeight="1" x14ac:dyDescent="0.2">
      <c r="A26" s="461" t="s">
        <v>1950</v>
      </c>
      <c r="B26" s="461" t="s">
        <v>2063</v>
      </c>
      <c r="C26" s="887"/>
      <c r="D26" s="462" t="s">
        <v>2085</v>
      </c>
      <c r="E26" s="461" t="s">
        <v>2086</v>
      </c>
      <c r="F26" s="110">
        <v>0.35</v>
      </c>
      <c r="G26" s="461">
        <v>0</v>
      </c>
      <c r="H26" s="110">
        <v>0.25</v>
      </c>
      <c r="I26" s="115">
        <v>0.21</v>
      </c>
      <c r="J26" s="110">
        <f>'Plan de Acción 2022'!R410</f>
        <v>1</v>
      </c>
      <c r="K26" s="110">
        <v>1</v>
      </c>
      <c r="L26" s="110">
        <f>('Plan de Acción 2022'!W410+'Plan de Acción 2022'!W411)/2</f>
        <v>0</v>
      </c>
      <c r="M26" s="207">
        <f>(L26*29%)/(J26-I26)</f>
        <v>0</v>
      </c>
      <c r="N26" s="110" t="s">
        <v>2087</v>
      </c>
      <c r="O26" s="110">
        <f>('Plan de Acción 2022'!AA410+'Plan de Acción 2022'!AA411)/2</f>
        <v>0.35</v>
      </c>
      <c r="P26" s="207">
        <f>(O26*79%)/(J26-I26)</f>
        <v>0.34999999999999992</v>
      </c>
      <c r="Q26" s="506" t="s">
        <v>2329</v>
      </c>
      <c r="R26" s="110">
        <f>('Plan de Acción 2022'!AD410+'Plan de Acción 2022'!AD411)/2</f>
        <v>0</v>
      </c>
      <c r="S26" s="207">
        <f>(R26*29%)/(J26-I26)</f>
        <v>0</v>
      </c>
      <c r="T26" s="465"/>
      <c r="U26" s="110">
        <f>('Plan de Acción 2022'!AG410+'Plan de Acción 2022'!AG411)/2</f>
        <v>0</v>
      </c>
      <c r="V26" s="207">
        <f>(U26*29%)/(J26-I26)</f>
        <v>0</v>
      </c>
      <c r="W26" s="11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row>
    <row r="27" spans="1:348" s="100" customFormat="1" ht="141" customHeight="1" x14ac:dyDescent="0.2">
      <c r="A27" s="461" t="s">
        <v>1950</v>
      </c>
      <c r="B27" s="113" t="s">
        <v>2088</v>
      </c>
      <c r="C27" s="888" t="s">
        <v>2089</v>
      </c>
      <c r="D27" s="461" t="s">
        <v>1314</v>
      </c>
      <c r="E27" s="461" t="s">
        <v>1316</v>
      </c>
      <c r="F27" s="110">
        <v>0.3</v>
      </c>
      <c r="G27" s="462" t="s">
        <v>2090</v>
      </c>
      <c r="H27" s="110">
        <v>0.25</v>
      </c>
      <c r="I27" s="110">
        <v>0.25</v>
      </c>
      <c r="J27" s="110">
        <f>'Plan de Acción 2022'!R413</f>
        <v>0.5</v>
      </c>
      <c r="K27" s="461">
        <v>40</v>
      </c>
      <c r="L27" s="110">
        <f>('Plan de Acción 2022'!W413+'Plan de Acción 2022'!W414+'Plan de Acción 2022'!W415+'Plan de Acción 2022'!W416)/4</f>
        <v>0.1</v>
      </c>
      <c r="M27" s="207">
        <f>(L27*25%)/(J27-I27)</f>
        <v>0.1</v>
      </c>
      <c r="N27" s="461" t="s">
        <v>2091</v>
      </c>
      <c r="O27" s="110">
        <f>('Plan de Acción 2022'!AA413+'Plan de Acción 2022'!AA414+'Plan de Acción 2022'!AA415+'Plan de Acción 2022'!AA416)/4</f>
        <v>0.28749999999999998</v>
      </c>
      <c r="P27" s="207">
        <f>(O27*25%)/(J27-I27)</f>
        <v>0.28749999999999998</v>
      </c>
      <c r="Q27" s="462" t="s">
        <v>2330</v>
      </c>
      <c r="R27" s="110">
        <f>('Plan de Acción 2022'!AD413+'Plan de Acción 2022'!AD414+'Plan de Acción 2022'!AD415+'Plan de Acción 2022'!AD416)/4</f>
        <v>0</v>
      </c>
      <c r="S27" s="207">
        <f>(R27*25%)/(J27-I27)</f>
        <v>0</v>
      </c>
      <c r="T27" s="110"/>
      <c r="U27" s="110">
        <f>('Plan de Acción 2022'!AG413+'Plan de Acción 2022'!AG414+'Plan de Acción 2022'!AG415+'Plan de Acción 2022'!AG416)/4</f>
        <v>0</v>
      </c>
      <c r="V27" s="207">
        <f>(U27*25%)/(J27-I27)</f>
        <v>0</v>
      </c>
      <c r="W27" s="117"/>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row>
    <row r="28" spans="1:348" s="100" customFormat="1" ht="143.25" customHeight="1" x14ac:dyDescent="0.2">
      <c r="A28" s="461" t="s">
        <v>1948</v>
      </c>
      <c r="B28" s="113" t="s">
        <v>1948</v>
      </c>
      <c r="C28" s="888"/>
      <c r="D28" s="461" t="s">
        <v>1780</v>
      </c>
      <c r="E28" s="461" t="s">
        <v>1782</v>
      </c>
      <c r="F28" s="510">
        <v>32</v>
      </c>
      <c r="G28" s="461">
        <v>22</v>
      </c>
      <c r="H28" s="211">
        <v>0.4</v>
      </c>
      <c r="I28" s="302">
        <v>0.41</v>
      </c>
      <c r="J28" s="211">
        <f>'Plan de Acción 2022'!R417</f>
        <v>0.5</v>
      </c>
      <c r="K28" s="211">
        <v>0.65</v>
      </c>
      <c r="L28" s="110">
        <f>('Plan de Acción 2022'!W417+'Plan de Acción 2022'!W418+'Plan de Acción 2022'!W419+'Plan de Acción 2022'!W420+'Plan de Acción 2022'!W421+'Plan de Acción 2022'!W423+'Plan de Acción 2022'!W424+'Plan de Acción 2022'!W425+'Plan de Acción 2022'!W426+'Plan de Acción 2022'!W427+'Plan de Acción 2022'!W428+'Plan de Acción 2022'!W429+'Plan de Acción 2022'!W430+'Plan de Acción 2022'!W431+'Plan de Acción 2022'!W432+'Plan de Acción 2022'!W433+'Plan de Acción 2022'!W435+'Plan de Acción 2022'!W436+'Plan de Acción 2022'!W437+'Plan de Acción 2022'!W438+'Plan de Acción 2022'!W439+'Plan de Acción 2022'!W440+'Plan de Acción 2022'!W441+'Plan de Acción 2022'!W442+'Plan de Acción 2022'!W443+'Plan de Acción 2022'!W444+'Plan de Acción 2022'!W445+'Plan de Acción 2022'!W446+'Plan de Acción 2022'!W447+'Plan de Acción 2022'!W448+'Plan de Acción 2022'!W449+'Plan de Acción 2022'!W450+'Plan de Acción 2022'!W451)/33</f>
        <v>0.1878787878787879</v>
      </c>
      <c r="M28" s="207">
        <f>(L28*9%)/(J28-I28)</f>
        <v>0.18787878787878781</v>
      </c>
      <c r="N28" s="110" t="s">
        <v>2092</v>
      </c>
      <c r="O28" s="110">
        <f>('Plan de Acción 2022'!AA417+'Plan de Acción 2022'!AA418+'Plan de Acción 2022'!AA419+'Plan de Acción 2022'!AA420+'Plan de Acción 2022'!AA421+'Plan de Acción 2022'!AA423+'Plan de Acción 2022'!AA424+'Plan de Acción 2022'!AA425+'Plan de Acción 2022'!AA426+'Plan de Acción 2022'!AA427+'Plan de Acción 2022'!AA428+'Plan de Acción 2022'!AA429+'Plan de Acción 2022'!AA430+'Plan de Acción 2022'!AA431+'Plan de Acción 2022'!AA432+'Plan de Acción 2022'!AA433+'Plan de Acción 2022'!AA435+'Plan de Acción 2022'!AA436+'Plan de Acción 2022'!AA437+'Plan de Acción 2022'!AA438+'Plan de Acción 2022'!AA439+'Plan de Acción 2022'!AA440+'Plan de Acción 2022'!AA441+'Plan de Acción 2022'!AA442+'Plan de Acción 2022'!AA443+'Plan de Acción 2022'!AA444+'Plan de Acción 2022'!AA445+'Plan de Acción 2022'!AA446+'Plan de Acción 2022'!AA447+'Plan de Acción 2022'!AA448+'Plan de Acción 2022'!AA449+'Plan de Acción 2022'!AA450+'Plan de Acción 2022'!AA451)/33</f>
        <v>0.32424242424242422</v>
      </c>
      <c r="P28" s="207">
        <f>(O28*9%)/(J28-I28)</f>
        <v>0.32424242424242411</v>
      </c>
      <c r="Q28" s="110" t="s">
        <v>2092</v>
      </c>
      <c r="R28" s="110">
        <f>('Plan de Acción 2022'!AD417+'Plan de Acción 2022'!AD418+'Plan de Acción 2022'!AD419+'Plan de Acción 2022'!AD420+'Plan de Acción 2022'!AD421+'Plan de Acción 2022'!AD423+'Plan de Acción 2022'!AD424+'Plan de Acción 2022'!AD425+'Plan de Acción 2022'!AD426+'Plan de Acción 2022'!AD427+'Plan de Acción 2022'!AD428+'Plan de Acción 2022'!AD429+'Plan de Acción 2022'!AD430+'Plan de Acción 2022'!AD431+'Plan de Acción 2022'!AD432+'Plan de Acción 2022'!AD433+'Plan de Acción 2022'!AD435+'Plan de Acción 2022'!AD436+'Plan de Acción 2022'!AD437+'Plan de Acción 2022'!AD438+'Plan de Acción 2022'!AD439+'Plan de Acción 2022'!AD440+'Plan de Acción 2022'!AD441+'Plan de Acción 2022'!AD442+'Plan de Acción 2022'!AD443+'Plan de Acción 2022'!AD444+'Plan de Acción 2022'!AD445+'Plan de Acción 2022'!AD446+'Plan de Acción 2022'!AD447+'Plan de Acción 2022'!AD448+'Plan de Acción 2022'!AD449+'Plan de Acción 2022'!AD450+'Plan de Acción 2022'!AD451)/33</f>
        <v>0</v>
      </c>
      <c r="S28" s="207">
        <f t="shared" ref="S28" si="3">(R28*100%)/(J28-I28)</f>
        <v>0</v>
      </c>
      <c r="T28" s="120"/>
      <c r="U28" s="110">
        <f>('Plan de Acción 2022'!AG417+'Plan de Acción 2022'!AG418+'Plan de Acción 2022'!AG419+'Plan de Acción 2022'!AG420+'Plan de Acción 2022'!AG421+'Plan de Acción 2022'!AG423+'Plan de Acción 2022'!AG424+'Plan de Acción 2022'!AG425+'Plan de Acción 2022'!AG426+'Plan de Acción 2022'!AG427+'Plan de Acción 2022'!AG428+'Plan de Acción 2022'!AG429+'Plan de Acción 2022'!AG430+'Plan de Acción 2022'!AG431+'Plan de Acción 2022'!AG432+'Plan de Acción 2022'!AG433+'Plan de Acción 2022'!AG435+'Plan de Acción 2022'!AG436+'Plan de Acción 2022'!AG437+'Plan de Acción 2022'!AG438+'Plan de Acción 2022'!AG439+'Plan de Acción 2022'!AG440+'Plan de Acción 2022'!AG441+'Plan de Acción 2022'!AG442+'Plan de Acción 2022'!AG443+'Plan de Acción 2022'!AG444+'Plan de Acción 2022'!AG445+'Plan de Acción 2022'!AG446+'Plan de Acción 2022'!AG447+'Plan de Acción 2022'!AG448+'Plan de Acción 2022'!AG449+'Plan de Acción 2022'!AG450+'Plan de Acción 2022'!AG451)/33</f>
        <v>0</v>
      </c>
      <c r="V28" s="207">
        <f t="shared" ref="V28" si="4">(U28*100%)/(J28-I28)</f>
        <v>0</v>
      </c>
      <c r="W28" s="303"/>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row>
    <row r="29" spans="1:348" s="100" customFormat="1" ht="72.75" customHeight="1" x14ac:dyDescent="0.2">
      <c r="A29" s="461" t="s">
        <v>1950</v>
      </c>
      <c r="B29" s="113" t="s">
        <v>2088</v>
      </c>
      <c r="C29" s="888"/>
      <c r="D29" s="461" t="s">
        <v>1842</v>
      </c>
      <c r="E29" s="461" t="s">
        <v>2093</v>
      </c>
      <c r="F29" s="110">
        <v>0.35</v>
      </c>
      <c r="G29" s="461">
        <v>1</v>
      </c>
      <c r="H29" s="461">
        <v>3</v>
      </c>
      <c r="I29" s="110">
        <v>0.03</v>
      </c>
      <c r="J29" s="110">
        <f>'Plan de Acción 2022'!R452</f>
        <v>0.05</v>
      </c>
      <c r="K29" s="110">
        <v>0.1</v>
      </c>
      <c r="L29" s="110">
        <f>('Plan de Acción 2022'!W452)</f>
        <v>0</v>
      </c>
      <c r="M29" s="388">
        <f>(L29*2%)/(J29-I29)</f>
        <v>0</v>
      </c>
      <c r="N29" s="461" t="s">
        <v>1754</v>
      </c>
      <c r="O29" s="110">
        <f>('Plan de Acción 2022'!AA452)</f>
        <v>0.35</v>
      </c>
      <c r="P29" s="207">
        <f>(O29*2%)/(J29-I29)</f>
        <v>0.34999999999999992</v>
      </c>
      <c r="Q29" s="120" t="s">
        <v>2331</v>
      </c>
      <c r="R29" s="110">
        <f>('Plan de Acción 2022'!AD452)</f>
        <v>0</v>
      </c>
      <c r="S29" s="207">
        <f>(R29*9%)/(J29-I29)</f>
        <v>0</v>
      </c>
      <c r="T29" s="110"/>
      <c r="U29" s="110">
        <f>('Plan de Acción 2022'!AG452)</f>
        <v>0</v>
      </c>
      <c r="V29" s="207">
        <f>(U29*9%)/(J29-I29)</f>
        <v>0</v>
      </c>
      <c r="W29" s="117"/>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row>
    <row r="30" spans="1:348" s="100" customFormat="1" ht="84.75" customHeight="1" x14ac:dyDescent="0.2">
      <c r="A30" s="461" t="s">
        <v>1950</v>
      </c>
      <c r="B30" s="113" t="s">
        <v>2088</v>
      </c>
      <c r="C30" s="888"/>
      <c r="D30" s="461" t="s">
        <v>1845</v>
      </c>
      <c r="E30" s="461" t="s">
        <v>1847</v>
      </c>
      <c r="F30" s="110">
        <v>0.5</v>
      </c>
      <c r="G30" s="461">
        <v>0</v>
      </c>
      <c r="H30" s="121">
        <v>1</v>
      </c>
      <c r="I30" s="110">
        <v>1</v>
      </c>
      <c r="J30" s="121">
        <f>'Plan de Acción 2022'!R453</f>
        <v>1</v>
      </c>
      <c r="K30" s="110">
        <v>1</v>
      </c>
      <c r="L30" s="110">
        <f>('Plan de Acción 2022'!W453+'Plan de Acción 2022'!W454+'Plan de Acción 2022'!W455)/3</f>
        <v>0.18333333333333335</v>
      </c>
      <c r="M30" s="207">
        <f t="shared" ref="M30" si="5">(L30*100%)/J30</f>
        <v>0.18333333333333335</v>
      </c>
      <c r="N30" s="110" t="s">
        <v>2094</v>
      </c>
      <c r="O30" s="110">
        <f>('Plan de Acción 2022'!AA453+'Plan de Acción 2022'!AA454+'Plan de Acción 2022'!AA455)/3</f>
        <v>0.5</v>
      </c>
      <c r="P30" s="207">
        <f>(O30*100%)</f>
        <v>0.5</v>
      </c>
      <c r="Q30" s="110" t="s">
        <v>2333</v>
      </c>
      <c r="R30" s="110">
        <f>('Plan de Acción 2022'!AD453+'Plan de Acción 2022'!AD454+'Plan de Acción 2022'!AD455)/3</f>
        <v>0</v>
      </c>
      <c r="S30" s="207">
        <f t="shared" ref="S30" si="6">(R30*100%)/J30</f>
        <v>0</v>
      </c>
      <c r="T30" s="465"/>
      <c r="U30" s="110">
        <f>('Plan de Acción 2022'!AG453+'Plan de Acción 2022'!AG454+'Plan de Acción 2022'!AG455)/3</f>
        <v>0</v>
      </c>
      <c r="V30" s="207">
        <f t="shared" ref="V30" si="7">(U30*100%)/J30</f>
        <v>0</v>
      </c>
      <c r="W30" s="11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row>
    <row r="31" spans="1:348" s="100" customFormat="1" ht="69" customHeight="1" x14ac:dyDescent="0.2">
      <c r="A31" s="461" t="s">
        <v>1950</v>
      </c>
      <c r="B31" s="113" t="s">
        <v>2088</v>
      </c>
      <c r="C31" s="888" t="s">
        <v>2095</v>
      </c>
      <c r="D31" s="461" t="s">
        <v>1860</v>
      </c>
      <c r="E31" s="461" t="s">
        <v>1415</v>
      </c>
      <c r="F31" s="110">
        <v>0.5</v>
      </c>
      <c r="G31" s="461">
        <v>0</v>
      </c>
      <c r="H31" s="121" t="s">
        <v>2096</v>
      </c>
      <c r="I31" s="110">
        <v>0.2</v>
      </c>
      <c r="J31" s="121">
        <f>'Plan de Acción 2022'!R456</f>
        <v>0.5</v>
      </c>
      <c r="K31" s="461">
        <v>4</v>
      </c>
      <c r="L31" s="110">
        <f>'Plan de Acción 2022'!W456</f>
        <v>0.08</v>
      </c>
      <c r="M31" s="388">
        <f>(L31*30%)/(J31-I31)</f>
        <v>0.08</v>
      </c>
      <c r="N31" s="461" t="s">
        <v>1863</v>
      </c>
      <c r="O31" s="110">
        <f>'Plan de Acción 2022'!AA456</f>
        <v>0.6</v>
      </c>
      <c r="P31" s="207">
        <f>(O31*30%)/(J31-I31)</f>
        <v>0.6</v>
      </c>
      <c r="Q31" s="461" t="s">
        <v>1864</v>
      </c>
      <c r="R31" s="110">
        <f>'Plan de Acción 2022'!AD456</f>
        <v>0</v>
      </c>
      <c r="S31" s="207">
        <f>(R31*30%)/(J31-I31)</f>
        <v>0</v>
      </c>
      <c r="T31" s="461"/>
      <c r="U31" s="110">
        <f>'Plan de Acción 2022'!AG456</f>
        <v>0</v>
      </c>
      <c r="V31" s="207">
        <f>(U31*30%)/(J31-I31)</f>
        <v>0</v>
      </c>
      <c r="W31" s="122"/>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row>
    <row r="32" spans="1:348" s="100" customFormat="1" ht="91.5" customHeight="1" thickBot="1" x14ac:dyDescent="0.25">
      <c r="A32" s="123" t="s">
        <v>1950</v>
      </c>
      <c r="B32" s="124" t="s">
        <v>2088</v>
      </c>
      <c r="C32" s="889"/>
      <c r="D32" s="123" t="s">
        <v>1757</v>
      </c>
      <c r="E32" s="123" t="s">
        <v>2097</v>
      </c>
      <c r="F32" s="172">
        <v>0.1</v>
      </c>
      <c r="G32" s="123">
        <v>0</v>
      </c>
      <c r="H32" s="125" t="s">
        <v>2096</v>
      </c>
      <c r="I32" s="80">
        <v>0</v>
      </c>
      <c r="J32" s="172">
        <v>0.5</v>
      </c>
      <c r="K32" s="123">
        <v>4</v>
      </c>
      <c r="L32" s="172">
        <f>('Plan de Acción 2022'!W412)</f>
        <v>0.1</v>
      </c>
      <c r="M32" s="219">
        <f>(L32*50%)/(J32-I32)</f>
        <v>0.1</v>
      </c>
      <c r="N32" s="123" t="s">
        <v>2098</v>
      </c>
      <c r="O32" s="172">
        <f>('Plan de Acción 2022'!AA412)</f>
        <v>0.2</v>
      </c>
      <c r="P32" s="219">
        <f>(O32*50%)/(J32-I32)</f>
        <v>0.2</v>
      </c>
      <c r="Q32" s="123" t="s">
        <v>1763</v>
      </c>
      <c r="R32" s="172">
        <f>('Plan de Acción 2022'!AD412)</f>
        <v>0</v>
      </c>
      <c r="S32" s="219">
        <f>(R32*50%)/(J32-I32)</f>
        <v>0</v>
      </c>
      <c r="T32" s="123"/>
      <c r="U32" s="172">
        <f>('Plan de Acción 2022'!AG412)</f>
        <v>0</v>
      </c>
      <c r="V32" s="219">
        <f>(U32*50%)/(J32-I32)</f>
        <v>0</v>
      </c>
      <c r="W32" s="12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row>
    <row r="33" spans="1:46" ht="69" customHeight="1" thickBot="1" x14ac:dyDescent="0.25">
      <c r="A33" s="884"/>
      <c r="B33" s="885"/>
      <c r="C33" s="885"/>
      <c r="D33" s="885"/>
      <c r="E33" s="885"/>
      <c r="F33" s="885"/>
      <c r="G33" s="885"/>
      <c r="H33" s="886"/>
      <c r="I33" s="459"/>
      <c r="J33" s="221"/>
      <c r="K33" s="221"/>
      <c r="L33" s="222" t="s">
        <v>2099</v>
      </c>
      <c r="M33" s="223">
        <f>AVERAGE(M7:M15,M17,M20:M32)</f>
        <v>0.21724630689771865</v>
      </c>
      <c r="N33" s="222"/>
      <c r="O33" s="222" t="s">
        <v>2100</v>
      </c>
      <c r="P33" s="223">
        <f>AVERAGE(P7:P15,P17,P20:P32)</f>
        <v>0.40187462064521645</v>
      </c>
      <c r="Q33" s="224"/>
      <c r="R33" s="222" t="s">
        <v>2101</v>
      </c>
      <c r="S33" s="223">
        <f>AVERAGE(S7:S15,S17,S20:S32)</f>
        <v>0</v>
      </c>
      <c r="T33" s="224"/>
      <c r="U33" s="222" t="s">
        <v>2102</v>
      </c>
      <c r="V33" s="223">
        <f>AVERAGE(V7:V15,V17,V20:V32)</f>
        <v>0</v>
      </c>
      <c r="W33" s="226">
        <f>AVERAGE(W34:W35)/2</f>
        <v>0.32468307936936208</v>
      </c>
    </row>
    <row r="34" spans="1:46" ht="25.5" x14ac:dyDescent="0.2">
      <c r="A34" s="96"/>
      <c r="H34" s="127"/>
      <c r="I34" s="127"/>
      <c r="J34" s="127"/>
      <c r="K34" s="127"/>
      <c r="L34" s="220" t="s">
        <v>1948</v>
      </c>
      <c r="M34" s="107">
        <f>AVERAGE(M7+M8+M9+M10+M11+M12+M13+M14+M28)/9</f>
        <v>0.35342574725713294</v>
      </c>
      <c r="N34" s="107"/>
      <c r="O34" s="107"/>
      <c r="P34" s="107">
        <f>AVERAGE(P7+P8+P9+P10+P11+P12+P13+P14+P28)/9</f>
        <v>0.43506847498222012</v>
      </c>
      <c r="Q34" s="107"/>
      <c r="R34" s="107"/>
      <c r="S34" s="107">
        <f>AVERAGE(S7+S8+S9+S10+S11+S12+S13+S14+S28)/9</f>
        <v>0</v>
      </c>
      <c r="T34" s="107"/>
      <c r="U34" s="107"/>
      <c r="V34" s="107">
        <f>AVERAGE(V7+V8+V9+V10+V11+V12+V13+V14+V28)/9</f>
        <v>0</v>
      </c>
      <c r="W34" s="217">
        <f>AVERAGE(M34+P34+S34+V34)</f>
        <v>0.78849422223935306</v>
      </c>
    </row>
    <row r="35" spans="1:46" ht="89.25" x14ac:dyDescent="0.2">
      <c r="A35" s="96"/>
      <c r="D35" s="127"/>
      <c r="H35" s="127"/>
      <c r="I35" s="127"/>
      <c r="J35" s="127"/>
      <c r="K35" s="127"/>
      <c r="L35" s="215" t="s">
        <v>2103</v>
      </c>
      <c r="M35" s="114">
        <f>AVERAGE(M15+M17+M20+M21+M22+M23+M24+M25+M26+M27+M29+M30+M31+M32)/14</f>
        <v>0.12970238095238099</v>
      </c>
      <c r="N35" s="114"/>
      <c r="O35" s="114"/>
      <c r="P35" s="114">
        <f>AVERAGE(P15+P17+P20+P21+P22+P23+P24+P25+P26+P27+P29+P30+P31+P32)/14</f>
        <v>0.38053571428571425</v>
      </c>
      <c r="Q35" s="114"/>
      <c r="R35" s="114"/>
      <c r="S35" s="114">
        <f>AVERAGE(S15+S17+S20+S21+S22+S23+S24+S25+S26+S27+S29+S30+S31+S32)/14</f>
        <v>0</v>
      </c>
      <c r="T35" s="114"/>
      <c r="U35" s="114"/>
      <c r="V35" s="114">
        <f>AVERAGE(V15+V17+V20+V21+V22+V23+V24+V25+V26+V27+V29+V30+V31+V32)/14</f>
        <v>0</v>
      </c>
      <c r="W35" s="114">
        <f>AVERAGE(M35+P35+S35+V35)</f>
        <v>0.51023809523809527</v>
      </c>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row>
    <row r="36" spans="1:46" ht="16.5" thickBot="1" x14ac:dyDescent="0.25"/>
    <row r="37" spans="1:46" s="336" customFormat="1" ht="13.9" customHeight="1" thickTop="1" x14ac:dyDescent="0.2">
      <c r="A37" s="847" t="s">
        <v>1926</v>
      </c>
      <c r="B37" s="848"/>
      <c r="C37" s="848"/>
      <c r="D37" s="848"/>
      <c r="E37" s="848"/>
      <c r="F37" s="848"/>
      <c r="G37" s="848"/>
      <c r="H37" s="848"/>
      <c r="I37" s="848"/>
      <c r="J37" s="849"/>
      <c r="K37" s="853" t="s">
        <v>1927</v>
      </c>
      <c r="L37" s="854"/>
      <c r="M37" s="854"/>
      <c r="N37" s="854"/>
      <c r="O37" s="854"/>
      <c r="P37" s="854"/>
      <c r="Q37" s="854"/>
      <c r="R37" s="855"/>
      <c r="S37" s="853" t="s">
        <v>1928</v>
      </c>
      <c r="T37" s="859"/>
      <c r="U37" s="847" t="s">
        <v>1929</v>
      </c>
      <c r="V37" s="848"/>
      <c r="W37" s="848"/>
      <c r="X37" s="848"/>
      <c r="Y37" s="861"/>
      <c r="Z37" s="842">
        <v>1</v>
      </c>
      <c r="AA37" s="335"/>
      <c r="AD37" s="335"/>
      <c r="AG37" s="335"/>
    </row>
    <row r="38" spans="1:46" s="336" customFormat="1" ht="13.15" customHeight="1" thickBot="1" x14ac:dyDescent="0.25">
      <c r="A38" s="850"/>
      <c r="B38" s="851"/>
      <c r="C38" s="851"/>
      <c r="D38" s="851"/>
      <c r="E38" s="851"/>
      <c r="F38" s="851"/>
      <c r="G38" s="851"/>
      <c r="H38" s="851"/>
      <c r="I38" s="851"/>
      <c r="J38" s="852"/>
      <c r="K38" s="856"/>
      <c r="L38" s="857"/>
      <c r="M38" s="857"/>
      <c r="N38" s="857"/>
      <c r="O38" s="857"/>
      <c r="P38" s="857"/>
      <c r="Q38" s="857"/>
      <c r="R38" s="858"/>
      <c r="S38" s="856"/>
      <c r="T38" s="860"/>
      <c r="U38" s="850"/>
      <c r="V38" s="851"/>
      <c r="W38" s="851"/>
      <c r="X38" s="851"/>
      <c r="Y38" s="862"/>
      <c r="Z38" s="843"/>
      <c r="AA38" s="335"/>
      <c r="AD38" s="335"/>
      <c r="AG38" s="335"/>
    </row>
    <row r="39" spans="1:46" x14ac:dyDescent="0.2">
      <c r="H39" s="127"/>
      <c r="I39" s="127"/>
      <c r="J39" s="127"/>
      <c r="K39" s="127"/>
      <c r="L39" s="127"/>
      <c r="M39" s="127"/>
      <c r="N39" s="127"/>
    </row>
    <row r="40" spans="1:46" x14ac:dyDescent="0.2">
      <c r="H40" s="127"/>
      <c r="I40" s="127"/>
      <c r="J40" s="127"/>
      <c r="K40" s="127"/>
      <c r="L40" s="127"/>
      <c r="M40" s="127"/>
      <c r="N40" s="127"/>
      <c r="O40" s="128"/>
    </row>
    <row r="41" spans="1:46" x14ac:dyDescent="0.2">
      <c r="H41" s="127"/>
      <c r="I41" s="127"/>
      <c r="J41" s="127"/>
      <c r="K41" s="127"/>
      <c r="L41" s="127"/>
      <c r="M41" s="127"/>
      <c r="N41" s="127"/>
      <c r="O41" s="128"/>
    </row>
  </sheetData>
  <mergeCells count="25">
    <mergeCell ref="A37:J38"/>
    <mergeCell ref="K37:R38"/>
    <mergeCell ref="S37:T38"/>
    <mergeCell ref="U37:Y38"/>
    <mergeCell ref="Z37:Z38"/>
    <mergeCell ref="A33:H33"/>
    <mergeCell ref="C15:C19"/>
    <mergeCell ref="C20:C21"/>
    <mergeCell ref="C22:C26"/>
    <mergeCell ref="C27:C30"/>
    <mergeCell ref="C31:C32"/>
    <mergeCell ref="AC4:AH4"/>
    <mergeCell ref="AI4:AN4"/>
    <mergeCell ref="AO4:AT4"/>
    <mergeCell ref="C6:C7"/>
    <mergeCell ref="C8:C10"/>
    <mergeCell ref="L4:N4"/>
    <mergeCell ref="A4:K4"/>
    <mergeCell ref="C11:C14"/>
    <mergeCell ref="A1:W1"/>
    <mergeCell ref="A2:W2"/>
    <mergeCell ref="A3:W3"/>
    <mergeCell ref="O4:Q4"/>
    <mergeCell ref="R4:T4"/>
    <mergeCell ref="U4:W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34"/>
  <sheetViews>
    <sheetView topLeftCell="D1" zoomScale="60" zoomScaleNormal="100" workbookViewId="0">
      <pane ySplit="6" topLeftCell="A7" activePane="bottomLeft" state="frozen"/>
      <selection activeCell="F1" sqref="F1"/>
      <selection pane="bottomLeft" activeCell="I8" sqref="I8"/>
    </sheetView>
  </sheetViews>
  <sheetFormatPr baseColWidth="10" defaultColWidth="11.42578125" defaultRowHeight="12.75" x14ac:dyDescent="0.2"/>
  <cols>
    <col min="1" max="1" width="7.28515625" style="132" hidden="1" customWidth="1"/>
    <col min="2" max="2" width="3.140625" style="132" hidden="1" customWidth="1"/>
    <col min="3" max="3" width="7.85546875" style="132" hidden="1" customWidth="1"/>
    <col min="4" max="4" width="14.42578125" style="132" customWidth="1"/>
    <col min="5" max="5" width="10.5703125" style="175" customWidth="1"/>
    <col min="6" max="6" width="27.28515625" style="132" customWidth="1"/>
    <col min="7" max="7" width="22.140625" style="132" customWidth="1"/>
    <col min="8" max="8" width="24" style="132" customWidth="1"/>
    <col min="9" max="9" width="20" style="132" customWidth="1"/>
    <col min="10" max="10" width="6.42578125" style="132" customWidth="1"/>
    <col min="11" max="15" width="8.140625" style="132" customWidth="1"/>
    <col min="16" max="16" width="11.7109375" style="132" customWidth="1"/>
    <col min="17" max="17" width="24.85546875" style="132" customWidth="1"/>
    <col min="18" max="18" width="8.85546875" style="132" customWidth="1"/>
    <col min="19" max="19" width="7.7109375" style="132" customWidth="1"/>
    <col min="20" max="20" width="56.140625" style="132" customWidth="1"/>
    <col min="21" max="21" width="10.28515625" style="132" customWidth="1"/>
    <col min="22" max="22" width="9.28515625" style="132" customWidth="1"/>
    <col min="23" max="23" width="20" style="132" customWidth="1"/>
    <col min="24" max="24" width="15" style="132" customWidth="1"/>
    <col min="25" max="25" width="20.140625" style="132" customWidth="1"/>
    <col min="26" max="27" width="17" style="132" customWidth="1"/>
    <col min="28" max="28" width="12.42578125" style="132" customWidth="1"/>
    <col min="29" max="29" width="12.85546875" style="132" customWidth="1"/>
    <col min="30" max="31" width="11.5703125" style="132" customWidth="1"/>
    <col min="32" max="32" width="18.140625" style="132" customWidth="1"/>
    <col min="33" max="33" width="18" style="132" customWidth="1"/>
    <col min="34" max="34" width="16" style="132" customWidth="1"/>
    <col min="35" max="37" width="11.5703125" style="132" customWidth="1"/>
    <col min="38" max="38" width="17.7109375" style="132" customWidth="1"/>
    <col min="39" max="39" width="13.5703125" style="132" customWidth="1"/>
    <col min="40" max="40" width="14.85546875" style="132" customWidth="1"/>
    <col min="41" max="43" width="11.5703125" style="132" customWidth="1"/>
    <col min="44" max="44" width="18.140625" style="132" customWidth="1"/>
    <col min="45" max="45" width="13.5703125" style="132" customWidth="1"/>
    <col min="46" max="46" width="13.42578125" style="132" customWidth="1"/>
    <col min="47" max="48" width="11.5703125" style="132" customWidth="1"/>
    <col min="49" max="49" width="14" style="132" bestFit="1" customWidth="1"/>
    <col min="50" max="50" width="46" style="132" bestFit="1" customWidth="1"/>
    <col min="51" max="51" width="6.28515625" style="132" customWidth="1"/>
    <col min="52" max="16384" width="11.42578125" style="132"/>
  </cols>
  <sheetData>
    <row r="1" spans="1:74" ht="16.5" x14ac:dyDescent="0.2">
      <c r="A1" s="129"/>
      <c r="B1" s="892"/>
      <c r="C1" s="892"/>
      <c r="D1" s="892"/>
      <c r="E1" s="892"/>
      <c r="F1" s="892"/>
      <c r="G1" s="892"/>
      <c r="H1" s="892"/>
      <c r="I1" s="892"/>
      <c r="J1" s="892"/>
      <c r="K1" s="892"/>
      <c r="L1" s="892"/>
      <c r="M1" s="892"/>
      <c r="N1" s="892"/>
      <c r="O1" s="892"/>
      <c r="P1" s="892"/>
      <c r="Q1" s="892"/>
      <c r="R1" s="892"/>
      <c r="S1" s="892"/>
      <c r="T1" s="892"/>
      <c r="U1" s="892"/>
      <c r="V1" s="892"/>
      <c r="W1" s="892"/>
      <c r="X1" s="892"/>
      <c r="Y1" s="892"/>
      <c r="Z1" s="892"/>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1"/>
    </row>
    <row r="2" spans="1:74" ht="52.5" customHeight="1" thickBot="1" x14ac:dyDescent="0.25">
      <c r="A2" s="133"/>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1"/>
    </row>
    <row r="3" spans="1:74" ht="35.25" customHeight="1" thickBot="1" x14ac:dyDescent="0.25">
      <c r="A3" s="894" t="s">
        <v>1966</v>
      </c>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5"/>
    </row>
    <row r="4" spans="1:74" ht="24" customHeight="1" thickBot="1" x14ac:dyDescent="0.25">
      <c r="A4" s="896" t="s">
        <v>2104</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7"/>
    </row>
    <row r="5" spans="1:74" ht="20.25" customHeight="1" x14ac:dyDescent="0.25">
      <c r="A5" s="138"/>
      <c r="B5" s="138"/>
      <c r="C5" s="138"/>
      <c r="D5" s="890" t="s">
        <v>2105</v>
      </c>
      <c r="E5" s="891"/>
      <c r="F5" s="891"/>
      <c r="G5" s="891"/>
      <c r="H5" s="891"/>
      <c r="I5" s="891"/>
      <c r="J5" s="891"/>
      <c r="K5" s="891"/>
      <c r="L5" s="891"/>
      <c r="M5" s="891"/>
      <c r="N5" s="891"/>
      <c r="O5" s="828" t="s">
        <v>1968</v>
      </c>
      <c r="P5" s="828"/>
      <c r="Q5" s="828"/>
      <c r="R5" s="828" t="s">
        <v>1969</v>
      </c>
      <c r="S5" s="828"/>
      <c r="T5" s="828"/>
      <c r="U5" s="828" t="s">
        <v>1970</v>
      </c>
      <c r="V5" s="828"/>
      <c r="W5" s="828"/>
      <c r="X5" s="828" t="s">
        <v>1971</v>
      </c>
      <c r="Y5" s="828"/>
      <c r="Z5" s="828"/>
      <c r="AA5" s="139"/>
      <c r="AB5" s="139"/>
      <c r="AC5" s="139"/>
      <c r="AD5" s="139"/>
      <c r="AE5" s="139"/>
      <c r="AF5" s="898">
        <v>2022</v>
      </c>
      <c r="AG5" s="898"/>
      <c r="AH5" s="898"/>
      <c r="AI5" s="898"/>
      <c r="AJ5" s="898"/>
      <c r="AK5" s="898"/>
      <c r="AL5" s="899"/>
      <c r="AM5" s="899"/>
      <c r="AN5" s="899"/>
      <c r="AO5" s="899"/>
      <c r="AP5" s="899"/>
      <c r="AQ5" s="899"/>
      <c r="AR5" s="899"/>
      <c r="AS5" s="899"/>
      <c r="AT5" s="899"/>
      <c r="AU5" s="899"/>
      <c r="AV5" s="899"/>
      <c r="AW5" s="899"/>
      <c r="AX5" s="140"/>
      <c r="AY5" s="140"/>
      <c r="AZ5" s="141"/>
      <c r="BA5" s="141"/>
      <c r="BB5" s="141"/>
      <c r="BC5" s="141"/>
      <c r="BD5" s="141"/>
      <c r="BE5" s="141"/>
      <c r="BF5" s="141"/>
      <c r="BG5" s="141"/>
      <c r="BH5" s="141"/>
      <c r="BI5" s="141"/>
      <c r="BJ5" s="141"/>
      <c r="BK5" s="141"/>
      <c r="BL5" s="141"/>
      <c r="BM5" s="141"/>
      <c r="BN5" s="141"/>
      <c r="BO5" s="141"/>
      <c r="BP5" s="141"/>
      <c r="BQ5" s="141"/>
      <c r="BR5" s="141"/>
      <c r="BS5" s="141"/>
      <c r="BT5" s="141"/>
      <c r="BU5" s="141"/>
      <c r="BV5" s="141"/>
    </row>
    <row r="6" spans="1:74" s="152" customFormat="1" ht="48" customHeight="1" x14ac:dyDescent="0.2">
      <c r="A6" s="142" t="s">
        <v>1973</v>
      </c>
      <c r="B6" s="143" t="s">
        <v>2106</v>
      </c>
      <c r="C6" s="144" t="s">
        <v>2107</v>
      </c>
      <c r="D6" s="145" t="s">
        <v>1934</v>
      </c>
      <c r="E6" s="146" t="s">
        <v>1976</v>
      </c>
      <c r="F6" s="147" t="s">
        <v>1977</v>
      </c>
      <c r="G6" s="147" t="s">
        <v>1978</v>
      </c>
      <c r="H6" s="147" t="s">
        <v>1979</v>
      </c>
      <c r="I6" s="32" t="s">
        <v>2370</v>
      </c>
      <c r="J6" s="143" t="s">
        <v>1980</v>
      </c>
      <c r="K6" s="143" t="s">
        <v>2044</v>
      </c>
      <c r="L6" s="143" t="s">
        <v>1982</v>
      </c>
      <c r="M6" s="143" t="s">
        <v>1983</v>
      </c>
      <c r="N6" s="143" t="s">
        <v>1984</v>
      </c>
      <c r="O6" s="32" t="s">
        <v>1985</v>
      </c>
      <c r="P6" s="32" t="s">
        <v>1986</v>
      </c>
      <c r="Q6" s="32" t="s">
        <v>1987</v>
      </c>
      <c r="R6" s="32" t="s">
        <v>1985</v>
      </c>
      <c r="S6" s="32" t="s">
        <v>1986</v>
      </c>
      <c r="T6" s="32" t="s">
        <v>1987</v>
      </c>
      <c r="U6" s="32" t="s">
        <v>1985</v>
      </c>
      <c r="V6" s="32" t="s">
        <v>1986</v>
      </c>
      <c r="W6" s="32" t="s">
        <v>1987</v>
      </c>
      <c r="X6" s="32" t="s">
        <v>1985</v>
      </c>
      <c r="Y6" s="32" t="s">
        <v>1986</v>
      </c>
      <c r="Z6" s="32" t="s">
        <v>1987</v>
      </c>
      <c r="AA6" s="148"/>
      <c r="AB6" s="149"/>
      <c r="AC6" s="148"/>
      <c r="AD6" s="148"/>
      <c r="AE6" s="148"/>
      <c r="AF6" s="148"/>
      <c r="AG6" s="148"/>
      <c r="AH6" s="149"/>
      <c r="AI6" s="148"/>
      <c r="AJ6" s="148"/>
      <c r="AK6" s="148"/>
      <c r="AL6" s="148"/>
      <c r="AM6" s="148"/>
      <c r="AN6" s="149"/>
      <c r="AO6" s="148"/>
      <c r="AP6" s="148"/>
      <c r="AQ6" s="148"/>
      <c r="AR6" s="148"/>
      <c r="AS6" s="148"/>
      <c r="AT6" s="149"/>
      <c r="AU6" s="148"/>
      <c r="AV6" s="148"/>
      <c r="AW6" s="148"/>
      <c r="AX6" s="148"/>
      <c r="AY6" s="150"/>
      <c r="AZ6" s="150"/>
      <c r="BA6" s="150"/>
      <c r="BB6" s="151"/>
      <c r="BC6" s="151"/>
      <c r="BD6" s="151"/>
      <c r="BE6" s="151"/>
      <c r="BF6" s="151"/>
      <c r="BG6" s="151"/>
      <c r="BH6" s="151"/>
      <c r="BI6" s="151"/>
      <c r="BJ6" s="151"/>
      <c r="BK6" s="151"/>
      <c r="BL6" s="151"/>
      <c r="BM6" s="151"/>
      <c r="BN6" s="151"/>
      <c r="BO6" s="151"/>
      <c r="BP6" s="151"/>
      <c r="BQ6" s="151"/>
      <c r="BR6" s="151"/>
      <c r="BS6" s="151"/>
      <c r="BT6" s="151"/>
      <c r="BU6" s="151"/>
      <c r="BV6" s="151"/>
    </row>
    <row r="7" spans="1:74" s="152" customFormat="1" ht="6.75" customHeight="1" x14ac:dyDescent="0.2">
      <c r="A7" s="142"/>
      <c r="B7" s="143"/>
      <c r="C7" s="144"/>
      <c r="D7" s="145"/>
      <c r="E7" s="146"/>
      <c r="F7" s="147"/>
      <c r="G7" s="147"/>
      <c r="H7" s="147"/>
      <c r="I7" s="147"/>
      <c r="J7" s="143"/>
      <c r="K7" s="143"/>
      <c r="L7" s="143"/>
      <c r="M7" s="143"/>
      <c r="N7" s="143"/>
      <c r="O7" s="32"/>
      <c r="P7" s="32"/>
      <c r="Q7" s="32"/>
      <c r="R7" s="32"/>
      <c r="S7" s="32"/>
      <c r="T7" s="32"/>
      <c r="U7" s="32"/>
      <c r="V7" s="32"/>
      <c r="W7" s="32"/>
      <c r="X7" s="32"/>
      <c r="Y7" s="32"/>
      <c r="Z7" s="304"/>
      <c r="AA7" s="148"/>
      <c r="AB7" s="149"/>
      <c r="AC7" s="148"/>
      <c r="AD7" s="148"/>
      <c r="AE7" s="148"/>
      <c r="AF7" s="148"/>
      <c r="AG7" s="148"/>
      <c r="AH7" s="149"/>
      <c r="AI7" s="148"/>
      <c r="AJ7" s="148"/>
      <c r="AK7" s="148"/>
      <c r="AL7" s="148"/>
      <c r="AM7" s="148"/>
      <c r="AN7" s="149"/>
      <c r="AO7" s="148"/>
      <c r="AP7" s="148"/>
      <c r="AQ7" s="148"/>
      <c r="AR7" s="148"/>
      <c r="AS7" s="148"/>
      <c r="AT7" s="149"/>
      <c r="AU7" s="148"/>
      <c r="AV7" s="148"/>
      <c r="AW7" s="148"/>
      <c r="AX7" s="148"/>
      <c r="AY7" s="150"/>
      <c r="AZ7" s="150"/>
      <c r="BA7" s="150"/>
      <c r="BB7" s="151"/>
      <c r="BC7" s="151"/>
      <c r="BD7" s="151"/>
      <c r="BE7" s="151"/>
      <c r="BF7" s="151"/>
      <c r="BG7" s="151"/>
      <c r="BH7" s="151"/>
      <c r="BI7" s="151"/>
      <c r="BJ7" s="151"/>
      <c r="BK7" s="151"/>
      <c r="BL7" s="151"/>
      <c r="BM7" s="151"/>
      <c r="BN7" s="151"/>
      <c r="BO7" s="151"/>
      <c r="BP7" s="151"/>
      <c r="BQ7" s="151"/>
      <c r="BR7" s="151"/>
      <c r="BS7" s="151"/>
      <c r="BT7" s="151"/>
      <c r="BU7" s="151"/>
      <c r="BV7" s="151"/>
    </row>
    <row r="8" spans="1:74" s="141" customFormat="1" ht="236.25" x14ac:dyDescent="0.2">
      <c r="A8" s="461">
        <v>1</v>
      </c>
      <c r="B8" s="461">
        <v>0</v>
      </c>
      <c r="C8" s="153">
        <v>1</v>
      </c>
      <c r="D8" s="154" t="s">
        <v>1940</v>
      </c>
      <c r="E8" s="461" t="s">
        <v>2108</v>
      </c>
      <c r="F8" s="461" t="s">
        <v>2109</v>
      </c>
      <c r="G8" s="461" t="s">
        <v>2110</v>
      </c>
      <c r="H8" s="461" t="s">
        <v>314</v>
      </c>
      <c r="I8" s="110">
        <v>0.15</v>
      </c>
      <c r="J8" s="110">
        <v>0.6</v>
      </c>
      <c r="K8" s="110">
        <v>0.7</v>
      </c>
      <c r="L8" s="110">
        <v>0.6</v>
      </c>
      <c r="M8" s="110">
        <f>'Plan de Acción 2022'!R70</f>
        <v>0.8</v>
      </c>
      <c r="N8" s="110">
        <v>1</v>
      </c>
      <c r="O8" s="110">
        <f>('Plan de Acción 2022'!W70+'Plan de Acción 2022'!W71+'Plan de Acción 2022'!W72+'Plan de Acción 2022'!W73+'Plan de Acción 2022'!W74+'Plan de Acción 2022'!W75+'Plan de Acción 2022'!W76+'Plan de Acción 2022'!W77+'Plan de Acción 2022'!W78+'Plan de Acción 2022'!W79+'Plan de Acción 2022'!W80+'Plan de Acción 2022'!W81+'Plan de Acción 2022'!W82+'Plan de Acción 2022'!W83+'Plan de Acción 2022'!W84+'Plan de Acción 2022'!W85+'Plan de Acción 2022'!W86+'Plan de Acción 2022'!W87+'Plan de Acción 2022'!W88+'Plan de Acción 2022'!W135+'Plan de Acción 2022'!W136)/21</f>
        <v>0.16666666666666669</v>
      </c>
      <c r="P8" s="211">
        <f>(O8*20%)/(M8-L8)</f>
        <v>0.16666666666666663</v>
      </c>
      <c r="Q8" s="110" t="s">
        <v>2111</v>
      </c>
      <c r="R8" s="110">
        <f>('Plan de Acción 2022'!AA70+'Plan de Acción 2022'!AA71+'Plan de Acción 2022'!AA72+'Plan de Acción 2022'!AA73+'Plan de Acción 2022'!AA74+'Plan de Acción 2022'!AA75+'Plan de Acción 2022'!AA76+'Plan de Acción 2022'!AA77+'Plan de Acción 2022'!AA78+'Plan de Acción 2022'!AA79+'Plan de Acción 2022'!AA80+'Plan de Acción 2022'!AA81+'Plan de Acción 2022'!AA82+'Plan de Acción 2022'!AA83+'Plan de Acción 2022'!AA84+'Plan de Acción 2022'!AA85+'Plan de Acción 2022'!AA86+'Plan de Acción 2022'!AA87+'Plan de Acción 2022'!AA88+'Plan de Acción 2022'!AA135+'Plan de Acción 2022'!AA136)/21</f>
        <v>0.32380952380952382</v>
      </c>
      <c r="S8" s="211">
        <f>(R8*20%)/(M8-L8)</f>
        <v>0.32380952380952377</v>
      </c>
      <c r="T8" s="110" t="s">
        <v>2336</v>
      </c>
      <c r="U8" s="110">
        <f>('Plan de Acción 2022'!AD70+'Plan de Acción 2022'!AD71+'Plan de Acción 2022'!AD72+'Plan de Acción 2022'!AD73+'Plan de Acción 2022'!AD74+'Plan de Acción 2022'!AD75+'Plan de Acción 2022'!AD76+'Plan de Acción 2022'!AD77+'Plan de Acción 2022'!AD78+'Plan de Acción 2022'!AD79+'Plan de Acción 2022'!AD80+'Plan de Acción 2022'!AD81+'Plan de Acción 2022'!AD82+'Plan de Acción 2022'!AD83+'Plan de Acción 2022'!AD84+'Plan de Acción 2022'!AD85+'Plan de Acción 2022'!AD86+'Plan de Acción 2022'!AD87+'Plan de Acción 2022'!AD88+'Plan de Acción 2022'!AD135+'Plan de Acción 2022'!AD136)/21</f>
        <v>0</v>
      </c>
      <c r="V8" s="211">
        <f>(U8*20)/(M8-L8)</f>
        <v>0</v>
      </c>
      <c r="W8" s="461"/>
      <c r="X8" s="110">
        <f>('Plan de Acción 2022'!AG70+'Plan de Acción 2022'!AG71+'Plan de Acción 2022'!AG72+'Plan de Acción 2022'!AG73+'Plan de Acción 2022'!AG74+'Plan de Acción 2022'!AG75+'Plan de Acción 2022'!AG76+'Plan de Acción 2022'!AG77+'Plan de Acción 2022'!AG78+'Plan de Acción 2022'!AG79+'Plan de Acción 2022'!AG80+'Plan de Acción 2022'!AG81+'Plan de Acción 2022'!AG82+'Plan de Acción 2022'!AG83+'Plan de Acción 2022'!AG84+'Plan de Acción 2022'!AG85+'Plan de Acción 2022'!AG86+'Plan de Acción 2022'!AG87+'Plan de Acción 2022'!AG88+'Plan de Acción 2022'!AG135+'Plan de Acción 2022'!AG136)/21</f>
        <v>0</v>
      </c>
      <c r="Y8" s="211">
        <f>(X8*20)/(M8-L8)</f>
        <v>0</v>
      </c>
      <c r="Z8" s="155"/>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row>
    <row r="9" spans="1:74" ht="62.25" customHeight="1" x14ac:dyDescent="0.2">
      <c r="A9" s="460">
        <v>2</v>
      </c>
      <c r="B9" s="460">
        <v>1</v>
      </c>
      <c r="C9" s="156">
        <v>0</v>
      </c>
      <c r="D9" s="157" t="s">
        <v>1948</v>
      </c>
      <c r="E9" s="113" t="s">
        <v>1471</v>
      </c>
      <c r="F9" s="460" t="s">
        <v>1179</v>
      </c>
      <c r="G9" s="113" t="s">
        <v>1180</v>
      </c>
      <c r="H9" s="460" t="s">
        <v>2112</v>
      </c>
      <c r="I9" s="114">
        <v>0.4</v>
      </c>
      <c r="J9" s="460" t="s">
        <v>53</v>
      </c>
      <c r="K9" s="114">
        <v>0.25</v>
      </c>
      <c r="L9" s="158">
        <v>0.02</v>
      </c>
      <c r="M9" s="114">
        <f>'Plan de Acción 2022'!R266</f>
        <v>0.5</v>
      </c>
      <c r="N9" s="114">
        <v>1</v>
      </c>
      <c r="O9" s="114">
        <f>'Plan de Acción 2022'!W266</f>
        <v>0.4</v>
      </c>
      <c r="P9" s="211">
        <f>(O9*48%)/(M9-L9)</f>
        <v>0.4</v>
      </c>
      <c r="Q9" s="110" t="s">
        <v>1185</v>
      </c>
      <c r="R9" s="389">
        <f>'Plan de Acción 2022'!AA266</f>
        <v>0.4</v>
      </c>
      <c r="S9" s="302">
        <f>(R9*48%)/(M9-L9)</f>
        <v>0.4</v>
      </c>
      <c r="T9" s="460" t="s">
        <v>1186</v>
      </c>
      <c r="U9" s="114">
        <f>'Plan de Acción 2022'!AD266</f>
        <v>0</v>
      </c>
      <c r="V9" s="211">
        <f>(U9*48)/(M9-L9)</f>
        <v>0</v>
      </c>
      <c r="W9" s="461"/>
      <c r="X9" s="114">
        <f>'Plan de Acción 2022'!AG266</f>
        <v>0</v>
      </c>
      <c r="Y9" s="211">
        <f>(X9*48)/(M9-L9)</f>
        <v>0</v>
      </c>
      <c r="Z9" s="159"/>
    </row>
    <row r="10" spans="1:74" s="141" customFormat="1" ht="109.5" customHeight="1" x14ac:dyDescent="0.2">
      <c r="A10" s="867">
        <v>3</v>
      </c>
      <c r="B10" s="461">
        <v>0</v>
      </c>
      <c r="C10" s="153">
        <v>1</v>
      </c>
      <c r="D10" s="154" t="s">
        <v>1940</v>
      </c>
      <c r="E10" s="461" t="s">
        <v>2113</v>
      </c>
      <c r="F10" s="887" t="s">
        <v>2114</v>
      </c>
      <c r="G10" s="461" t="s">
        <v>2115</v>
      </c>
      <c r="H10" s="461" t="s">
        <v>442</v>
      </c>
      <c r="I10" s="110">
        <v>0</v>
      </c>
      <c r="J10" s="114">
        <v>0.37</v>
      </c>
      <c r="K10" s="114" t="s">
        <v>2116</v>
      </c>
      <c r="L10" s="158">
        <v>0.05</v>
      </c>
      <c r="M10" s="114">
        <f>'Plan de Acción 2022'!R97</f>
        <v>0.05</v>
      </c>
      <c r="N10" s="114">
        <v>0.1</v>
      </c>
      <c r="O10" s="114">
        <f>('Plan de Acción 2022'!W97+'Plan de Acción 2022'!W98+'Plan de Acción 2022'!W99)/3</f>
        <v>0.16666666666666666</v>
      </c>
      <c r="P10" s="211">
        <f>(O10*5%)/(M10)</f>
        <v>0.16666666666666666</v>
      </c>
      <c r="Q10" s="114" t="s">
        <v>2117</v>
      </c>
      <c r="R10" s="389">
        <f>('Plan de Acción 2022'!AA97+'Plan de Acción 2022'!AA98+'Plan de Acción 2022'!AA99)/3</f>
        <v>0.21666666666666665</v>
      </c>
      <c r="S10" s="211">
        <f>(R10*5%)/M10</f>
        <v>0.21666666666666667</v>
      </c>
      <c r="T10" s="110" t="s">
        <v>2337</v>
      </c>
      <c r="U10" s="114">
        <f>('Plan de Acción 2022'!AD97+'Plan de Acción 2022'!AD98+'Plan de Acción 2022'!AD99)/3</f>
        <v>0</v>
      </c>
      <c r="V10" s="211">
        <f>(U10*5%)/M10</f>
        <v>0</v>
      </c>
      <c r="W10" s="461"/>
      <c r="X10" s="114">
        <f>('Plan de Acción 2022'!AG97+'Plan de Acción 2022'!AG98+'Plan de Acción 2022'!AG99)/3</f>
        <v>0</v>
      </c>
      <c r="Y10" s="211">
        <f>(X10*5%)/M10</f>
        <v>0</v>
      </c>
      <c r="Z10" s="155"/>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row>
    <row r="11" spans="1:74" ht="141.75" x14ac:dyDescent="0.2">
      <c r="A11" s="867"/>
      <c r="B11" s="460">
        <v>1</v>
      </c>
      <c r="C11" s="156">
        <v>0</v>
      </c>
      <c r="D11" s="157" t="s">
        <v>2118</v>
      </c>
      <c r="E11" s="460" t="s">
        <v>2119</v>
      </c>
      <c r="F11" s="887"/>
      <c r="G11" s="460" t="s">
        <v>2120</v>
      </c>
      <c r="H11" s="460" t="s">
        <v>459</v>
      </c>
      <c r="I11" s="114">
        <v>0</v>
      </c>
      <c r="J11" s="114">
        <v>0.05</v>
      </c>
      <c r="K11" s="114">
        <v>0.2</v>
      </c>
      <c r="L11" s="160">
        <v>0.06</v>
      </c>
      <c r="M11" s="114">
        <f>'Plan de Acción 2022'!R100</f>
        <v>0.4</v>
      </c>
      <c r="N11" s="114">
        <v>0.8</v>
      </c>
      <c r="O11" s="389">
        <f>'Plan de Acción 2022'!W100</f>
        <v>0.05</v>
      </c>
      <c r="P11" s="211">
        <f>(O11*34%)/(M11-L11)</f>
        <v>0.05</v>
      </c>
      <c r="Q11" s="114" t="s">
        <v>461</v>
      </c>
      <c r="R11" s="114">
        <f>'Plan de Acción 2022'!AA100</f>
        <v>0.05</v>
      </c>
      <c r="S11" s="211">
        <f>(R11*34%)/(M11-L11)</f>
        <v>0.05</v>
      </c>
      <c r="T11" s="111" t="s">
        <v>462</v>
      </c>
      <c r="U11" s="114">
        <f>'Plan de Acción 2022'!AD100</f>
        <v>0</v>
      </c>
      <c r="V11" s="211">
        <f>(U11*34%)/(M11-L11)</f>
        <v>0</v>
      </c>
      <c r="W11" s="465"/>
      <c r="X11" s="114">
        <f>'Plan de Acción 2022'!AG100</f>
        <v>0</v>
      </c>
      <c r="Y11" s="211">
        <f>(X11*34%)/(M11-L11)</f>
        <v>0</v>
      </c>
      <c r="Z11" s="161"/>
    </row>
    <row r="12" spans="1:74" ht="92.25" customHeight="1" x14ac:dyDescent="0.2">
      <c r="A12" s="867"/>
      <c r="B12" s="460">
        <v>1</v>
      </c>
      <c r="C12" s="156">
        <v>0</v>
      </c>
      <c r="D12" s="157" t="s">
        <v>1940</v>
      </c>
      <c r="E12" s="460" t="s">
        <v>2113</v>
      </c>
      <c r="F12" s="887"/>
      <c r="G12" s="460" t="s">
        <v>2121</v>
      </c>
      <c r="H12" s="460" t="s">
        <v>402</v>
      </c>
      <c r="I12" s="114">
        <v>0.48</v>
      </c>
      <c r="J12" s="114">
        <v>0.8</v>
      </c>
      <c r="K12" s="114">
        <v>0.85</v>
      </c>
      <c r="L12" s="160">
        <v>0.83</v>
      </c>
      <c r="M12" s="114">
        <f>'Plan de Acción 2022'!R89</f>
        <v>0.9</v>
      </c>
      <c r="N12" s="114">
        <v>1</v>
      </c>
      <c r="O12" s="114">
        <f>('Plan de Acción 2022'!W89+'Plan de Acción 2022'!W90+'Plan de Acción 2022'!W91+'Plan de Acción 2022'!W93+'Plan de Acción 2022'!W92+'Plan de Acción 2022'!W94+'Plan de Acción 2022'!W137+'Plan de Acción 2022'!W138)/10</f>
        <v>0.26500000000000001</v>
      </c>
      <c r="P12" s="211">
        <f>(O12*7%)/(M12-L12)</f>
        <v>0.26499999999999985</v>
      </c>
      <c r="Q12" s="114" t="s">
        <v>2122</v>
      </c>
      <c r="R12" s="114">
        <f>('Plan de Acción 2022'!AA89+'Plan de Acción 2022'!AA90+'Plan de Acción 2022'!AA91+'Plan de Acción 2022'!AA93+'Plan de Acción 2022'!AA92+'Plan de Acción 2022'!AA94+'Plan de Acción 2022'!AA95+'Plan de Acción 2022'!AA96+'Plan de Acción 2022'!AA137+'Plan de Acción 2022'!AA138)/10</f>
        <v>0.47499999999999998</v>
      </c>
      <c r="S12" s="211">
        <f>(R12*7%)/(M12-L12)</f>
        <v>0.47499999999999959</v>
      </c>
      <c r="T12" s="114" t="s">
        <v>2338</v>
      </c>
      <c r="U12" s="114">
        <f>('Plan de Acción 2022'!AD89+'Plan de Acción 2022'!AD90+'Plan de Acción 2022'!AD91+'Plan de Acción 2022'!AD93+'Plan de Acción 2022'!AD92+'Plan de Acción 2022'!AD94+'Plan de Acción 2022'!AD95+'Plan de Acción 2022'!AD96+'Plan de Acción 2022'!AD137+'Plan de Acción 2022'!AD138)/10</f>
        <v>0</v>
      </c>
      <c r="V12" s="211">
        <f>(U12*7%)/(M12-L12)</f>
        <v>0</v>
      </c>
      <c r="W12" s="465"/>
      <c r="X12" s="114">
        <f>('Plan de Acción 2022'!AG89+'Plan de Acción 2022'!AG90+'Plan de Acción 2022'!AG91+'Plan de Acción 2022'!AG93+'Plan de Acción 2022'!AG92+'Plan de Acción 2022'!AG94+'Plan de Acción 2022'!AG95+'Plan de Acción 2022'!AG96+'Plan de Acción 2022'!AG137+'Plan de Acción 2022'!AG138)/10</f>
        <v>0</v>
      </c>
      <c r="Y12" s="211">
        <f>(X12*7%)/(M12-L12)</f>
        <v>0</v>
      </c>
      <c r="Z12" s="161"/>
    </row>
    <row r="13" spans="1:74" s="141" customFormat="1" ht="54.75" customHeight="1" x14ac:dyDescent="0.2">
      <c r="A13" s="461"/>
      <c r="B13" s="461">
        <v>0</v>
      </c>
      <c r="C13" s="153">
        <v>1</v>
      </c>
      <c r="D13" s="154" t="s">
        <v>1946</v>
      </c>
      <c r="E13" s="113" t="s">
        <v>1946</v>
      </c>
      <c r="F13" s="887" t="s">
        <v>2123</v>
      </c>
      <c r="G13" s="887" t="s">
        <v>2124</v>
      </c>
      <c r="H13" s="461" t="s">
        <v>2125</v>
      </c>
      <c r="I13" s="110">
        <v>0.5</v>
      </c>
      <c r="J13" s="110">
        <v>0.1</v>
      </c>
      <c r="K13" s="110">
        <v>0.9</v>
      </c>
      <c r="L13" s="163">
        <v>0.9</v>
      </c>
      <c r="M13" s="110">
        <f>'Plan de Acción 2022'!R139</f>
        <v>0.95</v>
      </c>
      <c r="N13" s="110">
        <v>1</v>
      </c>
      <c r="O13" s="110">
        <f>'Plan de Acción 2022'!W140</f>
        <v>0.1</v>
      </c>
      <c r="P13" s="211">
        <f>(O13*5%)/(M13-L13)</f>
        <v>0.10000000000000016</v>
      </c>
      <c r="Q13" s="110" t="s">
        <v>2126</v>
      </c>
      <c r="R13" s="110">
        <f>'Plan de Acción 2022'!AA140</f>
        <v>0.5</v>
      </c>
      <c r="S13" s="211">
        <f>(R13*5%)/(M13-L13)</f>
        <v>0.50000000000000067</v>
      </c>
      <c r="T13" s="110" t="str">
        <f>CONCATENATE('Plan de Acción 2022'!AB139)</f>
        <v xml:space="preserve">A través de las ordenes de trabajo:  001184, 001105, 001212, 001241, 001245, 001292 y 001302, se ha realizo el mantenimiento del jardin del la calle 13:
1. Limpieza de residuos organicos de los jardines de la calle 13.
2. Poda de los individuos arboreos
3. Retiro de raices secas
4. Reubicación de las plantas, según el diseño paisajistico.
5. Resane y pintura de las jardineras. 
6. Reacomodación de la tierra y suministro de abono. 
Se realizo la selección y cotización de las plantas a sembrar según el diseño paisajistico ($7.505.000). </v>
      </c>
      <c r="U13" s="110">
        <f>'Plan de Acción 2022'!AD140</f>
        <v>0</v>
      </c>
      <c r="V13" s="211">
        <f>(U13*5%)/(M13-L13)</f>
        <v>0</v>
      </c>
      <c r="W13" s="162"/>
      <c r="X13" s="110">
        <f>'Plan de Acción 2022'!AG140</f>
        <v>0</v>
      </c>
      <c r="Y13" s="211">
        <f>(X13*5%)/(M13-L13)</f>
        <v>0</v>
      </c>
      <c r="Z13" s="164"/>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row>
    <row r="14" spans="1:74" s="141" customFormat="1" ht="78.75" customHeight="1" x14ac:dyDescent="0.2">
      <c r="A14" s="461">
        <v>4</v>
      </c>
      <c r="B14" s="461">
        <v>0</v>
      </c>
      <c r="C14" s="153">
        <v>1</v>
      </c>
      <c r="D14" s="154" t="s">
        <v>1946</v>
      </c>
      <c r="E14" s="113" t="s">
        <v>2127</v>
      </c>
      <c r="F14" s="887"/>
      <c r="G14" s="887"/>
      <c r="H14" s="461" t="s">
        <v>2128</v>
      </c>
      <c r="I14" s="110">
        <v>0.5</v>
      </c>
      <c r="J14" s="110">
        <v>0</v>
      </c>
      <c r="K14" s="110">
        <v>0.1</v>
      </c>
      <c r="L14" s="165">
        <v>0.1</v>
      </c>
      <c r="M14" s="110">
        <f>'Plan de Acción 2022'!R140</f>
        <v>0.2</v>
      </c>
      <c r="N14" s="110">
        <v>0.5</v>
      </c>
      <c r="O14" s="110">
        <f>'Plan de Acción 2022'!W140</f>
        <v>0.1</v>
      </c>
      <c r="P14" s="211">
        <f>(O14*10%)/(M14-L14)</f>
        <v>0.10000000000000002</v>
      </c>
      <c r="Q14" s="110" t="s">
        <v>2129</v>
      </c>
      <c r="R14" s="110">
        <f>'Plan de Acción 2022'!AA140</f>
        <v>0.5</v>
      </c>
      <c r="S14" s="211">
        <f>(R14*10%)/(M14-L14)</f>
        <v>0.5</v>
      </c>
      <c r="T14" s="110" t="str">
        <f>CONCATENATE('Plan de Acción 2022'!AB140)</f>
        <v xml:space="preserve">Se cuenta con el diseño y los estudios previos, adicionalmente se solicito el diseño eléctrico, mismo que esta en elaboración por parte del área de Infraestructruta eléctrica. </v>
      </c>
      <c r="U14" s="110">
        <f>'Plan de Acción 2022'!AD140</f>
        <v>0</v>
      </c>
      <c r="V14" s="211">
        <f>(U14*10)/(M14-L14)</f>
        <v>0</v>
      </c>
      <c r="W14" s="462"/>
      <c r="X14" s="110">
        <f>'Plan de Acción 2022'!AG140</f>
        <v>0</v>
      </c>
      <c r="Y14" s="211">
        <f>(X14*10)/(M14-L14)</f>
        <v>0</v>
      </c>
      <c r="Z14" s="166"/>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row>
    <row r="15" spans="1:74" s="141" customFormat="1" ht="184.5" customHeight="1" x14ac:dyDescent="0.2">
      <c r="A15" s="867">
        <v>5</v>
      </c>
      <c r="B15" s="461">
        <v>1</v>
      </c>
      <c r="C15" s="153">
        <v>0</v>
      </c>
      <c r="D15" s="154" t="s">
        <v>1946</v>
      </c>
      <c r="E15" s="461" t="s">
        <v>2127</v>
      </c>
      <c r="F15" s="887" t="s">
        <v>2130</v>
      </c>
      <c r="G15" s="461" t="s">
        <v>2131</v>
      </c>
      <c r="H15" s="461" t="s">
        <v>635</v>
      </c>
      <c r="I15" s="110">
        <v>0.37</v>
      </c>
      <c r="J15" s="110">
        <v>0.05</v>
      </c>
      <c r="K15" s="110">
        <v>0.12</v>
      </c>
      <c r="L15" s="165">
        <v>0.12</v>
      </c>
      <c r="M15" s="110">
        <f>'Plan de Acción 2022'!R142</f>
        <v>0.24</v>
      </c>
      <c r="N15" s="110">
        <v>0.5</v>
      </c>
      <c r="O15" s="110">
        <f>('Plan de Acción 2022'!W142+'Plan de Acción 2022'!W143+'Plan de Acción 2022'!W144+'Plan de Acción 2022'!W145+'Plan de Acción 2022'!W146+'Plan de Acción 2022'!W147+'Plan de Acción 2022'!W148+'Plan de Acción 2022'!W149+'Plan de Acción 2022'!W151+'Plan de Acción 2022'!W153+'Plan de Acción 2022'!W154+'Plan de Acción 2022'!W156)/12</f>
        <v>0.14430000000000001</v>
      </c>
      <c r="P15" s="211">
        <f>(O15*12%)/(M15-L15)</f>
        <v>0.14430000000000001</v>
      </c>
      <c r="Q15" s="110" t="s">
        <v>2132</v>
      </c>
      <c r="R15" s="110">
        <f>('Plan de Acción 2022'!AA142+'Plan de Acción 2022'!AA143+'Plan de Acción 2022'!AA144+'Plan de Acción 2022'!AA145+'Plan de Acción 2022'!AA146+'Plan de Acción 2022'!AA147+'Plan de Acción 2022'!AA148+'Plan de Acción 2022'!AA149+'Plan de Acción 2022'!AA151+'Plan de Acción 2022'!AA153+'Plan de Acción 2022'!AA154+'Plan de Acción 2022'!AA156)/12</f>
        <v>0.3741666666666667</v>
      </c>
      <c r="S15" s="211">
        <f>(R15*12%)/(M15-L15)</f>
        <v>0.3741666666666667</v>
      </c>
      <c r="T15" s="110" t="s">
        <v>2339</v>
      </c>
      <c r="U15" s="110">
        <f>('Plan de Acción 2022'!AD142+'Plan de Acción 2022'!AD143+'Plan de Acción 2022'!AD144+'Plan de Acción 2022'!AD145+'Plan de Acción 2022'!AD146+'Plan de Acción 2022'!AD147+'Plan de Acción 2022'!AD148+'Plan de Acción 2022'!AD149+'Plan de Acción 2022'!AD151+'Plan de Acción 2022'!AD153+'Plan de Acción 2022'!AD154+'Plan de Acción 2022'!AD156)/12</f>
        <v>0</v>
      </c>
      <c r="V15" s="211">
        <f>(U15*12)/(M15-L15)</f>
        <v>0</v>
      </c>
      <c r="W15" s="462"/>
      <c r="X15" s="110">
        <f>('Plan de Acción 2022'!AG142+'Plan de Acción 2022'!AG143+'Plan de Acción 2022'!AG144+'Plan de Acción 2022'!AG145+'Plan de Acción 2022'!AG146+'Plan de Acción 2022'!AG147+'Plan de Acción 2022'!AG148+'Plan de Acción 2022'!AG149+'Plan de Acción 2022'!AG151+'Plan de Acción 2022'!AG153+'Plan de Acción 2022'!AG154+'Plan de Acción 2022'!AG156)/12</f>
        <v>0</v>
      </c>
      <c r="Y15" s="211">
        <f>(X15*12)/(M15-L15)</f>
        <v>0</v>
      </c>
      <c r="Z15" s="166"/>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row>
    <row r="16" spans="1:74" ht="73.5" customHeight="1" x14ac:dyDescent="0.2">
      <c r="A16" s="867"/>
      <c r="B16" s="460">
        <v>1</v>
      </c>
      <c r="C16" s="156">
        <v>0</v>
      </c>
      <c r="D16" s="154" t="s">
        <v>1946</v>
      </c>
      <c r="E16" s="461" t="s">
        <v>2127</v>
      </c>
      <c r="F16" s="887"/>
      <c r="G16" s="460" t="s">
        <v>2133</v>
      </c>
      <c r="H16" s="460" t="s">
        <v>678</v>
      </c>
      <c r="I16" s="114">
        <v>0.2</v>
      </c>
      <c r="J16" s="460">
        <v>0</v>
      </c>
      <c r="K16" s="460">
        <v>2</v>
      </c>
      <c r="L16" s="160">
        <v>0.01</v>
      </c>
      <c r="M16" s="114">
        <f>'Plan de Acción 2022'!R158</f>
        <v>0.04</v>
      </c>
      <c r="N16" s="460">
        <v>8</v>
      </c>
      <c r="O16" s="389">
        <f>('Plan de Acción 2022'!W158+'Plan de Acción 2022'!W159)/2</f>
        <v>0.05</v>
      </c>
      <c r="P16" s="211">
        <f>(O16*3%)/(M16-L16)</f>
        <v>0.05</v>
      </c>
      <c r="Q16" s="460" t="s">
        <v>679</v>
      </c>
      <c r="R16" s="114">
        <f>('Plan de Acción 2022'!AA158+'Plan de Acción 2022'!AA159)/2</f>
        <v>0.2</v>
      </c>
      <c r="S16" s="211">
        <f>(R16*3%)/(M16-L16)</f>
        <v>0.2</v>
      </c>
      <c r="T16" s="460" t="s">
        <v>681</v>
      </c>
      <c r="U16" s="114">
        <f>('Plan de Acción 2022'!AD158+'Plan de Acción 2022'!AD159)/2</f>
        <v>0</v>
      </c>
      <c r="V16" s="211">
        <f>(U16*3)/(M16-L16)</f>
        <v>0</v>
      </c>
      <c r="W16" s="465"/>
      <c r="X16" s="114">
        <f>('Plan de Acción 2022'!AG158+'Plan de Acción 2022'!AG159)/2</f>
        <v>0</v>
      </c>
      <c r="Y16" s="211">
        <f>(X16*3)/(M16-L16)</f>
        <v>0</v>
      </c>
      <c r="Z16" s="161"/>
    </row>
    <row r="17" spans="1:53" ht="40.5" customHeight="1" x14ac:dyDescent="0.2">
      <c r="A17" s="867"/>
      <c r="B17" s="460">
        <v>1</v>
      </c>
      <c r="C17" s="156">
        <v>0</v>
      </c>
      <c r="D17" s="154" t="s">
        <v>1946</v>
      </c>
      <c r="E17" s="460" t="s">
        <v>2134</v>
      </c>
      <c r="F17" s="887"/>
      <c r="G17" s="460" t="s">
        <v>2135</v>
      </c>
      <c r="H17" s="460" t="s">
        <v>686</v>
      </c>
      <c r="I17" s="114">
        <v>0.6</v>
      </c>
      <c r="J17" s="114">
        <v>0.4</v>
      </c>
      <c r="K17" s="114">
        <v>0.5</v>
      </c>
      <c r="L17" s="160">
        <v>0.5</v>
      </c>
      <c r="M17" s="114">
        <f>'Plan de Acción 2022'!R160</f>
        <v>0.7</v>
      </c>
      <c r="N17" s="114">
        <v>1</v>
      </c>
      <c r="O17" s="114">
        <f>'Plan de Acción 2022'!W160</f>
        <v>0.25</v>
      </c>
      <c r="P17" s="211">
        <f>(O17*20%)/(M17-L17)</f>
        <v>0.25000000000000006</v>
      </c>
      <c r="Q17" s="114" t="s">
        <v>687</v>
      </c>
      <c r="R17" s="114">
        <v>0.6</v>
      </c>
      <c r="S17" s="211">
        <f>(R17*20%)/(M17-L17)</f>
        <v>0.60000000000000009</v>
      </c>
      <c r="T17" s="511" t="s">
        <v>555</v>
      </c>
      <c r="U17" s="114">
        <f>'Plan de Acción 2022'!AD160</f>
        <v>0</v>
      </c>
      <c r="V17" s="211">
        <f>(U17*20)/(M17-L17)</f>
        <v>0</v>
      </c>
      <c r="W17" s="465"/>
      <c r="X17" s="114">
        <f>'Plan de Acción 2022'!AG160</f>
        <v>0</v>
      </c>
      <c r="Y17" s="211">
        <f>(X17*20)/(M17-L17)</f>
        <v>0</v>
      </c>
      <c r="Z17" s="161"/>
    </row>
    <row r="18" spans="1:53" ht="111.75" customHeight="1" x14ac:dyDescent="0.2">
      <c r="A18" s="867"/>
      <c r="B18" s="460">
        <v>1</v>
      </c>
      <c r="C18" s="156">
        <v>0</v>
      </c>
      <c r="D18" s="154" t="s">
        <v>1946</v>
      </c>
      <c r="E18" s="113" t="s">
        <v>2127</v>
      </c>
      <c r="F18" s="887"/>
      <c r="G18" s="460" t="s">
        <v>2136</v>
      </c>
      <c r="H18" s="460" t="s">
        <v>2137</v>
      </c>
      <c r="I18" s="114">
        <v>0.5</v>
      </c>
      <c r="J18" s="114">
        <v>0.4</v>
      </c>
      <c r="K18" s="114">
        <v>0.6</v>
      </c>
      <c r="L18" s="160">
        <v>0.6</v>
      </c>
      <c r="M18" s="114">
        <f>'Plan de Acción 2022'!R161</f>
        <v>0.8</v>
      </c>
      <c r="N18" s="114">
        <v>1</v>
      </c>
      <c r="O18" s="114">
        <f>'Plan de Acción 2022'!W161</f>
        <v>0.25</v>
      </c>
      <c r="P18" s="211">
        <f>(O18*20%)/(M18-L18)</f>
        <v>0.24999999999999994</v>
      </c>
      <c r="Q18" s="114" t="s">
        <v>2138</v>
      </c>
      <c r="R18" s="114">
        <f>'Plan de Acción 2022'!AA161</f>
        <v>0.5</v>
      </c>
      <c r="S18" s="211">
        <f>(R18*20%)/(M18-L18)</f>
        <v>0.49999999999999989</v>
      </c>
      <c r="T18" s="460" t="s">
        <v>567</v>
      </c>
      <c r="U18" s="114">
        <f>'Plan de Acción 2022'!AD161</f>
        <v>0</v>
      </c>
      <c r="V18" s="211">
        <f>(U18*20)/(M18-L18)</f>
        <v>0</v>
      </c>
      <c r="W18" s="465"/>
      <c r="X18" s="114">
        <f>'Plan de Acción 2022'!AG161</f>
        <v>0</v>
      </c>
      <c r="Y18" s="211">
        <f>(X18*20)/(M18-L18)</f>
        <v>0</v>
      </c>
      <c r="Z18" s="167"/>
    </row>
    <row r="19" spans="1:53" ht="94.5" x14ac:dyDescent="0.2">
      <c r="A19" s="867"/>
      <c r="B19" s="460">
        <v>1</v>
      </c>
      <c r="C19" s="156">
        <v>0</v>
      </c>
      <c r="D19" s="154" t="s">
        <v>1946</v>
      </c>
      <c r="E19" s="113" t="s">
        <v>2127</v>
      </c>
      <c r="F19" s="887"/>
      <c r="G19" s="867" t="s">
        <v>2139</v>
      </c>
      <c r="H19" s="460" t="s">
        <v>2140</v>
      </c>
      <c r="I19" s="214">
        <v>0.40000000000000008</v>
      </c>
      <c r="J19" s="114">
        <v>0.2</v>
      </c>
      <c r="K19" s="114">
        <v>0.6</v>
      </c>
      <c r="L19" s="160">
        <v>0.6</v>
      </c>
      <c r="M19" s="114">
        <f>'Plan de Acción 2022'!R162</f>
        <v>1</v>
      </c>
      <c r="N19" s="114">
        <v>1</v>
      </c>
      <c r="O19" s="389">
        <f>('Plan de Acción 2022'!W162)</f>
        <v>0</v>
      </c>
      <c r="P19" s="211">
        <f>(O19*40%)/(M19-L19)</f>
        <v>0</v>
      </c>
      <c r="Q19" s="114" t="s">
        <v>697</v>
      </c>
      <c r="R19" s="114">
        <f>('Plan de Acción 2022'!AA162)</f>
        <v>0.4</v>
      </c>
      <c r="S19" s="211">
        <f>(R19*40%)/(M19-L19)</f>
        <v>0.40000000000000008</v>
      </c>
      <c r="T19" s="114" t="str">
        <f>CONCATENATE('Plan de Acción 2022'!AB162)</f>
        <v>Los estudios previos se encuentran en estructuración con la Oficina de Jurídica Contratación y CDP 16922.</v>
      </c>
      <c r="U19" s="114">
        <f>('Plan de Acción 2022'!AD162)</f>
        <v>0</v>
      </c>
      <c r="V19" s="211">
        <f>(U19*40%)/(M19-L19)</f>
        <v>0</v>
      </c>
      <c r="W19" s="305"/>
      <c r="X19" s="114">
        <f>('Plan de Acción 2022'!AG162)</f>
        <v>0</v>
      </c>
      <c r="Y19" s="211">
        <f>(X19*40%)/(M19-L19)</f>
        <v>0</v>
      </c>
      <c r="Z19" s="167"/>
    </row>
    <row r="20" spans="1:53" ht="189" x14ac:dyDescent="0.2">
      <c r="A20" s="867"/>
      <c r="B20" s="460">
        <v>1</v>
      </c>
      <c r="C20" s="156">
        <v>0</v>
      </c>
      <c r="D20" s="154" t="s">
        <v>1946</v>
      </c>
      <c r="E20" s="113" t="s">
        <v>2127</v>
      </c>
      <c r="F20" s="887"/>
      <c r="G20" s="867"/>
      <c r="H20" s="460" t="s">
        <v>2141</v>
      </c>
      <c r="I20" s="214">
        <v>0.6</v>
      </c>
      <c r="J20" s="114">
        <v>0</v>
      </c>
      <c r="K20" s="114">
        <v>0.1</v>
      </c>
      <c r="L20" s="160">
        <v>0.1</v>
      </c>
      <c r="M20" s="114">
        <f>'Plan de Acción 2022'!R163</f>
        <v>0.3</v>
      </c>
      <c r="N20" s="114">
        <v>0.7</v>
      </c>
      <c r="O20" s="114">
        <f>'Plan de Acción 2022'!W163</f>
        <v>0.6</v>
      </c>
      <c r="P20" s="211">
        <f>(O20*20%)/(M20-L20)</f>
        <v>0.6</v>
      </c>
      <c r="Q20" s="114" t="s">
        <v>2142</v>
      </c>
      <c r="R20" s="114">
        <f>'Plan de Acción 2022'!AA163</f>
        <v>0.6</v>
      </c>
      <c r="S20" s="211">
        <f>(R20*20%)/(M20-L20)</f>
        <v>0.6</v>
      </c>
      <c r="T20" s="114" t="str">
        <f>CONCATENATE('Plan de Acción 2022'!AB163)</f>
        <v>Se encuentra en fabricación la cabina donde se guardará la silla salvaescalera tipo oruga, su valor es de $5.831.000</v>
      </c>
      <c r="U20" s="114">
        <f>'Plan de Acción 2022'!AD163</f>
        <v>0</v>
      </c>
      <c r="V20" s="211">
        <f>(U20*20)/(M20-L20)</f>
        <v>0</v>
      </c>
      <c r="W20" s="305"/>
      <c r="X20" s="114">
        <f>'Plan de Acción 2022'!AG163</f>
        <v>0</v>
      </c>
      <c r="Y20" s="211">
        <f>(X20*20)/(M20-L20)</f>
        <v>0</v>
      </c>
      <c r="Z20" s="161"/>
    </row>
    <row r="21" spans="1:53" ht="126" x14ac:dyDescent="0.2">
      <c r="A21" s="867"/>
      <c r="B21" s="460">
        <v>1</v>
      </c>
      <c r="C21" s="156">
        <v>0</v>
      </c>
      <c r="D21" s="154" t="s">
        <v>1946</v>
      </c>
      <c r="E21" s="113" t="s">
        <v>2127</v>
      </c>
      <c r="F21" s="887"/>
      <c r="G21" s="460" t="s">
        <v>2143</v>
      </c>
      <c r="H21" s="460" t="s">
        <v>705</v>
      </c>
      <c r="I21" s="114">
        <v>0.08</v>
      </c>
      <c r="J21" s="114">
        <v>0.2</v>
      </c>
      <c r="K21" s="114">
        <v>0.4</v>
      </c>
      <c r="L21" s="160">
        <v>0.37</v>
      </c>
      <c r="M21" s="114">
        <f>'Plan de Acción 2022'!R164</f>
        <v>0.6</v>
      </c>
      <c r="N21" s="114">
        <v>1</v>
      </c>
      <c r="O21" s="389">
        <f>('Plan de Acción 2022'!W164+'Plan de Acción 2022'!W165)/2</f>
        <v>0</v>
      </c>
      <c r="P21" s="211">
        <f>(O21*23%)/(M21-L21)</f>
        <v>0</v>
      </c>
      <c r="Q21" s="114" t="s">
        <v>697</v>
      </c>
      <c r="R21" s="389">
        <f>('Plan de Acción 2022'!AA164+'Plan de Acción 2022'!AA165)/2</f>
        <v>7.5000000000000011E-2</v>
      </c>
      <c r="S21" s="211">
        <f>(R21*23%)/(M21-L21)</f>
        <v>7.5000000000000025E-2</v>
      </c>
      <c r="T21" s="506" t="s">
        <v>2341</v>
      </c>
      <c r="U21" s="110"/>
      <c r="V21" s="211">
        <f>(U21*23%)/(M21-L21)</f>
        <v>0</v>
      </c>
      <c r="W21" s="465"/>
      <c r="X21" s="160"/>
      <c r="Y21" s="211">
        <f>(X21*23%)/(M21-L21)</f>
        <v>0</v>
      </c>
      <c r="Z21" s="161"/>
    </row>
    <row r="22" spans="1:53" ht="121.5" customHeight="1" x14ac:dyDescent="0.2">
      <c r="A22" s="867"/>
      <c r="B22" s="460">
        <v>1</v>
      </c>
      <c r="C22" s="156">
        <v>0</v>
      </c>
      <c r="D22" s="154" t="s">
        <v>1946</v>
      </c>
      <c r="E22" s="113" t="s">
        <v>2127</v>
      </c>
      <c r="F22" s="887"/>
      <c r="G22" s="460" t="s">
        <v>2144</v>
      </c>
      <c r="H22" s="460" t="s">
        <v>712</v>
      </c>
      <c r="I22" s="114">
        <v>0.28999999999999998</v>
      </c>
      <c r="J22" s="114">
        <v>0.2</v>
      </c>
      <c r="K22" s="114">
        <v>0.4</v>
      </c>
      <c r="L22" s="163">
        <v>0.3</v>
      </c>
      <c r="M22" s="114">
        <f>'Plan de Acción 2022'!R166</f>
        <v>0.6</v>
      </c>
      <c r="N22" s="114">
        <v>1</v>
      </c>
      <c r="O22" s="114">
        <f>('Plan de Acción 2022'!W166+'Plan de Acción 2022'!W167+'Plan de Acción 2022'!W193+'Plan de Acción 2022'!W194+'Plan de Acción 2022'!W195+'Plan de Acción 2022'!W196+'Plan de Acción 2022'!W197+'Plan de Acción 2022'!W198+'Plan de Acción 2022'!W199+'Plan de Acción 2022'!W200+'Plan de Acción 2022'!W201+'Plan de Acción 2022'!W350+'Plan de Acción 2022'!W351)/13</f>
        <v>0.21153846153846156</v>
      </c>
      <c r="P22" s="211">
        <f>(O22*30%)/(M22-L22)</f>
        <v>0.21153846153846159</v>
      </c>
      <c r="Q22" s="114" t="s">
        <v>2145</v>
      </c>
      <c r="R22" s="114">
        <f>('Plan de Acción 2022'!AA166+'Plan de Acción 2022'!AA167+'Plan de Acción 2022'!AA193+'Plan de Acción 2022'!AA194+'Plan de Acción 2022'!AA195+'Plan de Acción 2022'!AA196+'Plan de Acción 2022'!AA197+'Plan de Acción 2022'!AA198+'Plan de Acción 2022'!AA199+'Plan de Acción 2022'!AA200+'Plan de Acción 2022'!AA201+'Plan de Acción 2022'!AA349+'Plan de Acción 2022'!AA350+'Plan de Acción 2022'!AA351)/14</f>
        <v>0.29285714285714287</v>
      </c>
      <c r="S22" s="211">
        <f>(R22*30%)/(M22-L22)</f>
        <v>0.29285714285714287</v>
      </c>
      <c r="T22" s="460" t="s">
        <v>2342</v>
      </c>
      <c r="U22" s="114">
        <f>('Plan de Acción 2022'!AD166+'Plan de Acción 2022'!AD167+'Plan de Acción 2022'!AD193+'Plan de Acción 2022'!AD194+'Plan de Acción 2022'!AD195+'Plan de Acción 2022'!AD196+'Plan de Acción 2022'!AD197+'Plan de Acción 2022'!AD198+'Plan de Acción 2022'!AD199+'Plan de Acción 2022'!AD200+'Plan de Acción 2022'!AD201+'Plan de Acción 2022'!AD349+'Plan de Acción 2022'!AD350+'Plan de Acción 2022'!AD351)/14</f>
        <v>0</v>
      </c>
      <c r="V22" s="211">
        <f>(U22*30%)/(M22-L22)</f>
        <v>0</v>
      </c>
      <c r="W22" s="162"/>
      <c r="X22" s="114">
        <f>('Plan de Acción 2022'!AG166+'Plan de Acción 2022'!AG167+'Plan de Acción 2022'!AG193+'Plan de Acción 2022'!AG194+'Plan de Acción 2022'!AG195+'Plan de Acción 2022'!AG196+'Plan de Acción 2022'!AG197+'Plan de Acción 2022'!AG198+'Plan de Acción 2022'!AG199+'Plan de Acción 2022'!AG200+'Plan de Acción 2022'!AG201+'Plan de Acción 2022'!AG349+'Plan de Acción 2022'!AG350+'Plan de Acción 2022'!AG351)/14</f>
        <v>0</v>
      </c>
      <c r="Y22" s="211">
        <f>(X22*30%)/(M22-L22)</f>
        <v>0</v>
      </c>
      <c r="Z22" s="168"/>
    </row>
    <row r="23" spans="1:53" s="141" customFormat="1" ht="87.75" customHeight="1" x14ac:dyDescent="0.2">
      <c r="A23" s="905">
        <v>6</v>
      </c>
      <c r="B23" s="467">
        <v>0</v>
      </c>
      <c r="C23" s="169">
        <v>1</v>
      </c>
      <c r="D23" s="154" t="s">
        <v>1948</v>
      </c>
      <c r="E23" s="113" t="s">
        <v>1991</v>
      </c>
      <c r="F23" s="889" t="s">
        <v>1247</v>
      </c>
      <c r="G23" s="162" t="s">
        <v>2146</v>
      </c>
      <c r="H23" s="462" t="s">
        <v>1442</v>
      </c>
      <c r="I23" s="120">
        <v>0</v>
      </c>
      <c r="J23" s="120">
        <v>0</v>
      </c>
      <c r="K23" s="110">
        <v>0.25</v>
      </c>
      <c r="L23" s="158">
        <v>0.2</v>
      </c>
      <c r="M23" s="110">
        <f>'Plan de Acción 2022'!R325</f>
        <v>0.5</v>
      </c>
      <c r="N23" s="120">
        <v>1</v>
      </c>
      <c r="O23" s="120">
        <f>'Plan de Acción 2022'!W325</f>
        <v>0.15</v>
      </c>
      <c r="P23" s="211">
        <f>(O23*30%)/(M23-L23)</f>
        <v>0.15</v>
      </c>
      <c r="Q23" s="120" t="s">
        <v>2147</v>
      </c>
      <c r="R23" s="120">
        <f>'Plan de Acción 2022'!AA325</f>
        <v>0.2</v>
      </c>
      <c r="S23" s="211">
        <f>(R23*30%)/(M23-L23)</f>
        <v>0.2</v>
      </c>
      <c r="T23" s="110" t="s">
        <v>2345</v>
      </c>
      <c r="U23" s="120">
        <f>'Plan de Acción 2022'!AD325</f>
        <v>0</v>
      </c>
      <c r="V23" s="211">
        <f>(U23*30%)/(M23-L23)</f>
        <v>0</v>
      </c>
      <c r="W23" s="110"/>
      <c r="X23" s="120">
        <f>'Plan de Acción 2022'!AG325</f>
        <v>0</v>
      </c>
      <c r="Y23" s="211">
        <f>(X23*30%)/(M23-L23)</f>
        <v>0</v>
      </c>
      <c r="Z23" s="170"/>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row>
    <row r="24" spans="1:53" s="141" customFormat="1" ht="123" customHeight="1" x14ac:dyDescent="0.2">
      <c r="A24" s="905"/>
      <c r="B24" s="467">
        <v>0</v>
      </c>
      <c r="C24" s="169">
        <v>1</v>
      </c>
      <c r="D24" s="194" t="s">
        <v>1948</v>
      </c>
      <c r="E24" s="124" t="s">
        <v>1991</v>
      </c>
      <c r="F24" s="903"/>
      <c r="G24" s="463" t="s">
        <v>1417</v>
      </c>
      <c r="H24" s="463" t="s">
        <v>1420</v>
      </c>
      <c r="I24" s="120">
        <v>0</v>
      </c>
      <c r="J24" s="171">
        <v>0</v>
      </c>
      <c r="K24" s="172">
        <v>0.25</v>
      </c>
      <c r="L24" s="172">
        <v>0.1</v>
      </c>
      <c r="M24" s="172">
        <f>'Plan de Acción 2022'!R319</f>
        <v>0.5</v>
      </c>
      <c r="N24" s="171">
        <v>1</v>
      </c>
      <c r="O24" s="390">
        <f>'Plan de Acción 2022'!W319</f>
        <v>0</v>
      </c>
      <c r="P24" s="211">
        <f>(O24*40%)/(M24-L24)</f>
        <v>0</v>
      </c>
      <c r="Q24" s="171" t="s">
        <v>1422</v>
      </c>
      <c r="R24" s="171">
        <f>'Plan de Acción 2022'!AA319</f>
        <v>0.3</v>
      </c>
      <c r="S24" s="211">
        <f>(R24*40%)/(M24-L24)</f>
        <v>0.3</v>
      </c>
      <c r="T24" s="172" t="s">
        <v>2344</v>
      </c>
      <c r="U24" s="171">
        <f>'Plan de Acción 2022'!AD319</f>
        <v>0</v>
      </c>
      <c r="V24" s="211">
        <f>(U24*40%)/(M24-L24)</f>
        <v>0</v>
      </c>
      <c r="W24" s="172"/>
      <c r="X24" s="171">
        <f>'Plan de Acción 2022'!AG319</f>
        <v>0</v>
      </c>
      <c r="Y24" s="211">
        <f>(X24*40%)/(M24-L24)</f>
        <v>0</v>
      </c>
      <c r="Z24" s="195"/>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row>
    <row r="25" spans="1:53" s="141" customFormat="1" ht="158.25" thickBot="1" x14ac:dyDescent="0.25">
      <c r="A25" s="100"/>
      <c r="B25" s="100"/>
      <c r="C25" s="100"/>
      <c r="D25" s="194" t="s">
        <v>1948</v>
      </c>
      <c r="E25" s="124" t="s">
        <v>1991</v>
      </c>
      <c r="F25" s="904"/>
      <c r="G25" s="196" t="s">
        <v>2148</v>
      </c>
      <c r="H25" s="196" t="s">
        <v>1250</v>
      </c>
      <c r="I25" s="120">
        <v>0</v>
      </c>
      <c r="J25" s="171">
        <v>0</v>
      </c>
      <c r="K25" s="172">
        <v>0.25</v>
      </c>
      <c r="L25" s="172">
        <v>0.1</v>
      </c>
      <c r="M25" s="173">
        <f>'Plan de Acción 2022'!R277</f>
        <v>0.5</v>
      </c>
      <c r="N25" s="197">
        <v>1</v>
      </c>
      <c r="O25" s="197">
        <f>'Plan de Acción 2022'!W277</f>
        <v>0.05</v>
      </c>
      <c r="P25" s="211">
        <f>(O25*40%)/(M25-L25)</f>
        <v>5.000000000000001E-2</v>
      </c>
      <c r="Q25" s="197" t="s">
        <v>1252</v>
      </c>
      <c r="R25" s="197">
        <f>'Plan de Acción 2022'!AA277</f>
        <v>0.35</v>
      </c>
      <c r="S25" s="211">
        <f>(R25*40%)/(M25-L25)</f>
        <v>0.34999999999999992</v>
      </c>
      <c r="T25" s="173" t="s">
        <v>2343</v>
      </c>
      <c r="U25" s="197">
        <f>'Plan de Acción 2022'!AD277</f>
        <v>0</v>
      </c>
      <c r="V25" s="211">
        <f>(U25*40%)/(M25-L25)</f>
        <v>0</v>
      </c>
      <c r="W25" s="173"/>
      <c r="X25" s="197">
        <f>'Plan de Acción 2022'!AG277</f>
        <v>0</v>
      </c>
      <c r="Y25" s="211">
        <f>(X25*40%)/(M25-L25)</f>
        <v>0</v>
      </c>
      <c r="Z25" s="173"/>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row>
    <row r="26" spans="1:53" ht="63" x14ac:dyDescent="0.2">
      <c r="A26" s="96">
        <v>6</v>
      </c>
      <c r="B26" s="96"/>
      <c r="C26" s="96"/>
      <c r="D26" s="900"/>
      <c r="E26" s="901"/>
      <c r="F26" s="901"/>
      <c r="G26" s="901"/>
      <c r="H26" s="901"/>
      <c r="I26" s="901"/>
      <c r="J26" s="901"/>
      <c r="K26" s="902"/>
      <c r="L26" s="466"/>
      <c r="M26" s="466"/>
      <c r="N26" s="466"/>
      <c r="O26" s="222" t="s">
        <v>2099</v>
      </c>
      <c r="P26" s="223">
        <f>AVERAGE(P8:P25)</f>
        <v>0.16412065527065525</v>
      </c>
      <c r="Q26" s="222"/>
      <c r="R26" s="222" t="s">
        <v>2100</v>
      </c>
      <c r="S26" s="223">
        <f>AVERAGE(S8:S25)</f>
        <v>0.35319444444444442</v>
      </c>
      <c r="T26" s="224"/>
      <c r="U26" s="222" t="s">
        <v>2101</v>
      </c>
      <c r="V26" s="223">
        <f>AVERAGE(V8:V25)</f>
        <v>0</v>
      </c>
      <c r="W26" s="224"/>
      <c r="X26" s="222" t="s">
        <v>2102</v>
      </c>
      <c r="Y26" s="223">
        <f>AVERAGE(Y8:Y25)</f>
        <v>0</v>
      </c>
      <c r="Z26" s="225">
        <f>AVERAGE(Z27:Z29)/3</f>
        <v>0.16285984533984532</v>
      </c>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row>
    <row r="27" spans="1:53" ht="35.25" customHeight="1" x14ac:dyDescent="0.2">
      <c r="E27" s="132"/>
      <c r="O27" s="215" t="s">
        <v>1940</v>
      </c>
      <c r="P27" s="216">
        <f>AVERAGE(P8+P10+P11+P12)/4</f>
        <v>0.16208333333333327</v>
      </c>
      <c r="Q27" s="179"/>
      <c r="R27" s="179"/>
      <c r="S27" s="216">
        <f>AVERAGE(S8+S10+S11+S12)/4</f>
        <v>0.26636904761904751</v>
      </c>
      <c r="T27" s="179"/>
      <c r="U27" s="179"/>
      <c r="V27" s="216">
        <f>AVERAGE(V8+V10+V11+V12)/4</f>
        <v>0</v>
      </c>
      <c r="W27" s="179"/>
      <c r="X27" s="179"/>
      <c r="Y27" s="216">
        <f>AVERAGE(Y8+Y10+Y11+Y12)/4</f>
        <v>0</v>
      </c>
      <c r="Z27" s="216">
        <f>AVERAGE(P27+S27+V27+Y27)</f>
        <v>0.42845238095238081</v>
      </c>
    </row>
    <row r="28" spans="1:53" ht="51" x14ac:dyDescent="0.2">
      <c r="E28" s="132"/>
      <c r="O28" s="215" t="s">
        <v>1948</v>
      </c>
      <c r="P28" s="216">
        <f>AVERAGE(P9+P23+P24+P25)/4</f>
        <v>0.15000000000000002</v>
      </c>
      <c r="Q28" s="179"/>
      <c r="R28" s="179"/>
      <c r="S28" s="216">
        <f>AVERAGE(S9+S23+S24+S25)/4</f>
        <v>0.3125</v>
      </c>
      <c r="T28" s="179"/>
      <c r="U28" s="179"/>
      <c r="V28" s="216">
        <f>AVERAGE(V9+V23+V24+V25)/4</f>
        <v>0</v>
      </c>
      <c r="W28" s="179"/>
      <c r="X28" s="179"/>
      <c r="Y28" s="216">
        <f>AVERAGE(Y9+Y23+Y24+Y25)/4</f>
        <v>0</v>
      </c>
      <c r="Z28" s="216">
        <f t="shared" ref="Z28:Z29" si="0">AVERAGE(P28+S28+V28+Y28)</f>
        <v>0.46250000000000002</v>
      </c>
    </row>
    <row r="29" spans="1:53" ht="76.5" x14ac:dyDescent="0.2">
      <c r="E29" s="132"/>
      <c r="O29" s="215" t="s">
        <v>1946</v>
      </c>
      <c r="P29" s="216">
        <f>AVERAGE(P13+P14+P15+P16+P17+P18+P19+P20+P21+P22)/10</f>
        <v>0.17058384615384617</v>
      </c>
      <c r="Q29" s="179"/>
      <c r="R29" s="179"/>
      <c r="S29" s="216">
        <f>AVERAGE(S13+S14+S15+S16+S17+S18+S19+S20+S21+S22)/10</f>
        <v>0.40420238095238104</v>
      </c>
      <c r="T29" s="179"/>
      <c r="U29" s="179"/>
      <c r="V29" s="216">
        <f>AVERAGE(V13+V14+V15+V16+V17+V18+V19+V20+V21+V22)/10</f>
        <v>0</v>
      </c>
      <c r="W29" s="179"/>
      <c r="X29" s="179"/>
      <c r="Y29" s="216">
        <f>AVERAGE(Y13+Y14+Y15+Y16+Y17+Y18+Y19+Y20+Y21+Y22)/10</f>
        <v>0</v>
      </c>
      <c r="Z29" s="216">
        <f t="shared" si="0"/>
        <v>0.57478622710622718</v>
      </c>
    </row>
    <row r="30" spans="1:53" ht="13.5" thickBot="1" x14ac:dyDescent="0.25"/>
    <row r="31" spans="1:53" s="8" customFormat="1" ht="13.5" customHeight="1" thickTop="1" x14ac:dyDescent="0.2">
      <c r="A31" s="906" t="s">
        <v>1926</v>
      </c>
      <c r="B31" s="907"/>
      <c r="C31" s="907"/>
      <c r="D31" s="907"/>
      <c r="E31" s="907"/>
      <c r="F31" s="907"/>
      <c r="G31" s="907"/>
      <c r="H31" s="907"/>
      <c r="I31" s="907"/>
      <c r="J31" s="908"/>
      <c r="K31" s="912" t="s">
        <v>1927</v>
      </c>
      <c r="L31" s="913"/>
      <c r="M31" s="913"/>
      <c r="N31" s="913"/>
      <c r="O31" s="913"/>
      <c r="P31" s="913"/>
      <c r="Q31" s="913"/>
      <c r="R31" s="914"/>
      <c r="S31" s="912" t="s">
        <v>1928</v>
      </c>
      <c r="T31" s="918"/>
      <c r="U31" s="906" t="s">
        <v>1929</v>
      </c>
      <c r="V31" s="907"/>
      <c r="W31" s="907"/>
      <c r="X31" s="907"/>
      <c r="Y31" s="920"/>
      <c r="Z31" s="922">
        <v>1</v>
      </c>
      <c r="AA31" s="337"/>
      <c r="AD31" s="337"/>
      <c r="AG31" s="337"/>
    </row>
    <row r="32" spans="1:53" s="8" customFormat="1" ht="5.25" customHeight="1" thickBot="1" x14ac:dyDescent="0.25">
      <c r="A32" s="909"/>
      <c r="B32" s="910"/>
      <c r="C32" s="910"/>
      <c r="D32" s="910"/>
      <c r="E32" s="910"/>
      <c r="F32" s="910"/>
      <c r="G32" s="910"/>
      <c r="H32" s="910"/>
      <c r="I32" s="910"/>
      <c r="J32" s="911"/>
      <c r="K32" s="915"/>
      <c r="L32" s="916"/>
      <c r="M32" s="916"/>
      <c r="N32" s="916"/>
      <c r="O32" s="916"/>
      <c r="P32" s="916"/>
      <c r="Q32" s="916"/>
      <c r="R32" s="917"/>
      <c r="S32" s="915"/>
      <c r="T32" s="919"/>
      <c r="U32" s="909"/>
      <c r="V32" s="910"/>
      <c r="W32" s="910"/>
      <c r="X32" s="910"/>
      <c r="Y32" s="921"/>
      <c r="Z32" s="923"/>
      <c r="AA32" s="337"/>
      <c r="AD32" s="337"/>
      <c r="AG32" s="337"/>
    </row>
    <row r="33" spans="19:22" x14ac:dyDescent="0.2">
      <c r="S33" s="175"/>
      <c r="T33" s="176"/>
      <c r="U33" s="176"/>
      <c r="V33" s="176"/>
    </row>
    <row r="34" spans="19:22" x14ac:dyDescent="0.2">
      <c r="S34" s="175"/>
    </row>
  </sheetData>
  <mergeCells count="26">
    <mergeCell ref="A31:J32"/>
    <mergeCell ref="K31:R32"/>
    <mergeCell ref="S31:T32"/>
    <mergeCell ref="U31:Y32"/>
    <mergeCell ref="Z31:Z32"/>
    <mergeCell ref="D26:K26"/>
    <mergeCell ref="F23:F25"/>
    <mergeCell ref="A15:A22"/>
    <mergeCell ref="F15:F22"/>
    <mergeCell ref="G19:G20"/>
    <mergeCell ref="A23:A24"/>
    <mergeCell ref="AF5:AK5"/>
    <mergeCell ref="AL5:AQ5"/>
    <mergeCell ref="AR5:AW5"/>
    <mergeCell ref="A10:A12"/>
    <mergeCell ref="F10:F12"/>
    <mergeCell ref="F13:F14"/>
    <mergeCell ref="G13:G14"/>
    <mergeCell ref="D5:N5"/>
    <mergeCell ref="O5:Q5"/>
    <mergeCell ref="B1:Z2"/>
    <mergeCell ref="A3:Z3"/>
    <mergeCell ref="A4:Z4"/>
    <mergeCell ref="R5:T5"/>
    <mergeCell ref="U5:W5"/>
    <mergeCell ref="X5:Z5"/>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65"/>
  <sheetViews>
    <sheetView showGridLines="0" zoomScale="55" zoomScaleNormal="55" workbookViewId="0">
      <selection activeCell="G23" sqref="G23"/>
    </sheetView>
  </sheetViews>
  <sheetFormatPr baseColWidth="10" defaultColWidth="11.42578125" defaultRowHeight="12.75" x14ac:dyDescent="0.2"/>
  <sheetData>
    <row r="63" spans="1:25" ht="13.5" thickBot="1" x14ac:dyDescent="0.25"/>
    <row r="64" spans="1:25" ht="13.5" thickTop="1" x14ac:dyDescent="0.2">
      <c r="A64" s="847" t="s">
        <v>1926</v>
      </c>
      <c r="B64" s="848"/>
      <c r="C64" s="848"/>
      <c r="D64" s="848"/>
      <c r="E64" s="848"/>
      <c r="F64" s="848"/>
      <c r="G64" s="848"/>
      <c r="H64" s="848"/>
      <c r="I64" s="849"/>
      <c r="J64" s="853" t="s">
        <v>1927</v>
      </c>
      <c r="K64" s="854"/>
      <c r="L64" s="854"/>
      <c r="M64" s="854"/>
      <c r="N64" s="854"/>
      <c r="O64" s="854"/>
      <c r="P64" s="854"/>
      <c r="Q64" s="855"/>
      <c r="R64" s="853" t="s">
        <v>1928</v>
      </c>
      <c r="S64" s="859"/>
      <c r="T64" s="847" t="s">
        <v>1929</v>
      </c>
      <c r="U64" s="848"/>
      <c r="V64" s="848"/>
      <c r="W64" s="848"/>
      <c r="X64" s="861"/>
      <c r="Y64" s="842">
        <v>1</v>
      </c>
    </row>
    <row r="65" spans="1:25" ht="13.5" thickBot="1" x14ac:dyDescent="0.25">
      <c r="A65" s="850"/>
      <c r="B65" s="851"/>
      <c r="C65" s="851"/>
      <c r="D65" s="851"/>
      <c r="E65" s="851"/>
      <c r="F65" s="851"/>
      <c r="G65" s="851"/>
      <c r="H65" s="851"/>
      <c r="I65" s="852"/>
      <c r="J65" s="856"/>
      <c r="K65" s="857"/>
      <c r="L65" s="857"/>
      <c r="M65" s="857"/>
      <c r="N65" s="857"/>
      <c r="O65" s="857"/>
      <c r="P65" s="857"/>
      <c r="Q65" s="858"/>
      <c r="R65" s="856"/>
      <c r="S65" s="860"/>
      <c r="T65" s="850"/>
      <c r="U65" s="851"/>
      <c r="V65" s="851"/>
      <c r="W65" s="851"/>
      <c r="X65" s="862"/>
      <c r="Y65" s="843"/>
    </row>
  </sheetData>
  <mergeCells count="5">
    <mergeCell ref="A64:I65"/>
    <mergeCell ref="J64:Q65"/>
    <mergeCell ref="R64:S65"/>
    <mergeCell ref="T64:X65"/>
    <mergeCell ref="Y64:Y6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79"/>
  <sheetViews>
    <sheetView showGridLines="0" topLeftCell="C18" zoomScale="70" zoomScaleNormal="70" workbookViewId="0">
      <selection activeCell="S47" sqref="S47"/>
    </sheetView>
  </sheetViews>
  <sheetFormatPr baseColWidth="10" defaultColWidth="11.42578125" defaultRowHeight="12.75" x14ac:dyDescent="0.2"/>
  <sheetData>
    <row r="63" ht="13.5" customHeight="1" x14ac:dyDescent="0.2"/>
    <row r="64" ht="13.5" customHeight="1" x14ac:dyDescent="0.2"/>
    <row r="65" spans="1:25" ht="13.5" customHeight="1" x14ac:dyDescent="0.2"/>
    <row r="66" spans="1:25" ht="13.5" customHeight="1" x14ac:dyDescent="0.2"/>
    <row r="67" spans="1:25" ht="13.5" customHeight="1" x14ac:dyDescent="0.2"/>
    <row r="68" spans="1:25" ht="13.5" customHeight="1" x14ac:dyDescent="0.2"/>
    <row r="69" spans="1:25" ht="13.5" customHeight="1" x14ac:dyDescent="0.2"/>
    <row r="70" spans="1:25" ht="13.5" customHeight="1" x14ac:dyDescent="0.2"/>
    <row r="72" spans="1:25" ht="12.75" customHeight="1" x14ac:dyDescent="0.2">
      <c r="A72" s="924" t="s">
        <v>1926</v>
      </c>
      <c r="B72" s="924"/>
      <c r="C72" s="924"/>
      <c r="D72" s="924"/>
      <c r="E72" s="924"/>
      <c r="F72" s="924"/>
      <c r="G72" s="924"/>
      <c r="H72" s="924"/>
      <c r="I72" s="924"/>
      <c r="J72" s="924" t="s">
        <v>1927</v>
      </c>
      <c r="K72" s="924"/>
      <c r="L72" s="924"/>
      <c r="M72" s="924"/>
      <c r="N72" s="924"/>
      <c r="O72" s="924"/>
      <c r="P72" s="924"/>
      <c r="Q72" s="924"/>
      <c r="R72" s="924" t="s">
        <v>1928</v>
      </c>
      <c r="S72" s="924"/>
      <c r="T72" s="924" t="s">
        <v>1929</v>
      </c>
      <c r="U72" s="924"/>
      <c r="V72" s="924"/>
      <c r="W72" s="924"/>
      <c r="X72" s="924"/>
      <c r="Y72" s="924">
        <v>1</v>
      </c>
    </row>
    <row r="73" spans="1:25" ht="12.75" customHeight="1" x14ac:dyDescent="0.2">
      <c r="A73" s="924"/>
      <c r="B73" s="924"/>
      <c r="C73" s="924"/>
      <c r="D73" s="924"/>
      <c r="E73" s="924"/>
      <c r="F73" s="924"/>
      <c r="G73" s="924"/>
      <c r="H73" s="924"/>
      <c r="I73" s="924"/>
      <c r="J73" s="924"/>
      <c r="K73" s="924"/>
      <c r="L73" s="924"/>
      <c r="M73" s="924"/>
      <c r="N73" s="924"/>
      <c r="O73" s="924"/>
      <c r="P73" s="924"/>
      <c r="Q73" s="924"/>
      <c r="R73" s="924"/>
      <c r="S73" s="924"/>
      <c r="T73" s="924"/>
      <c r="U73" s="924"/>
      <c r="V73" s="924"/>
      <c r="W73" s="924"/>
      <c r="X73" s="924"/>
      <c r="Y73" s="924"/>
    </row>
    <row r="79" spans="1:25" ht="15.75" customHeight="1" x14ac:dyDescent="0.2"/>
  </sheetData>
  <mergeCells count="5">
    <mergeCell ref="A72:I73"/>
    <mergeCell ref="J72:Q73"/>
    <mergeCell ref="R72:S73"/>
    <mergeCell ref="T72:X73"/>
    <mergeCell ref="Y72:Y7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50EC9DC28FEB84E8772A9ADEDC09552" ma:contentTypeVersion="14" ma:contentTypeDescription="Create a new document." ma:contentTypeScope="" ma:versionID="9adf6d63978f55f1afb20ba8e23806b6">
  <xsd:schema xmlns:xsd="http://www.w3.org/2001/XMLSchema" xmlns:xs="http://www.w3.org/2001/XMLSchema" xmlns:p="http://schemas.microsoft.com/office/2006/metadata/properties" xmlns:ns3="43b5c514-35a4-416e-aff7-df25cf72a503" xmlns:ns4="ab6efe54-1113-4d03-9a9b-53d2d06840d9" targetNamespace="http://schemas.microsoft.com/office/2006/metadata/properties" ma:root="true" ma:fieldsID="d5514b6ca1c366bc5c606047de09048a" ns3:_="" ns4:_="">
    <xsd:import namespace="43b5c514-35a4-416e-aff7-df25cf72a503"/>
    <xsd:import namespace="ab6efe54-1113-4d03-9a9b-53d2d06840d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b5c514-35a4-416e-aff7-df25cf72a50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6efe54-1113-4d03-9a9b-53d2d06840d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63305D-6236-4C56-A7F5-E7F5B2DCAA6C}">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ab6efe54-1113-4d03-9a9b-53d2d06840d9"/>
    <ds:schemaRef ds:uri="http://purl.org/dc/dcmitype/"/>
    <ds:schemaRef ds:uri="http://schemas.microsoft.com/office/2006/metadata/properties"/>
    <ds:schemaRef ds:uri="43b5c514-35a4-416e-aff7-df25cf72a503"/>
    <ds:schemaRef ds:uri="http://www.w3.org/XML/1998/namespace"/>
    <ds:schemaRef ds:uri="http://purl.org/dc/elements/1.1/"/>
  </ds:schemaRefs>
</ds:datastoreItem>
</file>

<file path=customXml/itemProps2.xml><?xml version="1.0" encoding="utf-8"?>
<ds:datastoreItem xmlns:ds="http://schemas.openxmlformats.org/officeDocument/2006/customXml" ds:itemID="{121E2650-6E4D-4934-9173-A42632420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b5c514-35a4-416e-aff7-df25cf72a503"/>
    <ds:schemaRef ds:uri="ab6efe54-1113-4d03-9a9b-53d2d06840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AB121C-0D54-449E-A3C1-DCD06D27E3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Plan de Acción 2022</vt:lpstr>
      <vt:lpstr>AVANCES 2022</vt:lpstr>
      <vt:lpstr>LO INSTITUCIONAL</vt:lpstr>
      <vt:lpstr>LO SOCIAL</vt:lpstr>
      <vt:lpstr>LO AMBIENTAL</vt:lpstr>
      <vt:lpstr>AVANCE GENERAL 2022</vt:lpstr>
      <vt:lpstr>REC</vt:lpstr>
      <vt:lpstr>ETAPA</vt:lpstr>
      <vt:lpstr>ETAPAS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Plan de Accion ETITC</cp:lastModifiedBy>
  <cp:revision/>
  <dcterms:created xsi:type="dcterms:W3CDTF">2019-12-26T17:32:37Z</dcterms:created>
  <dcterms:modified xsi:type="dcterms:W3CDTF">2022-08-22T15:43:59Z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0x010100850EC9DC28FEB84E8772A9ADEDC09552</vt:lpwstr>
  </property>
</Properties>
</file>