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landeaccion\OneDrive - Escuela Tecnologica Instituto Tecnico Central\A. Vigencia 2022\PLAN DE ACCIÓN 2022\PLAN DE ACCIÓN 2022\A. SEGUIMIENTOS 2022\3 SEGUIMIENTO\"/>
    </mc:Choice>
  </mc:AlternateContent>
  <bookViews>
    <workbookView xWindow="0" yWindow="0" windowWidth="20490" windowHeight="7650" tabRatio="745"/>
  </bookViews>
  <sheets>
    <sheet name="Plan de Acción 2022" sheetId="2" r:id="rId1"/>
    <sheet name="AVANCES 2022" sheetId="10" state="hidden" r:id="rId2"/>
    <sheet name="LO INSTITUCIONAL" sheetId="6" state="hidden" r:id="rId3"/>
    <sheet name="Hoja2" sheetId="15" state="hidden" r:id="rId4"/>
    <sheet name="LO SOCIAL" sheetId="5" state="hidden" r:id="rId5"/>
    <sheet name="LO AMBIENTAL" sheetId="9" state="hidden" r:id="rId6"/>
    <sheet name="AVANCE GENERAL 2022" sheetId="12" state="hidden" r:id="rId7"/>
    <sheet name="REC" sheetId="13" state="hidden" r:id="rId8"/>
  </sheets>
  <definedNames>
    <definedName name="_xlnm._FilterDatabase" localSheetId="5" hidden="1">'LO AMBIENTAL'!$A$6:$BV$29</definedName>
    <definedName name="_xlnm._FilterDatabase" localSheetId="2" hidden="1">'LO INSTITUCIONAL'!$A$7:$MA$42</definedName>
    <definedName name="_xlnm._FilterDatabase" localSheetId="4" hidden="1">'LO SOCIAL'!$A$5:$MJ$35</definedName>
    <definedName name="_xlnm._FilterDatabase" localSheetId="0" hidden="1">'Plan de Acción 2022'!$A$7:$AL$415</definedName>
    <definedName name="ETAPA">'Plan de Acción 2022'!$A$423:$A$428</definedName>
    <definedName name="ETAPAS">'Plan de Acción 2022'!$A$422:$A$428</definedName>
  </definedNames>
  <calcPr calcId="162913"/>
</workbook>
</file>

<file path=xl/calcChain.xml><?xml version="1.0" encoding="utf-8"?>
<calcChain xmlns="http://schemas.openxmlformats.org/spreadsheetml/2006/main">
  <c r="B6" i="15" l="1"/>
  <c r="D3" i="15" s="1"/>
  <c r="V4" i="10"/>
  <c r="V5" i="10"/>
  <c r="V6" i="10"/>
  <c r="V7" i="10"/>
  <c r="V8" i="10"/>
  <c r="V9" i="10"/>
  <c r="V10" i="10"/>
  <c r="V11" i="10"/>
  <c r="V12" i="10"/>
  <c r="V13" i="10"/>
  <c r="V14" i="10"/>
  <c r="V15" i="10"/>
  <c r="V16" i="10"/>
  <c r="V17" i="10"/>
  <c r="V18" i="10"/>
  <c r="V19" i="10"/>
  <c r="V20" i="10"/>
  <c r="V21" i="10"/>
  <c r="V22" i="10"/>
  <c r="V23" i="10"/>
  <c r="V24" i="10"/>
  <c r="V25" i="10"/>
  <c r="V26" i="10"/>
  <c r="V27" i="10"/>
  <c r="V28" i="10"/>
  <c r="V29" i="10"/>
  <c r="V30" i="10"/>
  <c r="V31" i="10"/>
  <c r="V32" i="10"/>
  <c r="V33" i="10"/>
  <c r="V34" i="10"/>
  <c r="V35" i="10"/>
  <c r="V36" i="10"/>
  <c r="V37" i="10"/>
  <c r="V3" i="10"/>
  <c r="V38" i="10" l="1"/>
  <c r="D4" i="15"/>
  <c r="D5" i="15"/>
  <c r="L28" i="5"/>
  <c r="R29" i="6"/>
  <c r="O29" i="6"/>
  <c r="R12" i="6"/>
  <c r="R9" i="6"/>
  <c r="U9" i="6"/>
  <c r="V9" i="6"/>
  <c r="X9" i="6"/>
  <c r="O9" i="6"/>
  <c r="D6" i="15" l="1"/>
  <c r="X30" i="6"/>
  <c r="U30" i="6"/>
  <c r="N6" i="10" l="1"/>
  <c r="N5" i="10"/>
  <c r="N4" i="10"/>
  <c r="N3" i="10"/>
  <c r="R25" i="6"/>
  <c r="O25" i="6"/>
  <c r="R22" i="9"/>
  <c r="O22" i="9"/>
  <c r="R21" i="9"/>
  <c r="T20" i="9"/>
  <c r="T19" i="9"/>
  <c r="T14" i="9"/>
  <c r="T13" i="9"/>
  <c r="O8" i="9"/>
  <c r="U31" i="5"/>
  <c r="R31" i="5"/>
  <c r="Q22" i="5"/>
  <c r="U21" i="5"/>
  <c r="R21" i="5"/>
  <c r="O21" i="5"/>
  <c r="P21" i="5" s="1"/>
  <c r="L21" i="5"/>
  <c r="O6" i="5"/>
  <c r="L6" i="5"/>
  <c r="U7" i="5"/>
  <c r="R7" i="5"/>
  <c r="O7" i="5"/>
  <c r="X25" i="6"/>
  <c r="X31" i="6"/>
  <c r="U31" i="6"/>
  <c r="U38" i="6"/>
  <c r="R38" i="6"/>
  <c r="T36" i="6"/>
  <c r="T35" i="6"/>
  <c r="R32" i="6"/>
  <c r="O32" i="6"/>
  <c r="T34" i="6"/>
  <c r="T33" i="6"/>
  <c r="O31" i="6"/>
  <c r="R31" i="6"/>
  <c r="U29" i="6"/>
  <c r="O27" i="6"/>
  <c r="R27" i="6"/>
  <c r="X26" i="6"/>
  <c r="U26" i="6"/>
  <c r="R26" i="6"/>
  <c r="O26" i="6"/>
  <c r="X23" i="6"/>
  <c r="U23" i="6"/>
  <c r="R11" i="6"/>
  <c r="P139" i="2" l="1"/>
  <c r="Q139" i="2" s="1"/>
  <c r="P140" i="2"/>
  <c r="Q140" i="2" s="1"/>
  <c r="P141" i="2"/>
  <c r="Q141" i="2" s="1"/>
  <c r="P142" i="2"/>
  <c r="Q142" i="2" s="1"/>
  <c r="P143" i="2"/>
  <c r="Q143" i="2" s="1"/>
  <c r="P144" i="2"/>
  <c r="Q144" i="2" s="1"/>
  <c r="P145" i="2"/>
  <c r="Q145" i="2" s="1"/>
  <c r="P146" i="2"/>
  <c r="Q146" i="2" s="1"/>
  <c r="P147" i="2"/>
  <c r="Q147" i="2" s="1"/>
  <c r="P148" i="2"/>
  <c r="Q148" i="2" s="1"/>
  <c r="P149" i="2"/>
  <c r="Q149" i="2" s="1"/>
  <c r="P150" i="2"/>
  <c r="Q150" i="2" s="1"/>
  <c r="P151" i="2"/>
  <c r="Q151" i="2" s="1"/>
  <c r="P152" i="2"/>
  <c r="Q152" i="2" s="1"/>
  <c r="P153" i="2"/>
  <c r="Q153" i="2" s="1"/>
  <c r="P154" i="2"/>
  <c r="Q154" i="2" s="1"/>
  <c r="P155" i="2"/>
  <c r="Q155" i="2" s="1"/>
  <c r="P56" i="2" l="1"/>
  <c r="Q56" i="2" s="1"/>
  <c r="P304" i="2" l="1"/>
  <c r="Q304" i="2" s="1"/>
  <c r="U15" i="5" l="1"/>
  <c r="R15" i="5"/>
  <c r="O15" i="5"/>
  <c r="L15" i="5"/>
  <c r="W20" i="5" l="1"/>
  <c r="U20" i="5"/>
  <c r="R20" i="5"/>
  <c r="O20" i="5"/>
  <c r="P20" i="5" s="1"/>
  <c r="L20" i="5"/>
  <c r="U17" i="5" l="1"/>
  <c r="R17" i="5"/>
  <c r="O17" i="5"/>
  <c r="L17" i="5"/>
  <c r="U26" i="5"/>
  <c r="R26" i="5"/>
  <c r="O26" i="5"/>
  <c r="L26" i="5"/>
  <c r="P365" i="2"/>
  <c r="Q365" i="2" s="1"/>
  <c r="U24" i="5"/>
  <c r="R24" i="5"/>
  <c r="O24" i="5"/>
  <c r="L24" i="5"/>
  <c r="P353" i="2"/>
  <c r="Q353" i="2" s="1"/>
  <c r="L12" i="5" l="1"/>
  <c r="U12" i="10" l="1"/>
  <c r="U3" i="10"/>
  <c r="U4" i="10"/>
  <c r="U5" i="10"/>
  <c r="U6" i="10"/>
  <c r="U7" i="10"/>
  <c r="U8" i="10"/>
  <c r="U9" i="10"/>
  <c r="U10" i="10"/>
  <c r="U11" i="10"/>
  <c r="U17" i="10"/>
  <c r="T38" i="10"/>
  <c r="U37" i="10"/>
  <c r="U36" i="10"/>
  <c r="U35" i="10"/>
  <c r="U34" i="10"/>
  <c r="U33" i="10"/>
  <c r="U32" i="10"/>
  <c r="U31" i="10"/>
  <c r="U30" i="10"/>
  <c r="U29" i="10"/>
  <c r="U28" i="10"/>
  <c r="U27" i="10"/>
  <c r="U26" i="10"/>
  <c r="U25" i="10"/>
  <c r="U24" i="10"/>
  <c r="U23" i="10"/>
  <c r="U22" i="10"/>
  <c r="U21" i="10"/>
  <c r="U20" i="10"/>
  <c r="U19" i="10"/>
  <c r="U18" i="10"/>
  <c r="U16" i="10"/>
  <c r="U15" i="10"/>
  <c r="U14" i="10"/>
  <c r="U13" i="10"/>
  <c r="U38" i="10" l="1"/>
  <c r="P109" i="2" l="1"/>
  <c r="Q109" i="2" s="1"/>
  <c r="P129" i="2"/>
  <c r="Q129" i="2" s="1"/>
  <c r="P182" i="2"/>
  <c r="Q182" i="2" s="1"/>
  <c r="P200" i="2"/>
  <c r="Q200" i="2" s="1"/>
  <c r="P199" i="2"/>
  <c r="Q199" i="2" s="1"/>
  <c r="P198" i="2"/>
  <c r="Q198" i="2" s="1"/>
  <c r="P204" i="2"/>
  <c r="P205" i="2"/>
  <c r="P206" i="2"/>
  <c r="P207" i="2"/>
  <c r="P224" i="2"/>
  <c r="Q224" i="2" s="1"/>
  <c r="P223" i="2"/>
  <c r="Q223" i="2" s="1"/>
  <c r="P222" i="2"/>
  <c r="Q222" i="2" s="1"/>
  <c r="P220" i="2"/>
  <c r="Q220" i="2" s="1"/>
  <c r="P219" i="2"/>
  <c r="Q219" i="2" s="1"/>
  <c r="P226" i="2"/>
  <c r="Q226" i="2" s="1"/>
  <c r="P242" i="2"/>
  <c r="Q242" i="2" s="1"/>
  <c r="P249" i="2"/>
  <c r="Q249" i="2" s="1"/>
  <c r="P250" i="2"/>
  <c r="P316" i="2"/>
  <c r="Q316" i="2" s="1"/>
  <c r="P361" i="2" l="1"/>
  <c r="Q361" i="2" s="1"/>
  <c r="P377" i="2"/>
  <c r="Q377" i="2" s="1"/>
  <c r="P343" i="2"/>
  <c r="Q343" i="2" s="1"/>
  <c r="P342" i="2"/>
  <c r="Q342" i="2" s="1"/>
  <c r="P340" i="2"/>
  <c r="Q340" i="2" s="1"/>
  <c r="U25" i="6" l="1"/>
  <c r="N28" i="10" l="1"/>
  <c r="N23" i="10"/>
  <c r="U14" i="5"/>
  <c r="R14" i="5"/>
  <c r="O14" i="5"/>
  <c r="L14" i="5"/>
  <c r="U12" i="5"/>
  <c r="R12" i="5"/>
  <c r="O12" i="5"/>
  <c r="U11" i="5"/>
  <c r="R11" i="5"/>
  <c r="O11" i="5"/>
  <c r="L11" i="5"/>
  <c r="P203" i="2"/>
  <c r="Q203" i="2" s="1"/>
  <c r="P202" i="2"/>
  <c r="Q202" i="2" s="1"/>
  <c r="O19" i="9" l="1"/>
  <c r="O12" i="9"/>
  <c r="U25" i="5"/>
  <c r="R25" i="5"/>
  <c r="O25" i="5"/>
  <c r="L25" i="5"/>
  <c r="U22" i="5"/>
  <c r="R22" i="5"/>
  <c r="O22" i="5"/>
  <c r="P22" i="5" s="1"/>
  <c r="J22" i="5"/>
  <c r="J21" i="5"/>
  <c r="L22" i="5"/>
  <c r="L10" i="5" l="1"/>
  <c r="L7" i="5"/>
  <c r="O35" i="6"/>
  <c r="X17" i="6" l="1"/>
  <c r="U17" i="6"/>
  <c r="R17" i="6"/>
  <c r="O17" i="6"/>
  <c r="U9" i="5"/>
  <c r="R9" i="5"/>
  <c r="O9" i="5"/>
  <c r="L9" i="5"/>
  <c r="X13" i="6"/>
  <c r="U13" i="6"/>
  <c r="R13" i="6"/>
  <c r="O13" i="6"/>
  <c r="O11" i="6"/>
  <c r="P8" i="10"/>
  <c r="N8" i="10" l="1"/>
  <c r="N25" i="10" s="1"/>
  <c r="O29" i="10" l="1"/>
  <c r="N29" i="10"/>
  <c r="U28" i="5"/>
  <c r="R28" i="5"/>
  <c r="O28" i="5"/>
  <c r="X23" i="9"/>
  <c r="U23" i="9"/>
  <c r="R23" i="9"/>
  <c r="M23" i="9"/>
  <c r="X10" i="9"/>
  <c r="U10" i="9"/>
  <c r="R10" i="9"/>
  <c r="O10" i="9"/>
  <c r="X27" i="6"/>
  <c r="U27" i="6"/>
  <c r="M25" i="9"/>
  <c r="X25" i="9"/>
  <c r="U25" i="9"/>
  <c r="R25" i="9"/>
  <c r="O25" i="9"/>
  <c r="X15" i="9"/>
  <c r="U15" i="9"/>
  <c r="R15" i="9"/>
  <c r="O15" i="9"/>
  <c r="S23" i="9" l="1"/>
  <c r="V23" i="9"/>
  <c r="Y23" i="9"/>
  <c r="M37" i="6"/>
  <c r="X8" i="9"/>
  <c r="U8" i="9"/>
  <c r="R8" i="9"/>
  <c r="X16" i="9"/>
  <c r="U16" i="9"/>
  <c r="R16" i="9"/>
  <c r="O16" i="9"/>
  <c r="X22" i="9"/>
  <c r="U22" i="9"/>
  <c r="P132" i="2" l="1"/>
  <c r="Q132" i="2" s="1"/>
  <c r="P111" i="2"/>
  <c r="Q111" i="2" s="1"/>
  <c r="P110" i="2"/>
  <c r="Q110" i="2" s="1"/>
  <c r="X11" i="6" l="1"/>
  <c r="U11" i="6"/>
  <c r="X29" i="6" l="1"/>
  <c r="P103" i="2"/>
  <c r="Q103" i="2" s="1"/>
  <c r="X15" i="6"/>
  <c r="U15" i="6"/>
  <c r="R15" i="6"/>
  <c r="O15" i="6"/>
  <c r="X12" i="6"/>
  <c r="U12" i="6"/>
  <c r="X24" i="9"/>
  <c r="U24" i="9"/>
  <c r="R24" i="9"/>
  <c r="O24" i="9"/>
  <c r="O23" i="9"/>
  <c r="P23" i="9" s="1"/>
  <c r="O21" i="9"/>
  <c r="X20" i="9"/>
  <c r="U20" i="9"/>
  <c r="R20" i="9"/>
  <c r="X19" i="9"/>
  <c r="U19" i="9"/>
  <c r="R19" i="9"/>
  <c r="O20" i="9"/>
  <c r="X18" i="9"/>
  <c r="U18" i="9"/>
  <c r="R18" i="9"/>
  <c r="O18" i="9"/>
  <c r="X17" i="9"/>
  <c r="U17" i="9"/>
  <c r="O17" i="9"/>
  <c r="X14" i="9"/>
  <c r="U14" i="9"/>
  <c r="R14" i="9"/>
  <c r="X13" i="9"/>
  <c r="U13" i="9"/>
  <c r="R13" i="9"/>
  <c r="O14" i="9"/>
  <c r="O13" i="9"/>
  <c r="X12" i="9"/>
  <c r="U12" i="9"/>
  <c r="R12" i="9"/>
  <c r="X11" i="9"/>
  <c r="U11" i="9"/>
  <c r="R11" i="9"/>
  <c r="O11" i="9"/>
  <c r="X9" i="9"/>
  <c r="U9" i="9"/>
  <c r="R9" i="9"/>
  <c r="O9" i="9"/>
  <c r="U32" i="5"/>
  <c r="V32" i="5" s="1"/>
  <c r="R32" i="5"/>
  <c r="S32" i="5" s="1"/>
  <c r="O32" i="5"/>
  <c r="P32" i="5" s="1"/>
  <c r="L32" i="5"/>
  <c r="M32" i="5" s="1"/>
  <c r="O31" i="5"/>
  <c r="L31" i="5"/>
  <c r="U30" i="5"/>
  <c r="R30" i="5"/>
  <c r="O30" i="5"/>
  <c r="P30" i="5" s="1"/>
  <c r="L30" i="5"/>
  <c r="U29" i="5"/>
  <c r="R29" i="5"/>
  <c r="O29" i="5"/>
  <c r="L29" i="5"/>
  <c r="J28" i="5"/>
  <c r="U27" i="5"/>
  <c r="R27" i="5"/>
  <c r="O27" i="5"/>
  <c r="L27" i="5"/>
  <c r="U23" i="5"/>
  <c r="V23" i="5" s="1"/>
  <c r="R23" i="5"/>
  <c r="S23" i="5" s="1"/>
  <c r="O23" i="5"/>
  <c r="P23" i="5" s="1"/>
  <c r="L23" i="5"/>
  <c r="M23" i="5" s="1"/>
  <c r="U13" i="5"/>
  <c r="R13" i="5"/>
  <c r="O13" i="5"/>
  <c r="L13" i="5"/>
  <c r="U10" i="5"/>
  <c r="R10" i="5"/>
  <c r="O10" i="5"/>
  <c r="U8" i="5"/>
  <c r="R8" i="5"/>
  <c r="O8" i="5"/>
  <c r="L8" i="5"/>
  <c r="U6" i="5"/>
  <c r="R6" i="5"/>
  <c r="X38" i="6"/>
  <c r="O38" i="6"/>
  <c r="X37" i="6"/>
  <c r="U37" i="6"/>
  <c r="R37" i="6"/>
  <c r="O37" i="6"/>
  <c r="P37" i="6" s="1"/>
  <c r="X36" i="6"/>
  <c r="U36" i="6"/>
  <c r="R36" i="6"/>
  <c r="O36" i="6"/>
  <c r="X35" i="6"/>
  <c r="U35" i="6"/>
  <c r="R35" i="6"/>
  <c r="X34" i="6"/>
  <c r="Y34" i="6" s="1"/>
  <c r="U34" i="6"/>
  <c r="V34" i="6" s="1"/>
  <c r="R34" i="6"/>
  <c r="S34" i="6" s="1"/>
  <c r="O34" i="6"/>
  <c r="P34" i="6" s="1"/>
  <c r="X33" i="6"/>
  <c r="U33" i="6"/>
  <c r="R33" i="6"/>
  <c r="O33" i="6"/>
  <c r="X32" i="6"/>
  <c r="U32" i="6"/>
  <c r="R30" i="6"/>
  <c r="O30" i="6"/>
  <c r="X28" i="6"/>
  <c r="Y28" i="6" s="1"/>
  <c r="U28" i="6"/>
  <c r="V28" i="6" s="1"/>
  <c r="R28" i="6"/>
  <c r="S28" i="6" s="1"/>
  <c r="O28" i="6"/>
  <c r="P28" i="6" s="1"/>
  <c r="X24" i="6"/>
  <c r="U24" i="6"/>
  <c r="R24" i="6"/>
  <c r="O24" i="6"/>
  <c r="R23" i="6"/>
  <c r="O23" i="6"/>
  <c r="X22" i="6"/>
  <c r="U22" i="6"/>
  <c r="R22" i="6"/>
  <c r="O22" i="6"/>
  <c r="X21" i="6"/>
  <c r="U21" i="6"/>
  <c r="R21" i="6"/>
  <c r="O21" i="6"/>
  <c r="X16" i="6"/>
  <c r="Y16" i="6" s="1"/>
  <c r="U16" i="6"/>
  <c r="V16" i="6" s="1"/>
  <c r="R16" i="6"/>
  <c r="S16" i="6" s="1"/>
  <c r="O16" i="6"/>
  <c r="P16" i="6" s="1"/>
  <c r="X14" i="6"/>
  <c r="U14" i="6"/>
  <c r="R14" i="6"/>
  <c r="O14" i="6"/>
  <c r="Y13" i="6"/>
  <c r="V13" i="6"/>
  <c r="S13" i="6"/>
  <c r="O12" i="6"/>
  <c r="P28" i="5" l="1"/>
  <c r="M28" i="5"/>
  <c r="R10" i="6"/>
  <c r="X10" i="6"/>
  <c r="O10" i="6"/>
  <c r="P13" i="6" l="1"/>
  <c r="P28" i="2" l="1"/>
  <c r="Q28" i="2" s="1"/>
  <c r="P9" i="2"/>
  <c r="P10" i="2"/>
  <c r="P11" i="2"/>
  <c r="P12" i="2"/>
  <c r="P13" i="2"/>
  <c r="P14" i="2"/>
  <c r="P15" i="2"/>
  <c r="P16" i="2"/>
  <c r="P17" i="2"/>
  <c r="P18" i="2"/>
  <c r="P19" i="2"/>
  <c r="P22" i="2"/>
  <c r="P23" i="2"/>
  <c r="P24" i="2"/>
  <c r="P25" i="2"/>
  <c r="P26" i="2"/>
  <c r="P27" i="2"/>
  <c r="P29" i="2"/>
  <c r="P30" i="2"/>
  <c r="P31" i="2"/>
  <c r="P32" i="2"/>
  <c r="P33" i="2"/>
  <c r="P34" i="2"/>
  <c r="P35" i="2"/>
  <c r="P36" i="2"/>
  <c r="P38" i="2"/>
  <c r="P40" i="2"/>
  <c r="P41" i="2"/>
  <c r="P42" i="2"/>
  <c r="P43" i="2"/>
  <c r="P44" i="2"/>
  <c r="P45" i="2"/>
  <c r="P46" i="2"/>
  <c r="P47" i="2"/>
  <c r="Q47" i="2" s="1"/>
  <c r="P48" i="2"/>
  <c r="Q48" i="2" s="1"/>
  <c r="P49" i="2"/>
  <c r="Q49" i="2" s="1"/>
  <c r="P50" i="2"/>
  <c r="Q50" i="2" s="1"/>
  <c r="P51" i="2"/>
  <c r="Q51" i="2" s="1"/>
  <c r="P52" i="2"/>
  <c r="Q52" i="2" s="1"/>
  <c r="P53" i="2"/>
  <c r="Q53" i="2" s="1"/>
  <c r="P57" i="2"/>
  <c r="Q57" i="2" s="1"/>
  <c r="P58" i="2"/>
  <c r="Q58" i="2" s="1"/>
  <c r="P59" i="2"/>
  <c r="Q59" i="2" s="1"/>
  <c r="P60" i="2"/>
  <c r="Q60" i="2" s="1"/>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4" i="2"/>
  <c r="P106" i="2"/>
  <c r="P107" i="2"/>
  <c r="P108" i="2"/>
  <c r="P112" i="2"/>
  <c r="P113" i="2"/>
  <c r="P114" i="2"/>
  <c r="P115" i="2"/>
  <c r="P116" i="2"/>
  <c r="P117" i="2"/>
  <c r="P118" i="2"/>
  <c r="P119" i="2"/>
  <c r="P120" i="2"/>
  <c r="P121" i="2"/>
  <c r="P122" i="2"/>
  <c r="P123" i="2"/>
  <c r="P124" i="2"/>
  <c r="P125" i="2"/>
  <c r="P127" i="2"/>
  <c r="P128" i="2"/>
  <c r="P130" i="2"/>
  <c r="P131" i="2"/>
  <c r="P133" i="2"/>
  <c r="P134" i="2"/>
  <c r="P135" i="2"/>
  <c r="P136" i="2"/>
  <c r="P137" i="2"/>
  <c r="P138" i="2"/>
  <c r="P156" i="2"/>
  <c r="P235"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3" i="2"/>
  <c r="P184" i="2"/>
  <c r="P185" i="2"/>
  <c r="P186" i="2"/>
  <c r="P188" i="2"/>
  <c r="P187" i="2"/>
  <c r="P189" i="2"/>
  <c r="P191" i="2"/>
  <c r="P192" i="2"/>
  <c r="P193" i="2"/>
  <c r="P194" i="2"/>
  <c r="P195" i="2"/>
  <c r="P236" i="2"/>
  <c r="P196" i="2"/>
  <c r="P197" i="2"/>
  <c r="P201" i="2"/>
  <c r="P208" i="2"/>
  <c r="P209" i="2"/>
  <c r="P210" i="2"/>
  <c r="P211" i="2"/>
  <c r="P212" i="2"/>
  <c r="P213" i="2"/>
  <c r="P214" i="2"/>
  <c r="P216" i="2"/>
  <c r="P217" i="2"/>
  <c r="P218" i="2"/>
  <c r="P221" i="2"/>
  <c r="P225" i="2"/>
  <c r="P227" i="2"/>
  <c r="P228" i="2"/>
  <c r="P229" i="2"/>
  <c r="P230" i="2"/>
  <c r="P231" i="2"/>
  <c r="P232" i="2"/>
  <c r="P233" i="2"/>
  <c r="P234" i="2"/>
  <c r="P237" i="2"/>
  <c r="P238" i="2"/>
  <c r="P239" i="2"/>
  <c r="P240" i="2"/>
  <c r="P241" i="2"/>
  <c r="P243" i="2"/>
  <c r="P244" i="2"/>
  <c r="P245" i="2"/>
  <c r="P246" i="2"/>
  <c r="P247" i="2"/>
  <c r="P248" i="2"/>
  <c r="P251" i="2"/>
  <c r="P252" i="2"/>
  <c r="P253" i="2"/>
  <c r="P254" i="2"/>
  <c r="P255" i="2"/>
  <c r="P256"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6" i="2"/>
  <c r="P307" i="2"/>
  <c r="P309" i="2"/>
  <c r="P310" i="2"/>
  <c r="P311" i="2"/>
  <c r="P312" i="2"/>
  <c r="P313" i="2"/>
  <c r="P314" i="2"/>
  <c r="P315" i="2"/>
  <c r="P317" i="2"/>
  <c r="P318" i="2"/>
  <c r="P319" i="2"/>
  <c r="P320" i="2"/>
  <c r="P321" i="2"/>
  <c r="P322" i="2"/>
  <c r="P323" i="2"/>
  <c r="P324" i="2"/>
  <c r="P325" i="2"/>
  <c r="P326" i="2"/>
  <c r="P327" i="2"/>
  <c r="P328" i="2"/>
  <c r="P308" i="2"/>
  <c r="P329" i="2"/>
  <c r="P330" i="2"/>
  <c r="P331" i="2"/>
  <c r="P332" i="2"/>
  <c r="P333" i="2"/>
  <c r="P334" i="2"/>
  <c r="P335" i="2"/>
  <c r="P337" i="2"/>
  <c r="P339" i="2"/>
  <c r="P344" i="2"/>
  <c r="Q344" i="2" s="1"/>
  <c r="P345" i="2"/>
  <c r="Q345" i="2" s="1"/>
  <c r="P346" i="2"/>
  <c r="P347" i="2"/>
  <c r="P348" i="2"/>
  <c r="P349" i="2"/>
  <c r="P350" i="2"/>
  <c r="P351" i="2"/>
  <c r="P354" i="2"/>
  <c r="P355" i="2"/>
  <c r="P356" i="2"/>
  <c r="P357" i="2"/>
  <c r="P359" i="2"/>
  <c r="P360" i="2"/>
  <c r="P362" i="2"/>
  <c r="P363" i="2"/>
  <c r="P364" i="2"/>
  <c r="P366" i="2"/>
  <c r="P367" i="2"/>
  <c r="P368" i="2"/>
  <c r="P369" i="2"/>
  <c r="Q369" i="2" s="1"/>
  <c r="P370" i="2"/>
  <c r="Q370" i="2" s="1"/>
  <c r="P371" i="2"/>
  <c r="Q371" i="2" s="1"/>
  <c r="P372" i="2"/>
  <c r="Q372" i="2" s="1"/>
  <c r="P373" i="2"/>
  <c r="Q373" i="2" s="1"/>
  <c r="P374" i="2"/>
  <c r="Q374" i="2" s="1"/>
  <c r="P375" i="2"/>
  <c r="Q375" i="2" s="1"/>
  <c r="P376" i="2"/>
  <c r="Q376" i="2" s="1"/>
  <c r="P378" i="2"/>
  <c r="Q378" i="2" s="1"/>
  <c r="P379" i="2"/>
  <c r="Q379" i="2" s="1"/>
  <c r="P380" i="2"/>
  <c r="Q380" i="2" s="1"/>
  <c r="P381" i="2"/>
  <c r="Q381" i="2" s="1"/>
  <c r="P383" i="2"/>
  <c r="Q383" i="2" s="1"/>
  <c r="P384" i="2"/>
  <c r="Q384" i="2" s="1"/>
  <c r="P385" i="2"/>
  <c r="Q385" i="2" s="1"/>
  <c r="P386" i="2"/>
  <c r="Q386" i="2" s="1"/>
  <c r="P388" i="2"/>
  <c r="Q388" i="2" s="1"/>
  <c r="P389" i="2"/>
  <c r="Q389" i="2" s="1"/>
  <c r="P390" i="2"/>
  <c r="Q390" i="2" s="1"/>
  <c r="P391" i="2"/>
  <c r="Q391" i="2" s="1"/>
  <c r="P392" i="2"/>
  <c r="Q392" i="2" s="1"/>
  <c r="P393" i="2"/>
  <c r="Q393" i="2" s="1"/>
  <c r="P394" i="2"/>
  <c r="Q394" i="2" s="1"/>
  <c r="P396" i="2"/>
  <c r="Q396" i="2" s="1"/>
  <c r="P397" i="2"/>
  <c r="Q397" i="2" s="1"/>
  <c r="P398" i="2"/>
  <c r="Q398" i="2" s="1"/>
  <c r="P399" i="2"/>
  <c r="Q399" i="2" s="1"/>
  <c r="P400" i="2"/>
  <c r="Q400" i="2" s="1"/>
  <c r="P401" i="2"/>
  <c r="Q401" i="2" s="1"/>
  <c r="P402" i="2"/>
  <c r="Q402" i="2" s="1"/>
  <c r="P403" i="2"/>
  <c r="Q403" i="2" s="1"/>
  <c r="P404" i="2"/>
  <c r="Q404" i="2" s="1"/>
  <c r="P405" i="2"/>
  <c r="Q405" i="2" s="1"/>
  <c r="P406" i="2"/>
  <c r="Q406" i="2" s="1"/>
  <c r="P407" i="2"/>
  <c r="Q407" i="2" s="1"/>
  <c r="P408" i="2"/>
  <c r="Q408" i="2" s="1"/>
  <c r="P395" i="2"/>
  <c r="P411" i="2"/>
  <c r="P412" i="2"/>
  <c r="P413" i="2"/>
  <c r="Q413" i="2" l="1"/>
  <c r="Q412" i="2"/>
  <c r="U10" i="6" l="1"/>
  <c r="Q292" i="2"/>
  <c r="Q291" i="2"/>
  <c r="Q290" i="2"/>
  <c r="Q289" i="2"/>
  <c r="Q288" i="2"/>
  <c r="Q287" i="2"/>
  <c r="Q286" i="2"/>
  <c r="Q276" i="2"/>
  <c r="Q275" i="2"/>
  <c r="Q278" i="2"/>
  <c r="Q274" i="2"/>
  <c r="Q262" i="2"/>
  <c r="Q261" i="2"/>
  <c r="Q258" i="2"/>
  <c r="Q243" i="2"/>
  <c r="E8" i="10" l="1"/>
  <c r="K7" i="10"/>
  <c r="C29" i="10" l="1"/>
  <c r="C24" i="10"/>
  <c r="M9" i="6"/>
  <c r="S9" i="6" s="1"/>
  <c r="P9" i="6" l="1"/>
  <c r="M19" i="6"/>
  <c r="Y15" i="6"/>
  <c r="V15" i="6"/>
  <c r="S15" i="6"/>
  <c r="P15" i="6"/>
  <c r="M24" i="9"/>
  <c r="M22" i="9"/>
  <c r="M21" i="9"/>
  <c r="S21" i="9" s="1"/>
  <c r="M20" i="9"/>
  <c r="S20" i="9" s="1"/>
  <c r="M19" i="9"/>
  <c r="Q134" i="2"/>
  <c r="M18" i="9"/>
  <c r="S18" i="9" s="1"/>
  <c r="M17" i="9"/>
  <c r="S17" i="9" s="1"/>
  <c r="M16" i="9"/>
  <c r="S16" i="9" s="1"/>
  <c r="M15" i="9"/>
  <c r="S15" i="9" s="1"/>
  <c r="M14" i="9"/>
  <c r="S14" i="9" s="1"/>
  <c r="M13" i="9"/>
  <c r="M12" i="9"/>
  <c r="M11" i="9"/>
  <c r="M10" i="9"/>
  <c r="M9" i="9"/>
  <c r="S9" i="9" s="1"/>
  <c r="M8" i="9"/>
  <c r="J31" i="5"/>
  <c r="J30" i="5"/>
  <c r="V30" i="5" s="1"/>
  <c r="J29" i="5"/>
  <c r="P29" i="5" s="1"/>
  <c r="V28" i="5"/>
  <c r="J27" i="5"/>
  <c r="J26" i="5"/>
  <c r="P26" i="5" s="1"/>
  <c r="J25" i="5"/>
  <c r="J24" i="5"/>
  <c r="M22" i="5"/>
  <c r="V21" i="5"/>
  <c r="J20" i="5"/>
  <c r="V20" i="5" s="1"/>
  <c r="J10" i="5"/>
  <c r="M10" i="5" s="1"/>
  <c r="J17" i="5"/>
  <c r="J15" i="5"/>
  <c r="J14" i="5"/>
  <c r="J13" i="5"/>
  <c r="J11" i="5"/>
  <c r="J12" i="5"/>
  <c r="J9" i="5"/>
  <c r="V9" i="5" s="1"/>
  <c r="J8" i="5"/>
  <c r="J7" i="5"/>
  <c r="P7" i="5" s="1"/>
  <c r="J6" i="5"/>
  <c r="M38" i="6"/>
  <c r="M36" i="6"/>
  <c r="M35" i="6"/>
  <c r="S35" i="6" s="1"/>
  <c r="Q107" i="2"/>
  <c r="N34" i="6"/>
  <c r="M33" i="6"/>
  <c r="M32" i="6"/>
  <c r="P32" i="6" s="1"/>
  <c r="M31" i="6"/>
  <c r="M30" i="6"/>
  <c r="S30" i="6" s="1"/>
  <c r="M29" i="6"/>
  <c r="V29" i="6" s="1"/>
  <c r="M28" i="6"/>
  <c r="M27" i="6"/>
  <c r="M26" i="6"/>
  <c r="M25" i="6"/>
  <c r="P25" i="6" s="1"/>
  <c r="M24" i="6"/>
  <c r="S24" i="6" s="1"/>
  <c r="M23" i="6"/>
  <c r="Q307" i="2"/>
  <c r="V24" i="5" l="1"/>
  <c r="M24" i="5"/>
  <c r="P24" i="5"/>
  <c r="S38" i="6"/>
  <c r="V38" i="6"/>
  <c r="P29" i="6"/>
  <c r="S29" i="6"/>
  <c r="Y18" i="9"/>
  <c r="P18" i="9"/>
  <c r="V18" i="9"/>
  <c r="V7" i="5"/>
  <c r="S7" i="5"/>
  <c r="M7" i="5"/>
  <c r="P19" i="9"/>
  <c r="Y19" i="9"/>
  <c r="S19" i="9"/>
  <c r="V19" i="9"/>
  <c r="S24" i="9"/>
  <c r="V24" i="9"/>
  <c r="P24" i="9"/>
  <c r="Y24" i="9"/>
  <c r="V20" i="9"/>
  <c r="P20" i="9"/>
  <c r="Y20" i="9"/>
  <c r="S25" i="9"/>
  <c r="Y25" i="9"/>
  <c r="V25" i="9"/>
  <c r="P25" i="9"/>
  <c r="V21" i="9"/>
  <c r="Y21" i="9"/>
  <c r="P21" i="9"/>
  <c r="V22" i="9"/>
  <c r="P22" i="9"/>
  <c r="Y22" i="9"/>
  <c r="S22" i="9"/>
  <c r="Y16" i="9"/>
  <c r="V16" i="9"/>
  <c r="P16" i="9"/>
  <c r="V17" i="9"/>
  <c r="Y17" i="9"/>
  <c r="P17" i="9"/>
  <c r="P15" i="9"/>
  <c r="Y15" i="9"/>
  <c r="V15" i="9"/>
  <c r="S12" i="9"/>
  <c r="P12" i="9"/>
  <c r="Y12" i="9"/>
  <c r="V12" i="9"/>
  <c r="P13" i="9"/>
  <c r="Y13" i="9"/>
  <c r="V13" i="9"/>
  <c r="S13" i="9"/>
  <c r="V14" i="9"/>
  <c r="P14" i="9"/>
  <c r="Y14" i="9"/>
  <c r="V11" i="9"/>
  <c r="P11" i="9"/>
  <c r="Y11" i="9"/>
  <c r="S11" i="9"/>
  <c r="S10" i="9"/>
  <c r="P10" i="9"/>
  <c r="Y10" i="9"/>
  <c r="V10" i="9"/>
  <c r="V9" i="9"/>
  <c r="Y9" i="9"/>
  <c r="P9" i="9"/>
  <c r="S8" i="9"/>
  <c r="P8" i="9"/>
  <c r="Y8" i="9"/>
  <c r="V8" i="9"/>
  <c r="P25" i="5"/>
  <c r="M25" i="5"/>
  <c r="V25" i="5"/>
  <c r="S25" i="5"/>
  <c r="M29" i="5"/>
  <c r="V29" i="5"/>
  <c r="S29" i="5"/>
  <c r="V26" i="5"/>
  <c r="S26" i="5"/>
  <c r="M26" i="5"/>
  <c r="P27" i="5"/>
  <c r="V27" i="5"/>
  <c r="S27" i="5"/>
  <c r="M27" i="5"/>
  <c r="P31" i="5"/>
  <c r="M31" i="5"/>
  <c r="V31" i="5"/>
  <c r="S31" i="5"/>
  <c r="V10" i="5"/>
  <c r="S10" i="5"/>
  <c r="P10" i="5"/>
  <c r="V15" i="5"/>
  <c r="S15" i="5"/>
  <c r="P15" i="5"/>
  <c r="M15" i="5"/>
  <c r="S13" i="5"/>
  <c r="P13" i="5"/>
  <c r="M13" i="5"/>
  <c r="V13" i="5"/>
  <c r="P14" i="5"/>
  <c r="S14" i="5"/>
  <c r="V14" i="5"/>
  <c r="M14" i="5"/>
  <c r="P12" i="5"/>
  <c r="M12" i="5"/>
  <c r="V12" i="5"/>
  <c r="S12" i="5"/>
  <c r="V11" i="5"/>
  <c r="S11" i="5"/>
  <c r="P11" i="5"/>
  <c r="M11" i="5"/>
  <c r="V17" i="5"/>
  <c r="P17" i="5"/>
  <c r="S17" i="5"/>
  <c r="M17" i="5"/>
  <c r="S8" i="5"/>
  <c r="P8" i="5"/>
  <c r="V8" i="5"/>
  <c r="M8" i="5"/>
  <c r="S9" i="5"/>
  <c r="P9" i="5"/>
  <c r="M9" i="5"/>
  <c r="S6" i="5"/>
  <c r="P6" i="5"/>
  <c r="V6" i="5"/>
  <c r="M6" i="5"/>
  <c r="P38" i="6"/>
  <c r="Y38" i="6"/>
  <c r="Y37" i="6"/>
  <c r="S37" i="6"/>
  <c r="V37" i="6"/>
  <c r="Y35" i="6"/>
  <c r="P35" i="6"/>
  <c r="V35" i="6"/>
  <c r="Y36" i="6"/>
  <c r="P36" i="6"/>
  <c r="S36" i="6"/>
  <c r="V36" i="6"/>
  <c r="V33" i="6"/>
  <c r="S33" i="6"/>
  <c r="Y33" i="6"/>
  <c r="P33" i="6"/>
  <c r="S32" i="6"/>
  <c r="V32" i="6"/>
  <c r="Y32" i="6"/>
  <c r="S31" i="6"/>
  <c r="V31" i="6"/>
  <c r="Y31" i="6"/>
  <c r="P31" i="6"/>
  <c r="P30" i="6"/>
  <c r="V30" i="6"/>
  <c r="Y30" i="6"/>
  <c r="S27" i="6"/>
  <c r="V27" i="6"/>
  <c r="Y27" i="6"/>
  <c r="P27" i="6"/>
  <c r="S26" i="6"/>
  <c r="Y26" i="6"/>
  <c r="P26" i="6"/>
  <c r="V26" i="6"/>
  <c r="Y25" i="6"/>
  <c r="V25" i="6"/>
  <c r="S25" i="6"/>
  <c r="P24" i="6"/>
  <c r="V24" i="6"/>
  <c r="Y24" i="6"/>
  <c r="V23" i="6"/>
  <c r="S23" i="6"/>
  <c r="P23" i="6"/>
  <c r="Y23" i="6"/>
  <c r="Y29" i="6"/>
  <c r="M30" i="5"/>
  <c r="M21" i="5"/>
  <c r="S21" i="5"/>
  <c r="S22" i="5"/>
  <c r="S28" i="5"/>
  <c r="M20" i="5"/>
  <c r="S20" i="5"/>
  <c r="V22" i="5"/>
  <c r="S24" i="5"/>
  <c r="S30" i="5"/>
  <c r="Q302" i="2"/>
  <c r="Q300" i="2"/>
  <c r="Q299" i="2"/>
  <c r="Q298" i="2"/>
  <c r="Q297" i="2"/>
  <c r="Q296" i="2"/>
  <c r="Q295" i="2"/>
  <c r="Q294" i="2"/>
  <c r="Q284" i="2"/>
  <c r="Q283" i="2"/>
  <c r="Q282" i="2"/>
  <c r="P29" i="9" l="1"/>
  <c r="P28" i="9"/>
  <c r="P27" i="9"/>
  <c r="S28" i="9"/>
  <c r="Y28" i="9"/>
  <c r="P33" i="5"/>
  <c r="V29" i="9"/>
  <c r="S26" i="9"/>
  <c r="S27" i="9"/>
  <c r="Y26" i="9"/>
  <c r="Y27" i="9"/>
  <c r="M33" i="5"/>
  <c r="S34" i="5"/>
  <c r="S29" i="9"/>
  <c r="P26" i="9"/>
  <c r="Y29" i="9"/>
  <c r="V33" i="5"/>
  <c r="S35" i="5"/>
  <c r="V28" i="9"/>
  <c r="V26" i="9"/>
  <c r="V27" i="9"/>
  <c r="S33" i="5"/>
  <c r="V35" i="5"/>
  <c r="P34" i="5"/>
  <c r="P35" i="5"/>
  <c r="M34" i="5"/>
  <c r="M35" i="5"/>
  <c r="V34" i="5"/>
  <c r="Q272" i="2"/>
  <c r="Q271" i="2"/>
  <c r="Q269" i="2"/>
  <c r="Q270" i="2"/>
  <c r="Q239" i="2"/>
  <c r="Q247" i="2"/>
  <c r="Q260" i="2"/>
  <c r="Q256" i="2"/>
  <c r="Q263" i="2"/>
  <c r="Q259" i="2"/>
  <c r="Q250" i="2"/>
  <c r="Q248" i="2"/>
  <c r="Q246" i="2"/>
  <c r="Q244" i="2"/>
  <c r="Q241" i="2"/>
  <c r="Q232" i="2"/>
  <c r="Q230" i="2"/>
  <c r="M14" i="6"/>
  <c r="S14" i="6" l="1"/>
  <c r="P14" i="6"/>
  <c r="V14" i="6"/>
  <c r="Y14" i="6"/>
  <c r="Z28" i="9"/>
  <c r="W35" i="5"/>
  <c r="C6" i="10" s="1"/>
  <c r="Z29" i="9"/>
  <c r="Z27" i="9"/>
  <c r="W34" i="5"/>
  <c r="Q235" i="2"/>
  <c r="M22" i="6"/>
  <c r="M21" i="6"/>
  <c r="M20" i="6"/>
  <c r="M17" i="6"/>
  <c r="M13" i="6"/>
  <c r="M12" i="6"/>
  <c r="M11" i="6"/>
  <c r="M10" i="6"/>
  <c r="S10" i="6" s="1"/>
  <c r="G8" i="5"/>
  <c r="J15" i="6"/>
  <c r="Q362" i="2"/>
  <c r="Q363" i="2"/>
  <c r="Q366" i="2"/>
  <c r="Q367" i="2"/>
  <c r="Q368" i="2"/>
  <c r="Q395" i="2"/>
  <c r="Q236" i="2"/>
  <c r="Q201" i="2"/>
  <c r="Q208" i="2"/>
  <c r="Q228" i="2"/>
  <c r="Q214" i="2"/>
  <c r="Q218" i="2"/>
  <c r="Q234" i="2"/>
  <c r="Q325" i="2"/>
  <c r="Q328" i="2"/>
  <c r="Q329" i="2"/>
  <c r="Q331" i="2"/>
  <c r="Q332" i="2"/>
  <c r="Q333" i="2"/>
  <c r="Q334" i="2"/>
  <c r="Q335" i="2"/>
  <c r="Q337" i="2"/>
  <c r="Q94" i="2"/>
  <c r="Q95" i="2"/>
  <c r="Q96" i="2"/>
  <c r="Q97" i="2"/>
  <c r="Q98" i="2"/>
  <c r="Q99" i="2"/>
  <c r="Q100" i="2"/>
  <c r="Q101" i="2"/>
  <c r="Q102" i="2"/>
  <c r="Q117" i="2"/>
  <c r="Q118" i="2"/>
  <c r="Q119" i="2"/>
  <c r="Q120" i="2"/>
  <c r="Q127" i="2"/>
  <c r="Q128" i="2"/>
  <c r="Q156" i="2"/>
  <c r="Q157" i="2"/>
  <c r="Q158" i="2"/>
  <c r="Q159" i="2"/>
  <c r="Q163" i="2"/>
  <c r="Q164" i="2"/>
  <c r="Q166" i="2"/>
  <c r="Q167" i="2"/>
  <c r="Q168" i="2"/>
  <c r="Q169" i="2"/>
  <c r="Q170" i="2"/>
  <c r="Q171" i="2"/>
  <c r="Q172" i="2"/>
  <c r="Q173" i="2"/>
  <c r="Q174" i="2"/>
  <c r="Q175" i="2"/>
  <c r="Q176" i="2"/>
  <c r="Q177" i="2"/>
  <c r="Q178" i="2"/>
  <c r="Q179" i="2"/>
  <c r="Q180" i="2"/>
  <c r="Q181" i="2"/>
  <c r="Q183" i="2"/>
  <c r="Q184" i="2"/>
  <c r="Q185" i="2"/>
  <c r="Q186" i="2"/>
  <c r="Q188" i="2"/>
  <c r="Q187" i="2"/>
  <c r="Q189" i="2"/>
  <c r="Q9" i="2"/>
  <c r="Q10" i="2"/>
  <c r="Q11" i="2"/>
  <c r="Q12" i="2"/>
  <c r="Q13" i="2"/>
  <c r="Q14" i="2"/>
  <c r="Q15" i="2"/>
  <c r="Q16" i="2"/>
  <c r="Q17" i="2"/>
  <c r="Q18" i="2"/>
  <c r="Q27" i="2"/>
  <c r="Q29" i="2"/>
  <c r="Q30" i="2"/>
  <c r="Q31" i="2"/>
  <c r="Q32" i="2"/>
  <c r="Q33" i="2"/>
  <c r="Q34" i="2"/>
  <c r="Q35" i="2"/>
  <c r="Q43" i="2"/>
  <c r="Q44" i="2"/>
  <c r="Q45" i="2"/>
  <c r="Q46" i="2"/>
  <c r="Q61" i="2"/>
  <c r="Q62" i="2"/>
  <c r="Q63" i="2"/>
  <c r="Q64" i="2"/>
  <c r="Q65" i="2"/>
  <c r="Q66" i="2"/>
  <c r="Q67" i="2"/>
  <c r="Q68" i="2"/>
  <c r="Q69" i="2"/>
  <c r="Q70" i="2"/>
  <c r="Q71" i="2"/>
  <c r="Q72" i="2"/>
  <c r="Q73" i="2"/>
  <c r="Q74" i="2"/>
  <c r="Q75" i="2"/>
  <c r="Q76" i="2"/>
  <c r="Q77" i="2"/>
  <c r="Q78" i="2"/>
  <c r="Q79" i="2"/>
  <c r="Q80" i="2"/>
  <c r="Q81" i="2"/>
  <c r="Q82" i="2"/>
  <c r="Q84" i="2"/>
  <c r="Q85" i="2"/>
  <c r="Q86" i="2"/>
  <c r="Q89" i="2"/>
  <c r="Q138" i="2"/>
  <c r="Q137" i="2"/>
  <c r="Q136" i="2"/>
  <c r="Q135" i="2"/>
  <c r="Q133" i="2"/>
  <c r="Q131" i="2"/>
  <c r="Q130" i="2"/>
  <c r="Q125" i="2"/>
  <c r="Q116" i="2"/>
  <c r="Q115" i="2"/>
  <c r="Q114" i="2"/>
  <c r="Q113" i="2"/>
  <c r="Q112" i="2"/>
  <c r="Q108" i="2"/>
  <c r="Q106" i="2"/>
  <c r="Q326" i="2"/>
  <c r="Q327" i="2"/>
  <c r="Q308" i="2"/>
  <c r="Q330" i="2"/>
  <c r="Q191" i="2"/>
  <c r="Q192" i="2"/>
  <c r="Q193" i="2"/>
  <c r="Q194" i="2"/>
  <c r="Q195" i="2"/>
  <c r="Q196" i="2"/>
  <c r="Q197" i="2"/>
  <c r="Q209" i="2"/>
  <c r="Q210" i="2"/>
  <c r="Q211" i="2"/>
  <c r="Q212" i="2"/>
  <c r="Q213" i="2"/>
  <c r="Q216" i="2"/>
  <c r="Q217" i="2"/>
  <c r="Q221" i="2"/>
  <c r="Q225" i="2"/>
  <c r="Q227" i="2"/>
  <c r="Q229" i="2"/>
  <c r="Q231" i="2"/>
  <c r="Q233" i="2"/>
  <c r="Q237" i="2"/>
  <c r="Q238" i="2"/>
  <c r="Q240" i="2"/>
  <c r="Q245" i="2"/>
  <c r="Q251" i="2"/>
  <c r="Q252" i="2"/>
  <c r="Q253" i="2"/>
  <c r="Q254" i="2"/>
  <c r="Q255" i="2"/>
  <c r="Q264" i="2"/>
  <c r="Q265" i="2"/>
  <c r="Q266" i="2"/>
  <c r="Q267" i="2"/>
  <c r="Q268" i="2"/>
  <c r="Q273" i="2"/>
  <c r="Q277" i="2"/>
  <c r="Q279" i="2"/>
  <c r="Q280" i="2"/>
  <c r="Q281" i="2"/>
  <c r="Q285" i="2"/>
  <c r="Q293" i="2"/>
  <c r="Q301" i="2"/>
  <c r="Q303" i="2"/>
  <c r="Q306" i="2"/>
  <c r="Q309" i="2"/>
  <c r="Q310" i="2"/>
  <c r="Q311" i="2"/>
  <c r="Q312" i="2"/>
  <c r="Q313" i="2"/>
  <c r="Q314" i="2"/>
  <c r="Q315" i="2"/>
  <c r="Q317" i="2"/>
  <c r="Q318" i="2"/>
  <c r="Q319" i="2"/>
  <c r="Q320" i="2"/>
  <c r="Q321" i="2"/>
  <c r="Q322" i="2"/>
  <c r="Q323" i="2"/>
  <c r="Q324" i="2"/>
  <c r="Q346" i="2"/>
  <c r="Q347" i="2"/>
  <c r="Q348" i="2"/>
  <c r="Q349" i="2"/>
  <c r="Q350" i="2"/>
  <c r="Q351" i="2"/>
  <c r="Q354" i="2"/>
  <c r="Q355" i="2"/>
  <c r="Q356" i="2"/>
  <c r="Q357" i="2"/>
  <c r="Q359" i="2"/>
  <c r="Q360" i="2"/>
  <c r="Q364" i="2"/>
  <c r="Q165" i="2"/>
  <c r="Q83" i="2"/>
  <c r="Q87" i="2"/>
  <c r="Q88" i="2"/>
  <c r="K65" i="2"/>
  <c r="K73" i="2"/>
  <c r="Q19" i="2"/>
  <c r="Q22" i="2"/>
  <c r="Q23" i="2"/>
  <c r="Q24" i="2"/>
  <c r="Q25" i="2"/>
  <c r="Q26" i="2"/>
  <c r="Q36" i="2"/>
  <c r="Q38" i="2"/>
  <c r="Q40" i="2"/>
  <c r="Q41" i="2"/>
  <c r="Q42" i="2"/>
  <c r="P8" i="2"/>
  <c r="Q8" i="2" s="1"/>
  <c r="Q91" i="2"/>
  <c r="Q92" i="2"/>
  <c r="Q93" i="2"/>
  <c r="Q104" i="2"/>
  <c r="Q121" i="2"/>
  <c r="Q122" i="2"/>
  <c r="Q123" i="2"/>
  <c r="Q124" i="2"/>
  <c r="Q160" i="2"/>
  <c r="Q161" i="2"/>
  <c r="Q162" i="2"/>
  <c r="Q90" i="2" l="1"/>
  <c r="Q190" i="2"/>
  <c r="W33" i="5"/>
  <c r="H5" i="10" s="1"/>
  <c r="Z26" i="9"/>
  <c r="H6" i="10" s="1"/>
  <c r="P22" i="6"/>
  <c r="V22" i="6"/>
  <c r="S22" i="6"/>
  <c r="Y22" i="6"/>
  <c r="V21" i="6"/>
  <c r="S21" i="6"/>
  <c r="P21" i="6"/>
  <c r="Y21" i="6"/>
  <c r="V17" i="6"/>
  <c r="P17" i="6"/>
  <c r="Y17" i="6"/>
  <c r="S17" i="6"/>
  <c r="V12" i="6"/>
  <c r="P12" i="6"/>
  <c r="Y12" i="6"/>
  <c r="S12" i="6"/>
  <c r="Y11" i="6"/>
  <c r="V11" i="6"/>
  <c r="S11" i="6"/>
  <c r="P11" i="6"/>
  <c r="P10" i="6"/>
  <c r="Q339" i="2"/>
  <c r="V10" i="6"/>
  <c r="Y10" i="6"/>
  <c r="S20" i="6"/>
  <c r="Y20" i="6"/>
  <c r="V20" i="6"/>
  <c r="P20" i="6"/>
  <c r="Q411" i="2"/>
  <c r="Q338" i="2" a="1"/>
  <c r="Q338" i="2" s="1"/>
  <c r="S42" i="6" l="1"/>
  <c r="S41" i="6"/>
  <c r="P41" i="6"/>
  <c r="P42" i="6"/>
  <c r="Y42" i="6"/>
  <c r="V41" i="6"/>
  <c r="Y41" i="6"/>
  <c r="V42" i="6"/>
  <c r="Q414" i="2"/>
  <c r="P40" i="6"/>
  <c r="Z41" i="6" l="1"/>
  <c r="C5" i="10" s="1"/>
  <c r="Z42" i="6"/>
  <c r="C4" i="10" s="1"/>
  <c r="Y9" i="6"/>
  <c r="S40" i="6" l="1"/>
  <c r="V40" i="6"/>
  <c r="Y40" i="6"/>
  <c r="Z40" i="6" l="1"/>
  <c r="Z39" i="6" s="1"/>
  <c r="C3" i="10" l="1"/>
  <c r="H4" i="10"/>
  <c r="C8" i="10" l="1"/>
  <c r="C26" i="10" s="1"/>
  <c r="C30" i="10" l="1"/>
  <c r="D30" i="10"/>
</calcChain>
</file>

<file path=xl/comments1.xml><?xml version="1.0" encoding="utf-8"?>
<comments xmlns="http://schemas.openxmlformats.org/spreadsheetml/2006/main">
  <authors>
    <author>ANDRES</author>
    <author>Plan de Accion ETITC</author>
  </authors>
  <commentList>
    <comment ref="H19" authorId="0" shapeId="0">
      <text>
        <r>
          <rPr>
            <b/>
            <sz val="9"/>
            <color indexed="81"/>
            <rFont val="Tahoma"/>
            <family val="2"/>
          </rPr>
          <t>Medición meta etsratégica</t>
        </r>
      </text>
    </comment>
    <comment ref="H33" authorId="0" shapeId="0">
      <text>
        <r>
          <rPr>
            <b/>
            <sz val="9"/>
            <color indexed="81"/>
            <rFont val="Tahoma"/>
            <family val="2"/>
          </rPr>
          <t>Medición meta etsratégica</t>
        </r>
      </text>
    </comment>
    <comment ref="H34" authorId="0" shapeId="0">
      <text>
        <r>
          <rPr>
            <b/>
            <sz val="9"/>
            <color indexed="81"/>
            <rFont val="Tahoma"/>
            <family val="2"/>
          </rPr>
          <t>Medición meta etsratégica</t>
        </r>
      </text>
    </comment>
    <comment ref="H35" authorId="0" shapeId="0">
      <text>
        <r>
          <rPr>
            <b/>
            <sz val="9"/>
            <color indexed="81"/>
            <rFont val="Tahoma"/>
            <family val="2"/>
          </rPr>
          <t>Medición meta etsratégica</t>
        </r>
      </text>
    </comment>
    <comment ref="H54" authorId="1" shapeId="0">
      <text>
        <r>
          <rPr>
            <b/>
            <sz val="9"/>
            <color indexed="81"/>
            <rFont val="Tahoma"/>
            <family val="2"/>
          </rPr>
          <t>MEDICIÓN ME</t>
        </r>
      </text>
    </comment>
    <comment ref="H61" authorId="0" shapeId="0">
      <text>
        <r>
          <rPr>
            <b/>
            <sz val="9"/>
            <color indexed="81"/>
            <rFont val="Tahoma"/>
            <family val="2"/>
          </rPr>
          <t>Medición meta etsratégica</t>
        </r>
      </text>
    </comment>
    <comment ref="H72" authorId="0" shapeId="0">
      <text>
        <r>
          <rPr>
            <b/>
            <sz val="9"/>
            <color indexed="81"/>
            <rFont val="Tahoma"/>
            <family val="2"/>
          </rPr>
          <t>Medición meta etsratégica</t>
        </r>
      </text>
    </comment>
    <comment ref="H79" authorId="0" shapeId="0">
      <text>
        <r>
          <rPr>
            <b/>
            <sz val="9"/>
            <color indexed="81"/>
            <rFont val="Tahoma"/>
            <family val="2"/>
          </rPr>
          <t>Medición meta etsratégica</t>
        </r>
      </text>
    </comment>
    <comment ref="H82" authorId="0" shapeId="0">
      <text>
        <r>
          <rPr>
            <b/>
            <sz val="9"/>
            <color indexed="81"/>
            <rFont val="Tahoma"/>
            <family val="2"/>
          </rPr>
          <t>Medición meta etsratégica</t>
        </r>
      </text>
    </comment>
    <comment ref="H83" authorId="0" shapeId="0">
      <text>
        <r>
          <rPr>
            <b/>
            <sz val="9"/>
            <color indexed="81"/>
            <rFont val="Tahoma"/>
            <family val="2"/>
          </rPr>
          <t>Medición meta etsratégica</t>
        </r>
      </text>
    </comment>
    <comment ref="H105" authorId="1" shapeId="0">
      <text>
        <r>
          <rPr>
            <b/>
            <sz val="9"/>
            <color indexed="81"/>
            <rFont val="Tahoma"/>
            <family val="2"/>
          </rPr>
          <t xml:space="preserve">MME
</t>
        </r>
      </text>
    </comment>
    <comment ref="H106" authorId="0" shapeId="0">
      <text>
        <r>
          <rPr>
            <b/>
            <sz val="9"/>
            <color indexed="81"/>
            <rFont val="Tahoma"/>
            <family val="2"/>
          </rPr>
          <t>Medición meta etsratégica</t>
        </r>
      </text>
    </comment>
    <comment ref="H108" authorId="0" shapeId="0">
      <text>
        <r>
          <rPr>
            <b/>
            <sz val="9"/>
            <color indexed="81"/>
            <rFont val="Tahoma"/>
            <family val="2"/>
          </rPr>
          <t>Medición meta etsratégica</t>
        </r>
      </text>
    </comment>
    <comment ref="H110" authorId="0" shapeId="0">
      <text>
        <r>
          <rPr>
            <b/>
            <sz val="9"/>
            <color indexed="81"/>
            <rFont val="Tahoma"/>
            <family val="2"/>
          </rPr>
          <t>Medición meta etsratégica</t>
        </r>
      </text>
    </comment>
    <comment ref="H111" authorId="0" shapeId="0">
      <text>
        <r>
          <rPr>
            <b/>
            <sz val="9"/>
            <color indexed="81"/>
            <rFont val="Tahoma"/>
            <family val="2"/>
          </rPr>
          <t>Medición meta etsratégica</t>
        </r>
      </text>
    </comment>
    <comment ref="H112" authorId="0" shapeId="0">
      <text>
        <r>
          <rPr>
            <b/>
            <sz val="9"/>
            <color indexed="81"/>
            <rFont val="Tahoma"/>
            <family val="2"/>
          </rPr>
          <t>Medición meta etsratégica</t>
        </r>
      </text>
    </comment>
    <comment ref="H115" authorId="0" shapeId="0">
      <text>
        <r>
          <rPr>
            <b/>
            <sz val="9"/>
            <color indexed="81"/>
            <rFont val="Tahoma"/>
            <family val="2"/>
          </rPr>
          <t>Medición meta estratégica</t>
        </r>
      </text>
    </comment>
    <comment ref="H129" authorId="1" shapeId="0">
      <text>
        <r>
          <rPr>
            <b/>
            <sz val="9"/>
            <color indexed="81"/>
            <rFont val="Tahoma"/>
            <family val="2"/>
          </rPr>
          <t>MME</t>
        </r>
      </text>
    </comment>
    <comment ref="H130" authorId="0" shapeId="0">
      <text>
        <r>
          <rPr>
            <b/>
            <sz val="9"/>
            <color indexed="81"/>
            <rFont val="Tahoma"/>
            <family val="2"/>
          </rPr>
          <t>Medición meta etsratégica</t>
        </r>
      </text>
    </comment>
    <comment ref="H131" authorId="0" shapeId="0">
      <text>
        <r>
          <rPr>
            <b/>
            <sz val="9"/>
            <color indexed="81"/>
            <rFont val="Tahoma"/>
            <family val="2"/>
          </rPr>
          <t>Medición meta etsratégica</t>
        </r>
      </text>
    </comment>
    <comment ref="H132" authorId="0" shapeId="0">
      <text>
        <r>
          <rPr>
            <b/>
            <sz val="9"/>
            <color indexed="81"/>
            <rFont val="Tahoma"/>
            <family val="2"/>
          </rPr>
          <t>Medición meta etsratégica</t>
        </r>
      </text>
    </comment>
    <comment ref="H133" authorId="0" shapeId="0">
      <text>
        <r>
          <rPr>
            <b/>
            <sz val="9"/>
            <color indexed="81"/>
            <rFont val="Tahoma"/>
            <family val="2"/>
          </rPr>
          <t>Medición meta etsratégica</t>
        </r>
      </text>
    </comment>
    <comment ref="H137" authorId="0" shapeId="0">
      <text>
        <r>
          <rPr>
            <b/>
            <sz val="9"/>
            <color indexed="81"/>
            <rFont val="Tahoma"/>
            <family val="2"/>
          </rPr>
          <t>Medición meta etsratégica</t>
        </r>
      </text>
    </comment>
    <comment ref="H142" authorId="0" shapeId="0">
      <text>
        <r>
          <rPr>
            <b/>
            <sz val="9"/>
            <color indexed="81"/>
            <rFont val="Tahoma"/>
            <family val="2"/>
          </rPr>
          <t>Medición meta etsratégica</t>
        </r>
      </text>
    </comment>
    <comment ref="H143" authorId="0" shapeId="0">
      <text>
        <r>
          <rPr>
            <b/>
            <sz val="9"/>
            <color indexed="81"/>
            <rFont val="Tahoma"/>
            <family val="2"/>
          </rPr>
          <t xml:space="preserve">Medición de meta estratégica
</t>
        </r>
      </text>
    </comment>
    <comment ref="H150" authorId="0" shapeId="0">
      <text>
        <r>
          <rPr>
            <b/>
            <sz val="9"/>
            <color indexed="81"/>
            <rFont val="Tahoma"/>
            <family val="2"/>
          </rPr>
          <t>Medición de meta estratégica</t>
        </r>
      </text>
    </comment>
    <comment ref="H151" authorId="0" shapeId="0">
      <text>
        <r>
          <rPr>
            <b/>
            <sz val="9"/>
            <color indexed="81"/>
            <rFont val="Tahoma"/>
            <family val="2"/>
          </rPr>
          <t>Medición de meta estratégica</t>
        </r>
      </text>
    </comment>
    <comment ref="H154" authorId="0" shapeId="0">
      <text>
        <r>
          <rPr>
            <b/>
            <sz val="9"/>
            <color indexed="81"/>
            <rFont val="Tahoma"/>
            <family val="2"/>
          </rPr>
          <t>Medición de meta estratégica</t>
        </r>
      </text>
    </comment>
    <comment ref="H155" authorId="0" shapeId="0">
      <text>
        <r>
          <rPr>
            <b/>
            <sz val="9"/>
            <color indexed="81"/>
            <rFont val="Tahoma"/>
            <family val="2"/>
          </rPr>
          <t>Medición de meta estratégica</t>
        </r>
      </text>
    </comment>
    <comment ref="H156" authorId="0" shapeId="0">
      <text>
        <r>
          <rPr>
            <b/>
            <sz val="9"/>
            <color indexed="81"/>
            <rFont val="Tahoma"/>
            <family val="2"/>
          </rPr>
          <t>Medición de meta estratégica</t>
        </r>
      </text>
    </comment>
    <comment ref="H167" authorId="1" shapeId="0">
      <text>
        <r>
          <rPr>
            <b/>
            <sz val="9"/>
            <color indexed="81"/>
            <rFont val="Tahoma"/>
            <family val="2"/>
          </rPr>
          <t>Plan de Accion ETITC:</t>
        </r>
        <r>
          <rPr>
            <sz val="9"/>
            <color indexed="81"/>
            <rFont val="Tahoma"/>
            <family val="2"/>
          </rPr>
          <t xml:space="preserve">
MME</t>
        </r>
      </text>
    </comment>
    <comment ref="H187" authorId="0" shapeId="0">
      <text>
        <r>
          <rPr>
            <b/>
            <sz val="9"/>
            <color indexed="81"/>
            <rFont val="Tahoma"/>
            <family val="2"/>
          </rPr>
          <t>Medición de meta estratégica</t>
        </r>
      </text>
    </comment>
    <comment ref="H188" authorId="0" shapeId="0">
      <text>
        <r>
          <rPr>
            <b/>
            <sz val="9"/>
            <color indexed="81"/>
            <rFont val="Tahoma"/>
            <family val="2"/>
          </rPr>
          <t xml:space="preserve">Medición meta estratégica </t>
        </r>
      </text>
    </comment>
    <comment ref="H189" authorId="0" shapeId="0">
      <text>
        <r>
          <rPr>
            <b/>
            <sz val="9"/>
            <color indexed="81"/>
            <rFont val="Tahoma"/>
            <family val="2"/>
          </rPr>
          <t>Medición de meta estratégica</t>
        </r>
      </text>
    </comment>
    <comment ref="H191" authorId="0" shapeId="0">
      <text>
        <r>
          <rPr>
            <b/>
            <sz val="9"/>
            <color indexed="81"/>
            <rFont val="Tahoma"/>
            <family val="2"/>
          </rPr>
          <t>Medición de meta estratégica</t>
        </r>
      </text>
    </comment>
    <comment ref="H192" authorId="0" shapeId="0">
      <text>
        <r>
          <rPr>
            <b/>
            <sz val="9"/>
            <color indexed="81"/>
            <rFont val="Tahoma"/>
            <family val="2"/>
          </rPr>
          <t>Medición de meta estratégica</t>
        </r>
      </text>
    </comment>
    <comment ref="H193" authorId="0" shapeId="0">
      <text>
        <r>
          <rPr>
            <b/>
            <sz val="9"/>
            <color indexed="81"/>
            <rFont val="Tahoma"/>
            <family val="2"/>
          </rPr>
          <t>Medición meta estratégica</t>
        </r>
      </text>
    </comment>
    <comment ref="H196" authorId="0" shapeId="0">
      <text>
        <r>
          <rPr>
            <b/>
            <sz val="9"/>
            <color indexed="81"/>
            <rFont val="Tahoma"/>
            <family val="2"/>
          </rPr>
          <t>Medición de meta estratégica</t>
        </r>
      </text>
    </comment>
    <comment ref="H200" authorId="0" shapeId="0">
      <text>
        <r>
          <rPr>
            <b/>
            <sz val="9"/>
            <color indexed="81"/>
            <rFont val="Tahoma"/>
            <family val="2"/>
          </rPr>
          <t>Medición de meta estratégica</t>
        </r>
      </text>
    </comment>
    <comment ref="F201" authorId="1" shapeId="0">
      <text>
        <r>
          <rPr>
            <b/>
            <sz val="9"/>
            <color indexed="81"/>
            <rFont val="Tahoma"/>
            <family val="2"/>
          </rPr>
          <t>PFC</t>
        </r>
      </text>
    </comment>
    <comment ref="H201" authorId="0" shapeId="0">
      <text>
        <r>
          <rPr>
            <b/>
            <sz val="9"/>
            <color indexed="81"/>
            <rFont val="Tahoma"/>
            <family val="2"/>
          </rPr>
          <t>Medición de meta estratégica</t>
        </r>
      </text>
    </comment>
    <comment ref="H208" authorId="0" shapeId="0">
      <text>
        <r>
          <rPr>
            <b/>
            <sz val="9"/>
            <color indexed="81"/>
            <rFont val="Tahoma"/>
            <family val="2"/>
          </rPr>
          <t>Medición de meta estratégica</t>
        </r>
      </text>
    </comment>
    <comment ref="H228" authorId="0" shapeId="0">
      <text>
        <r>
          <rPr>
            <b/>
            <sz val="9"/>
            <color indexed="81"/>
            <rFont val="Tahoma"/>
            <family val="2"/>
          </rPr>
          <t>Medición de meta estratégica</t>
        </r>
      </text>
    </comment>
    <comment ref="H229" authorId="0" shapeId="0">
      <text>
        <r>
          <rPr>
            <b/>
            <sz val="9"/>
            <color indexed="81"/>
            <rFont val="Tahoma"/>
            <family val="2"/>
          </rPr>
          <t>Medición de meta estratégica</t>
        </r>
      </text>
    </comment>
    <comment ref="H231" authorId="0" shapeId="0">
      <text>
        <r>
          <rPr>
            <b/>
            <sz val="9"/>
            <color indexed="81"/>
            <rFont val="Tahoma"/>
            <family val="2"/>
          </rPr>
          <t>Medición de meta estratégica</t>
        </r>
      </text>
    </comment>
    <comment ref="H232" authorId="0" shapeId="0">
      <text>
        <r>
          <rPr>
            <b/>
            <sz val="9"/>
            <color indexed="81"/>
            <rFont val="Tahoma"/>
            <family val="2"/>
          </rPr>
          <t>Medición de meta estratégica</t>
        </r>
      </text>
    </comment>
    <comment ref="H233" authorId="0" shapeId="0">
      <text>
        <r>
          <rPr>
            <b/>
            <sz val="9"/>
            <color indexed="81"/>
            <rFont val="Tahoma"/>
            <family val="2"/>
          </rPr>
          <t>Medición de meta estratégica</t>
        </r>
      </text>
    </comment>
    <comment ref="H234" authorId="0" shapeId="0">
      <text>
        <r>
          <rPr>
            <b/>
            <sz val="9"/>
            <color indexed="81"/>
            <rFont val="Tahoma"/>
            <family val="2"/>
          </rPr>
          <t>Medición de meta estratégica</t>
        </r>
      </text>
    </comment>
    <comment ref="H235" authorId="0" shapeId="0">
      <text>
        <r>
          <rPr>
            <b/>
            <sz val="9"/>
            <color indexed="81"/>
            <rFont val="Tahoma"/>
            <family val="2"/>
          </rPr>
          <t>Medición de meta estratégica</t>
        </r>
      </text>
    </comment>
    <comment ref="H236" authorId="0" shapeId="0">
      <text>
        <r>
          <rPr>
            <b/>
            <sz val="9"/>
            <color indexed="81"/>
            <rFont val="Tahoma"/>
            <family val="2"/>
          </rPr>
          <t>Medición de meta estratégica</t>
        </r>
      </text>
    </comment>
    <comment ref="H237" authorId="0" shapeId="0">
      <text>
        <r>
          <rPr>
            <b/>
            <sz val="9"/>
            <color indexed="81"/>
            <rFont val="Tahoma"/>
            <family val="2"/>
          </rPr>
          <t>Medición de meta estratégica</t>
        </r>
      </text>
    </comment>
    <comment ref="F240" authorId="1" shapeId="0">
      <text>
        <r>
          <rPr>
            <b/>
            <sz val="9"/>
            <color indexed="81"/>
            <rFont val="Tahoma"/>
            <family val="2"/>
          </rPr>
          <t>PFC</t>
        </r>
      </text>
    </comment>
    <comment ref="H240" authorId="0" shapeId="0">
      <text>
        <r>
          <rPr>
            <b/>
            <sz val="9"/>
            <color indexed="81"/>
            <rFont val="Tahoma"/>
            <family val="2"/>
          </rPr>
          <t>Medición meta estratégica
Añadir un indicador que permita ver la gestión previa al registro del pregrado.</t>
        </r>
      </text>
    </comment>
    <comment ref="F279" authorId="1" shapeId="0">
      <text>
        <r>
          <rPr>
            <b/>
            <sz val="9"/>
            <color indexed="81"/>
            <rFont val="Tahoma"/>
            <family val="2"/>
          </rPr>
          <t>PFC</t>
        </r>
      </text>
    </comment>
    <comment ref="H279" authorId="0" shapeId="0">
      <text>
        <r>
          <rPr>
            <b/>
            <sz val="9"/>
            <color indexed="81"/>
            <rFont val="Tahoma"/>
            <family val="2"/>
          </rPr>
          <t>Medición de meta estratégica</t>
        </r>
      </text>
    </comment>
    <comment ref="H284" authorId="0" shapeId="0">
      <text>
        <r>
          <rPr>
            <b/>
            <sz val="9"/>
            <color indexed="81"/>
            <rFont val="Tahoma"/>
            <family val="2"/>
          </rPr>
          <t>Medición de meta estratégica</t>
        </r>
      </text>
    </comment>
    <comment ref="H303" authorId="0" shapeId="0">
      <text>
        <r>
          <rPr>
            <b/>
            <sz val="9"/>
            <color indexed="81"/>
            <rFont val="Tahoma"/>
            <family val="2"/>
          </rPr>
          <t>Medición de meta estratégica</t>
        </r>
      </text>
    </comment>
    <comment ref="H339" authorId="0" shapeId="0">
      <text>
        <r>
          <rPr>
            <b/>
            <sz val="9"/>
            <color indexed="81"/>
            <rFont val="Tahoma"/>
            <family val="2"/>
          </rPr>
          <t>Medición de meta estratégica</t>
        </r>
      </text>
    </comment>
    <comment ref="H344" authorId="0" shapeId="0">
      <text>
        <r>
          <rPr>
            <b/>
            <sz val="9"/>
            <color indexed="81"/>
            <rFont val="Tahoma"/>
            <family val="2"/>
          </rPr>
          <t>Medición de meta estratégica</t>
        </r>
      </text>
    </comment>
    <comment ref="H345" authorId="0" shapeId="0">
      <text>
        <r>
          <rPr>
            <b/>
            <sz val="9"/>
            <color indexed="81"/>
            <rFont val="Tahoma"/>
            <family val="2"/>
          </rPr>
          <t>Medición de meta estratégica</t>
        </r>
      </text>
    </comment>
    <comment ref="H348" authorId="0" shapeId="0">
      <text>
        <r>
          <rPr>
            <b/>
            <sz val="9"/>
            <color indexed="81"/>
            <rFont val="Tahoma"/>
            <family val="2"/>
          </rPr>
          <t>Medición de meta estratégica</t>
        </r>
      </text>
    </comment>
    <comment ref="H362" authorId="0" shapeId="0">
      <text>
        <r>
          <rPr>
            <b/>
            <sz val="9"/>
            <color indexed="81"/>
            <rFont val="Tahoma"/>
            <family val="2"/>
          </rPr>
          <t>Medición de meta estratégica</t>
        </r>
      </text>
    </comment>
    <comment ref="H364" authorId="0" shapeId="0">
      <text>
        <r>
          <rPr>
            <b/>
            <sz val="9"/>
            <color indexed="81"/>
            <rFont val="Tahoma"/>
            <family val="2"/>
          </rPr>
          <t>Medición meta estratégica</t>
        </r>
      </text>
    </comment>
    <comment ref="H367" authorId="0" shapeId="0">
      <text>
        <r>
          <rPr>
            <b/>
            <sz val="9"/>
            <color indexed="81"/>
            <rFont val="Tahoma"/>
            <family val="2"/>
          </rPr>
          <t>Medición de meta estratégica</t>
        </r>
      </text>
    </comment>
    <comment ref="H368" authorId="0" shapeId="0">
      <text>
        <r>
          <rPr>
            <b/>
            <sz val="9"/>
            <color indexed="81"/>
            <rFont val="Tahoma"/>
            <family val="2"/>
          </rPr>
          <t>Medición de meta estratégica</t>
        </r>
      </text>
    </comment>
    <comment ref="H372" authorId="0" shapeId="0">
      <text>
        <r>
          <rPr>
            <b/>
            <sz val="9"/>
            <color indexed="81"/>
            <rFont val="Tahoma"/>
            <family val="2"/>
          </rPr>
          <t>Medición de meta estratégica</t>
        </r>
      </text>
    </comment>
    <comment ref="H391" authorId="0" shapeId="0">
      <text>
        <r>
          <rPr>
            <b/>
            <sz val="9"/>
            <color indexed="81"/>
            <rFont val="Tahoma"/>
            <family val="2"/>
          </rPr>
          <t>Medición de meta estratégica</t>
        </r>
      </text>
    </comment>
    <comment ref="H392" authorId="0" shapeId="0">
      <text>
        <r>
          <rPr>
            <b/>
            <sz val="9"/>
            <color indexed="81"/>
            <rFont val="Tahoma"/>
            <family val="2"/>
          </rPr>
          <t>Medición de meta estratégica</t>
        </r>
      </text>
    </comment>
    <comment ref="H395" authorId="0" shapeId="0">
      <text>
        <r>
          <rPr>
            <b/>
            <sz val="9"/>
            <color indexed="81"/>
            <rFont val="Tahoma"/>
            <family val="2"/>
          </rPr>
          <t xml:space="preserve">Medición meta etsrategica
</t>
        </r>
      </text>
    </comment>
    <comment ref="H411" authorId="0" shapeId="0">
      <text>
        <r>
          <rPr>
            <b/>
            <sz val="9"/>
            <color indexed="81"/>
            <rFont val="Tahoma"/>
            <family val="2"/>
          </rPr>
          <t>Medición meta estrategica</t>
        </r>
      </text>
    </comment>
  </commentList>
</comments>
</file>

<file path=xl/comments2.xml><?xml version="1.0" encoding="utf-8"?>
<comments xmlns="http://schemas.openxmlformats.org/spreadsheetml/2006/main">
  <authors>
    <author>Plan de Accion ETITC</author>
    <author>ANDRES</author>
  </authors>
  <commentList>
    <comment ref="T12" authorId="0" shapeId="0">
      <text>
        <r>
          <rPr>
            <b/>
            <sz val="9"/>
            <color indexed="81"/>
            <rFont val="Tahoma"/>
            <family val="2"/>
          </rPr>
          <t>'Se calcula el avance del indicador según los avances de las diferentes actividades que deben ejecutarse para articular los programas con el modelo de evualuación de resultados de aprendizaje y competencias</t>
        </r>
      </text>
    </comment>
    <comment ref="Z39" authorId="1" shapeId="0">
      <text>
        <r>
          <rPr>
            <sz val="9"/>
            <color indexed="81"/>
            <rFont val="Tahoma"/>
            <family val="2"/>
          </rPr>
          <t xml:space="preserve">AVANCE GENERAL "LO INSTITUCIONAL" 2022
</t>
        </r>
      </text>
    </comment>
  </commentList>
</comments>
</file>

<file path=xl/comments3.xml><?xml version="1.0" encoding="utf-8"?>
<comments xmlns="http://schemas.openxmlformats.org/spreadsheetml/2006/main">
  <authors>
    <author>mylife</author>
    <author>Plan de Accion ETITC</author>
    <author>ANDRES</author>
  </authors>
  <commentList>
    <comment ref="H9" authorId="0" shapeId="0">
      <text>
        <r>
          <rPr>
            <sz val="9"/>
            <color indexed="81"/>
            <rFont val="Tahoma"/>
            <family val="2"/>
          </rPr>
          <t xml:space="preserve">Del PEI actualizado
</t>
        </r>
      </text>
    </comment>
    <comment ref="F11" authorId="1" shapeId="0">
      <text>
        <r>
          <rPr>
            <b/>
            <sz val="9"/>
            <color indexed="81"/>
            <rFont val="Tahoma"/>
            <family val="2"/>
          </rPr>
          <t>Número de atendidos:
Salud: 2.670; Sicología: 5.425; Trabajo Social: 4.468; Deportes: 1.405; Artes: 2.646; Pastoral: 1.469.
Se realizaron 141 actividades, con un promedio de asistencia de 128 estudiantes (sobre 3.600)</t>
        </r>
      </text>
    </comment>
    <comment ref="F12" authorId="1" shapeId="0">
      <text>
        <r>
          <rPr>
            <b/>
            <sz val="9"/>
            <color indexed="81"/>
            <rFont val="Tahoma"/>
            <family val="2"/>
          </rPr>
          <t>Los estudiantes registrados en Rusia son: 2.833 (sobre 3.600)</t>
        </r>
      </text>
    </comment>
    <comment ref="F13" authorId="1" shapeId="0">
      <text>
        <r>
          <rPr>
            <b/>
            <sz val="9"/>
            <color indexed="81"/>
            <rFont val="Tahoma"/>
            <family val="2"/>
          </rPr>
          <t>Se han presentado para aporbación 2 electivas: 1. Deportes y 2.Artes. Está en revisión por los Decanos. Se espera contar con la aprobación en el mes de septiembre</t>
        </r>
      </text>
    </comment>
    <comment ref="F14" authorId="1" shapeId="0">
      <text>
        <r>
          <rPr>
            <b/>
            <sz val="9"/>
            <color indexed="81"/>
            <rFont val="Tahoma"/>
            <family val="2"/>
          </rPr>
          <t>Los estudiantes registrados en CREA: 383 (sobre 3.600)</t>
        </r>
      </text>
    </comment>
    <comment ref="J19" authorId="2" shapeId="0">
      <text>
        <r>
          <rPr>
            <sz val="9"/>
            <color indexed="81"/>
            <rFont val="Tahoma"/>
            <family val="2"/>
          </rPr>
          <t xml:space="preserve">N/A
</t>
        </r>
      </text>
    </comment>
    <comment ref="H27" authorId="0" shapeId="0">
      <text>
        <r>
          <rPr>
            <b/>
            <sz val="9"/>
            <color indexed="81"/>
            <rFont val="Tahoma"/>
            <family val="2"/>
          </rPr>
          <t xml:space="preserve">25%
25 empresas </t>
        </r>
      </text>
    </comment>
    <comment ref="H32" authorId="0" shapeId="0">
      <text>
        <r>
          <rPr>
            <b/>
            <sz val="9"/>
            <color indexed="81"/>
            <rFont val="Tahoma"/>
            <family val="2"/>
          </rPr>
          <t>25%
1 convenio firmado con comunidades vulnerables</t>
        </r>
      </text>
    </comment>
    <comment ref="W33" authorId="2" shapeId="0">
      <text>
        <r>
          <rPr>
            <b/>
            <sz val="9"/>
            <color indexed="81"/>
            <rFont val="Tahoma"/>
            <family val="2"/>
          </rPr>
          <t>AVANCE GENERAL "LO SOCIAL" 2022</t>
        </r>
        <r>
          <rPr>
            <sz val="9"/>
            <color indexed="81"/>
            <rFont val="Tahoma"/>
            <family val="2"/>
          </rPr>
          <t xml:space="preserve">
</t>
        </r>
      </text>
    </comment>
  </commentList>
</comments>
</file>

<file path=xl/comments4.xml><?xml version="1.0" encoding="utf-8"?>
<comments xmlns="http://schemas.openxmlformats.org/spreadsheetml/2006/main">
  <authors>
    <author>ANDRES</author>
  </authors>
  <commentList>
    <comment ref="Z26" authorId="0" shapeId="0">
      <text>
        <r>
          <rPr>
            <sz val="9"/>
            <color indexed="81"/>
            <rFont val="Tahoma"/>
            <family val="2"/>
          </rPr>
          <t xml:space="preserve">AVANCE GENERAL "LO AMBIENTAL" 2022
</t>
        </r>
      </text>
    </comment>
  </commentList>
</comments>
</file>

<file path=xl/sharedStrings.xml><?xml version="1.0" encoding="utf-8"?>
<sst xmlns="http://schemas.openxmlformats.org/spreadsheetml/2006/main" count="4825" uniqueCount="2566">
  <si>
    <t>PLAN DE ACCIÓN INSTITUCIONAL 2022</t>
  </si>
  <si>
    <t>CÓDIGO:  DIE-FO-10</t>
  </si>
  <si>
    <t>VERSIÓN: 1</t>
  </si>
  <si>
    <t>VIGENCIA: ENERO de 2021</t>
  </si>
  <si>
    <t>PÁGINA:    1 de 1</t>
  </si>
  <si>
    <t>ÁREA</t>
  </si>
  <si>
    <t>ESTRATEGIA</t>
  </si>
  <si>
    <t>OBJETIVO ESTRATÉGICO</t>
  </si>
  <si>
    <t>SUBÁREA</t>
  </si>
  <si>
    <t>PROYECTO ESTRATÉGICO</t>
  </si>
  <si>
    <t>META ESTRATEGICA</t>
  </si>
  <si>
    <t>FASE O ETAPAS</t>
  </si>
  <si>
    <t>ACTIVIDAD</t>
  </si>
  <si>
    <t>INDICADOR</t>
  </si>
  <si>
    <t>PRODUCTO / EVIDENCIA</t>
  </si>
  <si>
    <t>PRESUPUESTO ASIGNADO</t>
  </si>
  <si>
    <t>PRESUPUESTO EJECUTADO</t>
  </si>
  <si>
    <t>FECHA INICIO</t>
  </si>
  <si>
    <t>FECHA FIN</t>
  </si>
  <si>
    <t>FECHA SEGUIMIENTO</t>
  </si>
  <si>
    <t>Avance en tiempo</t>
  </si>
  <si>
    <t>% AVANCE EN EL TIEMPO</t>
  </si>
  <si>
    <t>META ANUAL</t>
  </si>
  <si>
    <t>PROGRAMACIÓN META TRIMESTRAL</t>
  </si>
  <si>
    <t>SEGUIMIENTO TRIMESTRE 1</t>
  </si>
  <si>
    <t>SEGUIMIENTO TRIMESTRE 3</t>
  </si>
  <si>
    <t>SEGUIMIENTO TRIMESTRE 4</t>
  </si>
  <si>
    <t>Meta T1</t>
  </si>
  <si>
    <t>Meta T2</t>
  </si>
  <si>
    <t>Meta T3</t>
  </si>
  <si>
    <t>Meta T4</t>
  </si>
  <si>
    <t>% CUMPLIMIENTO META T1</t>
  </si>
  <si>
    <t>OBSERVACIONES</t>
  </si>
  <si>
    <t>UBICACIÓN DE EVIDENCIA / SOPORTE</t>
  </si>
  <si>
    <t xml:space="preserve">RESUPUESTO EJECUTADO </t>
  </si>
  <si>
    <t>% CUMPLIMIENTO META T2</t>
  </si>
  <si>
    <t>% CUMPLIMIENTO META T3</t>
  </si>
  <si>
    <t>% CUMPLIMIENTO META T4</t>
  </si>
  <si>
    <t>RECTORÍA</t>
  </si>
  <si>
    <t>Lo Institucional: La transformación cultural de la ETITC</t>
  </si>
  <si>
    <t>OE-1-Consolidar la calidad académica para la acreditación institucional de alta calidad respaldada fortalecimiento
de la gestión, la infraestructura tecnológica y física.</t>
  </si>
  <si>
    <t>OFICINA DE CONTROL INTERNO</t>
  </si>
  <si>
    <t>PE-5- MIPG y los sistemas de gestión para una gobernanza transparente</t>
  </si>
  <si>
    <t>ME-5- Alinear el modelo MIPG con el Sistema Integrado de Gestión (SIG) para la acreditación</t>
  </si>
  <si>
    <t xml:space="preserve">Implementación </t>
  </si>
  <si>
    <t>Formular y desarrollar el programa anual de auditorías.</t>
  </si>
  <si>
    <t>Porcentaje de alineación del MIPG con el SIG.</t>
  </si>
  <si>
    <t>Plan de auditorías formulado y desarrollado</t>
  </si>
  <si>
    <t xml:space="preserve">El programa anual de auditorías fue aprobado mediante el acta No 1 del CICCI, el 26 de enero de 2022.
</t>
  </si>
  <si>
    <t>https://www.etitc.edu.co/archives/paai22.pdf</t>
  </si>
  <si>
    <t>Presentación de informes a entes externos</t>
  </si>
  <si>
    <t>Informes presentados y publicados</t>
  </si>
  <si>
    <t>N/A</t>
  </si>
  <si>
    <t xml:space="preserve">Se ha presentado el informe de derechos de autor (9 de marzo).
Presentación del Informe de seguimiento a las funciones establecidad en el eKOGUI.
Se reporto el informe anual del FURAG vigencia 2021.
Informe de Control interno contable 
</t>
  </si>
  <si>
    <t>https://www.etitc.edu.co/archives/infoderechosautor21.pdf
https://www.etitc.edu.co/archives/infoeav21.pdf
https://www.etitc.edu.co/archives/ekogui221.pdf
https://www.etitc.edu.co/archives/infocic21.pdf</t>
  </si>
  <si>
    <t>Presentación de informes de requerimiento legal</t>
  </si>
  <si>
    <t xml:space="preserve">Informe de Austeridad en el Gasto 4° trimestre de 2021
Informe de seguimiento a las PQRSD 2021 (2 semestre).
Informe de evaluación independiente del Sistema de Control Interno.
Informe de seguimiento del Cómite de conciliación vigencia 2021.
 </t>
  </si>
  <si>
    <t>https://www.etitc.edu.co/archives/informeausteridad26.pdf
https://www.etitc.edu.co/archives/informepqrs221.pdf
https://www.etitc.edu.co/archives/infoseguimientocc21.pdf
https://www.etitc.edu.co/archives/seguimientotranspa20.pdf</t>
  </si>
  <si>
    <t xml:space="preserve">Seguimiento al Plan Anticorrupción y de Atención al Ciudadano y  mapas de riesgo de corrupción.  </t>
  </si>
  <si>
    <t>Informe cuatrimestral de los seguimientos realizados</t>
  </si>
  <si>
    <t xml:space="preserve">Seguimiento al PAAC 2021. Tercer cuatrimestre. 
Se realiza monitoreo constante a la publicación de los Mapas y Planes de Riesgos 2022.  </t>
  </si>
  <si>
    <t>https://www.etitc.edu.co/archives/seguimientoplanan321.pdf</t>
  </si>
  <si>
    <t xml:space="preserve">Seguimiento a la efectividad de las acciones de los planes de mejoramiento </t>
  </si>
  <si>
    <t xml:space="preserve">Seguimientos realizados a los procesos </t>
  </si>
  <si>
    <t>Esta actividad se realizará durante el 2° trimestre de la vigencia.</t>
  </si>
  <si>
    <t xml:space="preserve">Actividades de autocontrol </t>
  </si>
  <si>
    <t>Campañas de autocontrol realizadas</t>
  </si>
  <si>
    <t>A través de correo electrónico se socializo la actividad de control "¡Prepárese para presentar su plan de mejoramiento!" (29 de marzo).</t>
  </si>
  <si>
    <t>https://etitc.edu.co/es/page/control-interno</t>
  </si>
  <si>
    <t>Seguimiento a mapas de riesgos</t>
  </si>
  <si>
    <t>Seguimientos realizados e informe al final de la vigencia,</t>
  </si>
  <si>
    <t xml:space="preserve">De manera cuatrimestral se realiza seguimiento a los riesgos de corrupción a  través del informe de seguimiento al PAAC.
En la Auditoria realizada al área de Contratación se revisaron los riesgos asociados </t>
  </si>
  <si>
    <t>0E-01-Consolidar la calidad académica para la acreditación institucional de alta calidad respaldada fortalecimiento
de la gestión, la infraestructura tecnológica y física.</t>
  </si>
  <si>
    <t xml:space="preserve">SEGURIDAD DIGITAL </t>
  </si>
  <si>
    <t>PE-10-Transformación  digital de la ETITC</t>
  </si>
  <si>
    <t>ME-19-Implementar un modelo estratégico para impulsar la evolución digital de la ETITC, plasmado en el PETI.</t>
  </si>
  <si>
    <t>Ejecución</t>
  </si>
  <si>
    <t xml:space="preserve">Renovación de 50 licencias de la herramienta de correlacionamiento de eventos de seguridad SEM </t>
  </si>
  <si>
    <t>Porcentaje de implementación de la política de Gobierno Digital</t>
  </si>
  <si>
    <t xml:space="preserve">Aumentar la capacidad de servidores con la protección de la herramienta SEM </t>
  </si>
  <si>
    <t xml:space="preserve">Esta actividad se llevará a cabo a través del Cto 153 de 2022 E- DEA  NETWORKS SAS (28 de enero de 2022 hasta el mayo de 2023, % 27.009.430).
</t>
  </si>
  <si>
    <t xml:space="preserve">Actas d e inicio </t>
  </si>
  <si>
    <t>A la fecha se estructura el plan de trabajo con el área de Informática y Comunicaciones. La ejecución de este plan se ejecuta acorde a lo pactado.
Se realizo la actualización en el servidor de la última versión.
El seguimiento se realiza a través del aplicativo GLPI, a través del cual se evidencia en tiempo real los diferentes eventos y alertas de seguridad que se efectuan dentro de la entidad.</t>
  </si>
  <si>
    <t>Plataforma GLPI</t>
  </si>
  <si>
    <t>Prestación de servicios para el Análisis de Vulnerabilidades y Ethical Hacking a nuestros sistemas de información</t>
  </si>
  <si>
    <t>Realizar análisis de vulnerabilidades externa</t>
  </si>
  <si>
    <t>Con el Cto-366 de 2021 del 27 de diciembre, se continua ejecutado esta actividad ($16.600.500).
Se evidencia el cronograma de ejecución de las actividades contractuales, en este sentido se muestra en informe de ejecución (27 de enero de 2022)</t>
  </si>
  <si>
    <t xml:space="preserve">Informe de entregables. </t>
  </si>
  <si>
    <t xml:space="preserve">El Cto 366 e 2021 finalizo el 5 de julio  $16.600.500, se dio cumplimiento a todas las actividades pactadas.
A la fecha se trabaja en el plan de remediación, mismo que se realizará por fases, según las diferentes vulnerabilidades (9.963 a la fecha)  </t>
  </si>
  <si>
    <t xml:space="preserve">Cto finalizado </t>
  </si>
  <si>
    <t>OE-2-Fortalecer y potenciar el Talento Humano en las plantas de personal docente y administrativa.</t>
  </si>
  <si>
    <t>PE-7- Consolidación y aseguramiento del Talento Humano para el mejoramiento de las capacidades en las plantas administrativas y docentes</t>
  </si>
  <si>
    <t>ME-12-Dar continuidad al Talento Humano integral en las plantas de personal.</t>
  </si>
  <si>
    <t>Procentaje de apropiación presupuestal para el pago del personal de planta</t>
  </si>
  <si>
    <t>Creación a Aula Virtual con las tematicas vistas en la certificación</t>
  </si>
  <si>
    <t xml:space="preserve">Borrador de estudios previos </t>
  </si>
  <si>
    <t>OE-4-Fortalecer la visibilidad de la escuela bajo en entorno de asertividad para el posicionamiento
nacional e internacional.</t>
  </si>
  <si>
    <t>ORII</t>
  </si>
  <si>
    <t>PE-12-Internacionalización para ampliar fronteras de conocimiento</t>
  </si>
  <si>
    <t>ME-23- Consolidar la política de internacionalización y cooperación Nacional e Internacional de la ETITC.</t>
  </si>
  <si>
    <t xml:space="preserve">Llevar a cabo las actividades planeadas para la comunidad de apoyo para clases espejo </t>
  </si>
  <si>
    <t>Porcentaje de implementación de la Política Institucional de internacionalización y cooperación Nacional e Internacional.</t>
  </si>
  <si>
    <t>Repositorio con grabaciones de encuentros realizados</t>
  </si>
  <si>
    <t xml:space="preserve">Desde la ORII se han realizado las siguientes actividades:
8 sesiones de de la comunidad de apoyo para clases espejo, entre el 18 de enero y el 31 de marzo, con una totalidad de participantes de 167 </t>
  </si>
  <si>
    <t xml:space="preserve">Evidencias Fotograficas de las sesiones realizas </t>
  </si>
  <si>
    <t>Durante el 2° trimestre en el marco de  la comunidad de apoyo para clases espejo, se realizaron siete actividades entre el 7 de abril y 2 de junio, con más de 136 registro de participantes.
Por otra parte se realizó un ejercicio de dialogos interculturales con la UNIBAC de Cartagena (16 de junio - 38 participantes) .</t>
  </si>
  <si>
    <t>Evidencia visual de los eventos</t>
  </si>
  <si>
    <t xml:space="preserve">Actividades de Taller de Internacionalización </t>
  </si>
  <si>
    <t xml:space="preserve">Actividades realizadas </t>
  </si>
  <si>
    <t>En paso 16 de marzo, se realizo el 2° taller de Internacionalización con metodologia open space entre las 9 am y las 12 pm. Se contó con la participación de: ETITC, Universidad la Gran Colombia, Alianza Colombo Búlgar</t>
  </si>
  <si>
    <t>Durante el 2° trimesre de la vigencia se llevo a cabo con la Universidad San Marcos de costa Rica el evento "Mes del Investigador" (21 de junio), se contó con la participación de 65 aistentes.</t>
  </si>
  <si>
    <t xml:space="preserve">Actividades de visibilidad nacional e Internacional </t>
  </si>
  <si>
    <t xml:space="preserve">La ETITC, durante el mes de marzo ( 4 al 12) participo en la la conferencia ""RED TTU Academic Mission Expo Dubai. En dichos encuentros participaron 15 instituciones </t>
  </si>
  <si>
    <t xml:space="preserve">Estancia académica Erasmus + en la Universidad Técnica de Sofia (Bulgaria) del 23 de mayo al 03 de julio de 2022, junto con el ing. Sócrates Rojas Amador, Decano de la Facultad de sistemas 
Participación en la Mesa Intersectorial para la Internacionalización de la Educación Superior MIIES Ministerio de Educación Nacional (MEN) (26 de mayo)
Asistencia a las reuniones de la Red ORI SUE Distrito Capital (8 de abril, 6 de mayo, 19 de mayo y 10 de junio)
Asistencia a la reunión de la Red TTU (26 de abril y 2 de junio)
Asistencia a las reuniones de la Red de Internacionalización del Currículo RIUC (29 de abril)
</t>
  </si>
  <si>
    <t>SECRETARÍA GENERAL</t>
  </si>
  <si>
    <t>Acompañamiento a la actualización de la mejora normativa institucional con las áreas misionales y de apoyo</t>
  </si>
  <si>
    <t>Resoluciones que surjan de las actualizaciones</t>
  </si>
  <si>
    <t>Por definir</t>
  </si>
  <si>
    <t xml:space="preserve">Se adelantó con relación a los lineamientos de la Rectoría, mesas de trabajo con las Vicerrectorías, en este sentido se ha adelantado el plan de mejora normativa
• Vicerrectoría Académica
• Vicerrectoría de investigación Extensión y Transferencia 
• Rectoría 
• Vicerrectoría Administrativa y financiera 
</t>
  </si>
  <si>
    <t xml:space="preserve">Reuniones realizadas </t>
  </si>
  <si>
    <t>Actualización y reporte de las plataformas de control y seguimiento de actividades judiciales e institucionales</t>
  </si>
  <si>
    <t>Soportes de reporte generadas por plataformas</t>
  </si>
  <si>
    <t xml:space="preserve">Para el 1° trimestre se realzo el diligenciamiento del FURAG 2021, de conformidad con las mesas de trabajo con al Oficina Asesora de Planeación ()
Reporte Austeridad en el gasto, vigencia 2021 (10 de febrero).
Plataforma eKOGUI. dicha plataforma se va actualizando dependiendo de las actuaciones institucionales. 
</t>
  </si>
  <si>
    <t xml:space="preserve">Formulario FURAG diligenciado.
Reporte Austeridad en el gasto
Reporte Ekogui enviado.
</t>
  </si>
  <si>
    <t>Diseño y actualización de la base de datos de los procesos disciplinarios de primera instancia que conoce la Secretaría General</t>
  </si>
  <si>
    <t>Base de datos actualizada</t>
  </si>
  <si>
    <t xml:space="preserve">Se cuenta con 2 bases: La 1° comprende 23 procesos disciplinarios. 
La 2° integra las enumeraciones de los autos que se producen con relación a los autos disciplinarios.
</t>
  </si>
  <si>
    <t>Bases de datos en funcionamiento</t>
  </si>
  <si>
    <t>Diseño e implementación de campañas de sensibilización sobre el correcto actuar del servidor público</t>
  </si>
  <si>
    <t>Documentos que surjan de las campañas</t>
  </si>
  <si>
    <t xml:space="preserve">Se llevó a cabo una capacitación acerca de la actualización del nuevo código disciplinario y pautas para servidores públicos en tiempos de elecciones electorales (25 de marzo). </t>
  </si>
  <si>
    <t>Presentación realizada.</t>
  </si>
  <si>
    <t>Acompañamiento logístico y preparación del proceso de grados y ceremonias</t>
  </si>
  <si>
    <t>Ceremonias de grado realizadas</t>
  </si>
  <si>
    <t xml:space="preserve">Alrededor de 350 estudiantes cumplen con los requerimientos para ejecutar el proceso de grados, dicha actividad se proyecta realizar el próximo 28 de abril. </t>
  </si>
  <si>
    <t>OFICINA ASESORA DE PLANEACIÓN</t>
  </si>
  <si>
    <t xml:space="preserve">Seguimiento y monitoreo institucional </t>
  </si>
  <si>
    <t>Seguimiento a planes institucional (Plan Anticorrupción y de Atención al Ciudadano, Plan de Acción Sectorial, Plan de Acción)</t>
  </si>
  <si>
    <t>Seguimientos y monitoreos realizados</t>
  </si>
  <si>
    <t xml:space="preserve">Durante el 1° trimestre de la vigencia se realzaron las siguientes actividades: 
Reunión con los responsables del desarrollo de las actividades a corte de 31 de marzo: Control Interno, Oficina de Calidad, Oficina de Comunicaciones, Oficina de Atención al ciudadano. 
En el marco del seguimiento al PAS, se realizó una reunión con Talento Humano, para socializar las actividades a cargo de esta Oficina. 
</t>
  </si>
  <si>
    <t xml:space="preserve">Documento en construcción </t>
  </si>
  <si>
    <t>Hacer seguimiento a los espacios de Participación ciudadana (5)</t>
  </si>
  <si>
    <t xml:space="preserve">Esta actividad sse tiene prevista para el 2° trimestre de la vigencia. Sin embargo, se construyo el documento propio para realizar los diferentes seguimientos, durante la vigenvia. </t>
  </si>
  <si>
    <t xml:space="preserve">Fortalecer la implementación del Modelo Integrado de Planeación y Gestión.  </t>
  </si>
  <si>
    <t xml:space="preserve">Políticas de desarrollo administrativo fortalecidad </t>
  </si>
  <si>
    <t xml:space="preserve">Con el reporte del FURAG, se realizaron mesas de trabajo en las que se dio claridad a los líderes de política de la forma adecuada para la apliación de los lineamientos MIPG 2.0. 
Se realizo acompañamiento en la formulación de los planes y mapas de tratamiento de riesgos (20 procesos)
</t>
  </si>
  <si>
    <t>4.11. Mapa y Plan de Tratamiento de Riesgos
https://etitc.edu.co/es/page/leytransparencia
Certificado de reporte FURAG</t>
  </si>
  <si>
    <t>Seguimiento y monitoreo al contenido de la matriz ITA (Índice de transparencia)</t>
  </si>
  <si>
    <t xml:space="preserve">Reporte ITA realizado </t>
  </si>
  <si>
    <t xml:space="preserve">https://etitc.edu.co/es/page/leytransparencia
</t>
  </si>
  <si>
    <t>Reporte de información ante entidades externas</t>
  </si>
  <si>
    <t>Reporte realizado</t>
  </si>
  <si>
    <t xml:space="preserve">El reporte FURAG fue realizado durante el mes de marzo, con la ayuda de mesas de trabajo con los líderes de política (22 de marzo). 
</t>
  </si>
  <si>
    <t>Certificado de reporte FURAG</t>
  </si>
  <si>
    <t xml:space="preserve">Formulación, seguimiento de planes,   proyectos e indicadores </t>
  </si>
  <si>
    <t xml:space="preserve">Seguimietno y reportes realizados </t>
  </si>
  <si>
    <t xml:space="preserve">Se formulo y publico el Plan de Acción y Plan Anticorrupción y de Atención al Ciudadano, surtiendo el proceso de participación ciudadana y en cumplimiento de los requerimientos de la ley 1712/14 
De igual modo se actualizaron los 3 proyectos de inversión con los que cuenta la ETITC, ajustandolos al decreto 1805 de 2020, adjuntando el documento técnico de justificación en SUIFP, los 3 proyectos se encuentran en estado registrado y actualizado ante el DNP; de igual modo se realiza el seguimiento a los 3 proyectos en mención mediante SPI. </t>
  </si>
  <si>
    <t>https://www.etitc.edu.co/archives/plandeaccion21.xlsx
https://www.etitc.edu.co/archives/paac21v1.pdf
https://sts.dnp.gov.co/login.aspx?ReturnUrl=%2f%3fwa%3dwsignin1.0%26wtrealm%3dhttps%253a%252f%252fspi.dnp.gov.co%252f%26wctx%3drm%253d0%2526id%253dpassive%2526ru%253d%25252f%26wct%3d2021-04-15T15%253a15%253a49Z&amp;wa=wsignin1.0&amp;wtrealm=https%3a%2f%2fspi.dnp.gov.co%2f&amp;wctx=rm%3d0%26id%3dpassive%26ru%3d%252f&amp;wct=2021-04-15T15%3a15%3a49Z
https://www.etitc.edu.co/es/page/transparencia</t>
  </si>
  <si>
    <t>ME-9- Implementar modelo de Gestión por Proyectos con metodologías aplicables según fuente de recursos.</t>
  </si>
  <si>
    <t>Implementación del Banco de Proyectos</t>
  </si>
  <si>
    <t>Implementación del Banco del Proyectos Institucional y capacitación (Implementación, seguimiento y monitoreo)</t>
  </si>
  <si>
    <t>Porcentaje de proyectos del PDI gestionados por metodologías exigibles.</t>
  </si>
  <si>
    <t>Banco del Proyectos Institucional implementadao</t>
  </si>
  <si>
    <t>Desde la OAP se desarrollo un instrumento que permite ver la materialziación del Banco de Proyectos Institucionales. Este se presentará ante las instancias correspondientes.</t>
  </si>
  <si>
    <t xml:space="preserve">Intrumento en construcción </t>
  </si>
  <si>
    <t>ME-6- Diseñar e implementar el Sistema Unificado de Información y Estadística (SUIE).</t>
  </si>
  <si>
    <t>Diseño del SUIE</t>
  </si>
  <si>
    <t xml:space="preserve">Porcentaje de implementación del SUIE. </t>
  </si>
  <si>
    <t xml:space="preserve">Esta actividad no se ha tenido desarrollo </t>
  </si>
  <si>
    <t xml:space="preserve">Seguimeinto y evaluación </t>
  </si>
  <si>
    <t>Dar continuidad a las correcta aplicación de las políticas de desarrollo administrativo  del MIPG 2.0</t>
  </si>
  <si>
    <t xml:space="preserve">IDI </t>
  </si>
  <si>
    <t>Durtante el 1° trimestre de la vigencia desde la Oficina Asesora de Planeación se realizaron reuniones con el MEN, como parte de la estrategia para mejorar los resultados frente al reporte FURAG 2021. En este sentido s erealizaron reunines con los diferentes díderes de las políticas de desarrollo administrativo, para recolectar evidencias y realizar el reporte en el aplicativo dispuesto para tal fin durante la 2° y 3° semana de marzxo, el certificado de diligenciamiento se recibio el pasado 22 de marzo con un diligenciamiento al 100%</t>
  </si>
  <si>
    <t>OFICINA DE CALIDAD</t>
  </si>
  <si>
    <t>PE-1- Acreditación Institucional de alta calidad</t>
  </si>
  <si>
    <t>ME-1- Obtener la Acreditación Institucional de Alta Calidad en el 2024</t>
  </si>
  <si>
    <t>Implementaicón</t>
  </si>
  <si>
    <t>Renovación de membresia de icontec</t>
  </si>
  <si>
    <t>Porcentaje de cumplimiento en las fases del Consejo Nacional de Acreditación</t>
  </si>
  <si>
    <t>Membresía renovada</t>
  </si>
  <si>
    <t xml:space="preserve">Esta actividad se proyecta realziar durante el mes de octubre. </t>
  </si>
  <si>
    <t>Plan de auditoria 
Informe definitivo</t>
  </si>
  <si>
    <t xml:space="preserve">Auditoria de Seguimiento. </t>
  </si>
  <si>
    <t xml:space="preserve">Informe de auditoria </t>
  </si>
  <si>
    <t xml:space="preserve">Se concretaron las fechas para la auditoria a realiazr por ICONTEC, 20 y 21 de abril. </t>
  </si>
  <si>
    <t xml:space="preserve">Correos enviados </t>
  </si>
  <si>
    <t xml:space="preserve">Durante el 20 y 21 de abril se realizo la auditoria externa de seguimiento asociado a las normas ISO 9001/ 2015 e ISO 27001 de 2013. Se identificaron 2 no conformidades menores, a las cuales se formulo en la de mejoramiento y fue aprobado por ICONTEC.
En este sentido, se actualizaron los mapas de riesgos de V. Investigación y Extensión.  Se tiene pendiente la revisión de la organización documental de GITEPS.  </t>
  </si>
  <si>
    <t xml:space="preserve">Informe definitivo </t>
  </si>
  <si>
    <t>Ejecutar las actividades de la oficina de Calidad de la Escuela Tecnológica Instituto Técnico Central</t>
  </si>
  <si>
    <t>Ejecución contractual</t>
  </si>
  <si>
    <t xml:space="preserve">Se realizo el informe por la dirección y se presento ante el CIGD el 25 de febrero.
Se han actualizado documentos (20 de documentos).
Se aprobo por parte del CIGD el programa de auditorias 
Se realizo el informe de auditorias 2021.
Realización de la auditoria a los procesos: Control interno y gestión de adquisiciones.  </t>
  </si>
  <si>
    <t>Acta de CIGD 25 de febrero.
https://itceduco-my.sharepoint.com/:f:/g/personal/calidad_itc_edu_co/EpT1760NHatIvGy2r9_BHYYBUW38e1quYehurvBx514DfA?e=rOeONH
Programa Anual de Auditorías Internas 2022 
https://etitc.edu.co/archives/progamaauditorias22.pdf
Informe de Auditorias Internas del SGI 2021  
https://etitc.edu.co/archives/auditoriainternagc21.pdf</t>
  </si>
  <si>
    <t xml:space="preserve">Se realizo el informe de satisfacción del servicio prestado 1° trimestre.
Atención a la actualización, eliminación de documentos y actualización del listado maestro.
Se apoyo al seguimiento de riesgos de gestión. 
</t>
  </si>
  <si>
    <t>https://www.etitc.edu.co/es/page/nosotros&amp;sgi</t>
  </si>
  <si>
    <t>Preauditoria de la NTC 14001</t>
  </si>
  <si>
    <t xml:space="preserve">Preauditoria realizada </t>
  </si>
  <si>
    <t>Organizar y realizar las actividades necesarias para las auditoría de renovación de las certificaciones NTC ISO 9001:2015 y NTC ISO IEC 27001:2013</t>
  </si>
  <si>
    <t>Auditorías realizadas</t>
  </si>
  <si>
    <t xml:space="preserve">Se remitió correo a ICONTEC el 2 marzo, donde se relaciona la información solicitada para realizar las auditorias de seguimiento NTC ISO 9001:2015, NTC ISO IEC 27001:2013 y 14001.
Se proyecta realizar la auditoria antes del 11 de julio. </t>
  </si>
  <si>
    <t>Correo enviado 2 de marzo</t>
  </si>
  <si>
    <t>Apoyar la evaluación de la gestión de riesgos en la entidad como insumo para la toma de decisiones</t>
  </si>
  <si>
    <t>Mapas de riesgos</t>
  </si>
  <si>
    <t xml:space="preserve">El apoyo a la gestión del riesgo de la Institución se realiza a través de la Oficina Asesora de Planeación, quienes para el 1° trimestre de la vigencia acompaño en la estructuración de los 20 Mapas y planes de tratamiento de Riesgos correspondientes a los 20 procesos. </t>
  </si>
  <si>
    <t>Matrices de planes y mapas de riesgos publicados. 
4.11. Mapa y Plan de Tratamiento de Riesgos
https://etitc.edu.co/es/page/leytransparencia</t>
  </si>
  <si>
    <t xml:space="preserve">Se realizo seguimiento al reporte de cada uno de los 20 procesos, actualmente 17 de los 20 procesos han publicado sus respectivos seguimientos.  </t>
  </si>
  <si>
    <t>4.11. MAPA Y PLAN DE TRATAMIENTO DE RIESGOS
https://www.etitc.edu.co/es/page/leytransparencia</t>
  </si>
  <si>
    <t>Fortalecer la socialización del sistema de gestión integrado a través de publicidad, vallas y/o actividades.</t>
  </si>
  <si>
    <t>Campañas, correos, amteriales</t>
  </si>
  <si>
    <t>El 17 de marzo, se realizo una capacitación referente el tema "Salida no conforme". Participaron 10 funcionarios de la Entidad.</t>
  </si>
  <si>
    <t xml:space="preserve">https://itceduco-my.sharepoint.com/:f:/g/personal/calidad_itc_edu_co/EpT1760NHatIvGy2r9_BHYYBUW38e1quYehurvBx514DfA?e=rOeONH
</t>
  </si>
  <si>
    <t xml:space="preserve">En el espacio dispuesto para el SIACET, se publico el boletin número 1 de la vigencia 2022 </t>
  </si>
  <si>
    <t>https://www.etitc.edu.co/archives/siacet2.pdf</t>
  </si>
  <si>
    <t>ASEGURAMIENTO DE LA CALIDAD</t>
  </si>
  <si>
    <t xml:space="preserve">Diseño e implementación </t>
  </si>
  <si>
    <t>Finalizar informes planes de mejoramiento 2017-2018 por Facultad</t>
  </si>
  <si>
    <t>Documentos Planes de mejoramiento por Facultad</t>
  </si>
  <si>
    <t>De las 4 facultades pendientes por finalizar los informes, se han entregado 2 informes: Electrómecanica y procesos industriales, con miras a que estos revisen y finalicen el respectivo informe.</t>
  </si>
  <si>
    <t>Informes de finalización de planes de mejoramiento</t>
  </si>
  <si>
    <t>Elaborar informes planes de mejoramiento 2019-2020 por Facultad</t>
  </si>
  <si>
    <t xml:space="preserve">Esta actividad esta programada para el 2° semestre de la vigencia. </t>
  </si>
  <si>
    <t>Elaborar boletínes del SIACET</t>
  </si>
  <si>
    <t>3 Boletínes</t>
  </si>
  <si>
    <t xml:space="preserve">El 1° boletin de la vigencia esta en proceso de construcción y su publicación y socialización se realizara durate le mes de abril. </t>
  </si>
  <si>
    <t>Borrador del !° Boletin SIACET</t>
  </si>
  <si>
    <t>Construir matriz de evidencias a partir de las condiciones de calidad y los criterios normativos</t>
  </si>
  <si>
    <t>Matriz de evidencias</t>
  </si>
  <si>
    <t>La matriz se está contruyendo articulando las condiciones de calidad de programas e institucionales, con los factores de acreditación institucional y de programa, MIPG y la NTC 9001 de 2015. A la fecha se cuenta con la articulación a partir de las dos primeras condiciones institucionales.</t>
  </si>
  <si>
    <t>Proponer el modelo de autoevalución con fines de acreditación de programas.</t>
  </si>
  <si>
    <t>Modelo de Autoevaluación</t>
  </si>
  <si>
    <t>Se cuenta con la propuesta del modelo y la metodologia para la definición del modelo de autoevalución con fines de acreditación de programas, se encuentra pendiente su aprobación por el Cómite del PDI y Autoevación.
Asi mismo y una vez aprobado se realizará el taller para la ponderación de factores y características del modelo.</t>
  </si>
  <si>
    <t>Verificar la definición de lineamientos asociados a las políticas institucionales a partir del Decreto 1330 de 2019</t>
  </si>
  <si>
    <t>Políticas Institucionales</t>
  </si>
  <si>
    <t>Se ha realizado la verificación y existencia de las políticas en documentos institucionales vigentes y acompañamiento en la actualización de las mismas.</t>
  </si>
  <si>
    <t>Implementación</t>
  </si>
  <si>
    <t xml:space="preserve">Ejecutar procesos y estrategias dirigidas  a la acreditación institucional </t>
  </si>
  <si>
    <t>Processo ejecutados</t>
  </si>
  <si>
    <t>El 2 de febrero se definieron los equipos de trabajo para el desarrollo de la Acreditación institucional (Misional, Estratégico, Técnico).
Definición de cronograma con el equipo técnico para desarrollar el proceso de Autoevaluación con fines de acreditación Institucional</t>
  </si>
  <si>
    <t>Plan de Acción de Acreditación Institucional 
Cronograma de trabajo</t>
  </si>
  <si>
    <t>OE-1 Consolidar la calidad académica para la acreditación institucional de alta calidad respaldada fortalecimiento de la gestión, la infraestructura tecnológica y física.</t>
  </si>
  <si>
    <t>AUTOEVALUACIÓN</t>
  </si>
  <si>
    <t>PE-1- Acreditación institucional de Alta Calidad</t>
  </si>
  <si>
    <t>ME-1 Obtener la acreditación institucional de alta calidad en el 2024</t>
  </si>
  <si>
    <t>Articular el modelo de autoevaluación institucional con el modelo de autoevaluación de programas.</t>
  </si>
  <si>
    <t>Informe de avance</t>
  </si>
  <si>
    <t xml:space="preserve">Co relación a la Articular el modelo de autoevaluación institucional con el modelo de autoevaluación de programa,
Se creo una matriz de identificación en la cual se determinaron las responsabilidades y evidencias, se consolido la matriz de evaluación en la cual se determinaron los criterios mínimos a calificar, cruzando con esto el modelo de autoevaluación institucional y el proyecto de modelo de programas (400 aspectos en promedio).
Se realizó la articulación de las condiciones institucionales y las condiciones de programa </t>
  </si>
  <si>
    <t xml:space="preserve">Matriz de identificación </t>
  </si>
  <si>
    <t>Desarrollar 8 ejercicios de autoevaluación de programas.</t>
  </si>
  <si>
    <t>Informe de avance
(PFC)</t>
  </si>
  <si>
    <t>Se definieron los compromisos del equipo técnico de autoevaluación para las Facultades de Sistemas, procesos industriales y Mecatrónica, con un desarrollo del 50% para la técnica de recolección documental.
Se inicio la recolección documental de áreas tranversales como: Financiera, Egresados, Bienestar, Extensión, ORII.</t>
  </si>
  <si>
    <t>Correos enviados</t>
  </si>
  <si>
    <t>Radicar la solicitud de renovación de la acreditación de 8 programas de pregrado.</t>
  </si>
  <si>
    <t xml:space="preserve">Esta actividad esta sujeta a la consecución de la actividad anterior </t>
  </si>
  <si>
    <t>Consolidar la documentación de condiciones iniciales para el inicio al ejercicio de acreditación institucional</t>
  </si>
  <si>
    <t xml:space="preserve">Se cuenta con un borrador de documento de condiciones iniciales y con el 80% de avance de recolección de evidencias que daran cuenta del proceso. </t>
  </si>
  <si>
    <t xml:space="preserve">Nborrador del docuemnto Condiciones iniciales </t>
  </si>
  <si>
    <t>PFC</t>
  </si>
  <si>
    <t>Lo social: un acuerdo para lo fundamental</t>
  </si>
  <si>
    <t>OE-6 Aumentar la cobertura mediante programas de educación superior diferenciados, con alta pertinencia regional de la institución.</t>
  </si>
  <si>
    <t>PE-14- Nuevos programas de pregrado y posgrado</t>
  </si>
  <si>
    <t>ME-29 Lograr para 2024, 3 carreras profesionales articulados por ciclos propedéuticos TP-TG-PU (Ing. Agrícola, Ing. Ambiental e Ing. Energías) y 1 maestría (seguridad informática)</t>
  </si>
  <si>
    <t>Concluir el proceso de condiciones institucionales ante el Ministerio de Educación Nacional. (1. Visita de EE, 2. Informe de Pares)</t>
  </si>
  <si>
    <t>Programas nuevos con registro calificado/Programas nuevos propuestos al MEN y al CNA*100</t>
  </si>
  <si>
    <t>Frente a Concluir el proceso de condiciones institucionales ante el Ministerio de Educación Naciona, se consolido el proceso a nivel interno finalizando visita de marzo durante los días 8, 9 y 10 de marzo</t>
  </si>
  <si>
    <t>Acta de cierre Visita de pares</t>
  </si>
  <si>
    <t>Concluir el proceso de renovación de registro calificado del programa de Ingeniería Mecánica articulada por ciclos propedéuticos con los niveles Técnico Profesional y Tecnología ante el Ministerio de Educación Nacional (1. Completitud, 2. Visita de EE, 2. Informe de Pares)</t>
  </si>
  <si>
    <t xml:space="preserve">Frente a la actividad Concluir el proceso de renovación de registro calificado del programa de Ingeniería Mecánica articulada por ciclos propedéuticos con los niveles Técnico Profesional y Tecnología ante el Ministerio de Educación Nacional. El proceso de renovación acepto las fechas propuestas por el MEN, radicadas el pasado 24 de marzo. Se iniciaron 2  simulacros: 1°, 23 de marzo, 2. 24 de marzo. </t>
  </si>
  <si>
    <t>Evicencias de Simulacros realizados.</t>
  </si>
  <si>
    <t>Asesorar a las facultades para el avance documental, consolidación de evidencias en cumplimiento con el Decreto 1330 de 2019, radicación, atención completitud.
1. Ing. Agrícola (3 niveles), 2. Ing. Ambiental (3 niveles), 3. Ing. Energías (3 niveles), 4. Maestría (1 programa), 5. Especializaciónes universitarias (1 programa), 6. Ing. Prof. Farmacéuticos (3 niveles)</t>
  </si>
  <si>
    <t xml:space="preserve">Se realizó una reunión con las Decaturas para mostrar los criterios a evaluar por el MEN y cual era la ingenerencia con el proceso 
El pasado 18 de marzo se realizó una reunión en la que se despejaron dudas acerca de los nuevos programas de posgrado: Especialización en mantenimiento Industrial. 
Se hizo entrega de guias de apoyo "Factibilidad". </t>
  </si>
  <si>
    <t>De acuerdo a las decisiones que se tomen por la Vicerrectoría Académica se procedera a ejecutar esta actividad.</t>
  </si>
  <si>
    <t>Lo Ambiental: Un nuevo acuerdo por la vida y para la vida en contexto ambiental</t>
  </si>
  <si>
    <t>OE-11 Aumentar la cobertura mediante programas de educación superior diferenciados,
con alta pertinencia regional.</t>
  </si>
  <si>
    <t>PE-27- Diseñar y ofertar nuevos programas de pregrado con alta pertinencia regional rural</t>
  </si>
  <si>
    <t>ME-69 Estructurar y gestionar el registro de pregrado de Ingeniería Agrícola por ciclos</t>
  </si>
  <si>
    <t>Capacitar a la Institución frente los mecanismos diseñados para el cumplimiento de la solicitud de nuevo registro.</t>
  </si>
  <si>
    <t>Programas con registro calificado en la modalidad semipresencial/ programas con registro calificado en la modalidad presencial*100</t>
  </si>
  <si>
    <t xml:space="preserve">Durante el 1° trimestre se revisaron los 3 documentos maestros entregados. Se espera su presentación ante el Consejo académico y Consejo directivo para dar continuidad al prámite. </t>
  </si>
  <si>
    <t>Invitación a la socialiazción.</t>
  </si>
  <si>
    <t>5 Contratos formalizados. Ejecución contractual Prestación Servicios Profesionales Aseguramiento de Calidad. Ejecución contractual</t>
  </si>
  <si>
    <t>Actualmente se ejecutan los contratos: 095, 094, 096 de 2022, por un valor de 33.605.000 cada uno. Estos se ejecutan en la Oficina de Autoevaluación.
Durante el segundo semestre de la vigencia se proyecta contratar 2 profesionales para la Vicerrectiría Académica</t>
  </si>
  <si>
    <t>Actas de inicio</t>
  </si>
  <si>
    <t>OE-10-Establecer un nuevo acuerdo ambiental mediante una
política institucional ambiental y la catedra institucional
en la ETITC</t>
  </si>
  <si>
    <t>GESTIÓN AMBIENTAL</t>
  </si>
  <si>
    <t xml:space="preserve">PE-22- Política institucional ambiental en la ETITC alineada al sistema de gestión ambiental </t>
  </si>
  <si>
    <t>ME-56 Implementar una política ambiental bajo consideraciones de sostenibilidad.</t>
  </si>
  <si>
    <t>1. Estudios Previos</t>
  </si>
  <si>
    <t xml:space="preserve">Estudios previos  para el contrato del proveedor: Laboratorio certificado por el IDEAM  para le muestreo y analisis de PCB en las matrices que se necesitan. </t>
  </si>
  <si>
    <t>Porcentaje de la política ambiental implementado.</t>
  </si>
  <si>
    <t xml:space="preserve">Estudios previos realizados </t>
  </si>
  <si>
    <t>Desde el proceso de gestión ambiental se encuentra en verificación de la posible usabilidad de la maquina electroerosionadora. 
Con relación al cambio del transformador eléctrico, durante la 3° semana de abril se realizaran estudios, que apoyen la compresión de las caracteristicas de sus contaminante, paso siguiente se dara paso al procesos contractual con la empresa certificado para tal fin</t>
  </si>
  <si>
    <t xml:space="preserve">Esta actividad no ha tenido avance. </t>
  </si>
  <si>
    <t>Medición Análisis</t>
  </si>
  <si>
    <t>Muetreo y análisis del contenido de PCB de la Maquina electroerosionadora y el Transformador de la Subestación.</t>
  </si>
  <si>
    <t>Ejecución contractual realizado</t>
  </si>
  <si>
    <t>Esta actividad depende de la ejecución de la actividad anterior</t>
  </si>
  <si>
    <t>Reporte a la Autoridad Ambiental</t>
  </si>
  <si>
    <t>Radicado de la Autoridad Ambiental del reporte de los resultados de la caracterización de los equipos.</t>
  </si>
  <si>
    <t xml:space="preserve">Radicación de los documentos ante el ente ambiental </t>
  </si>
  <si>
    <t xml:space="preserve">Elementos adquiridos </t>
  </si>
  <si>
    <t>Incorporación de talento humano calificado</t>
  </si>
  <si>
    <t>Profesional en Ingeniería Ambiental Administración Ambiental o afines con experiencia en implementación de la norma ISO14001:2015. Preferiblemente con formación como Auditor Interno en ISO 1401.</t>
  </si>
  <si>
    <t>Ejecución del proceso contractual</t>
  </si>
  <si>
    <t xml:space="preserve">El Cto - 019 de 2022 se ejecuta con normalidad y esta vigente hasta el 9 de diciembre. </t>
  </si>
  <si>
    <t xml:space="preserve">Acta de inicio </t>
  </si>
  <si>
    <t>Se revisará su posible ejecución despues del 30 de junio de 2022</t>
  </si>
  <si>
    <t xml:space="preserve">Esta actividad no se realizará. 
Por parte del programa Estado Joven ingresara un apoyo a la Institución. </t>
  </si>
  <si>
    <t>3. Alistamiento</t>
  </si>
  <si>
    <t>Identificar los puntos de vertimientos al sistema público de alcantarillado mediante Prueba de Anilinas.</t>
  </si>
  <si>
    <t>100% de las cajas de inspección identificadas</t>
  </si>
  <si>
    <t>La actividad fue realizada la 4 semana de marzo con el apoyo del personal de mantenimiento, en donde se inspeccionaron 5 cajas. 
Se proyecta inspeccionar 2 cajas adicionales durante el mes de abril.</t>
  </si>
  <si>
    <t>Informe de actividad</t>
  </si>
  <si>
    <t xml:space="preserve">La pruebas de anilina se realizaron durante el 1° trimestre de la vigencia, se detectó que se tienen algunas conexiones herradas, de esta amanera se proyecta realizar los diseños al respecto presentandolos ante las entidades correspondientes. </t>
  </si>
  <si>
    <t>Informe final de actividad "Prueba de anilinas"</t>
  </si>
  <si>
    <t>Muestreo</t>
  </si>
  <si>
    <t>Contratación de laboratorio autorizado por el IDEAM para la caracterización de los vertimeintos No Domésticos</t>
  </si>
  <si>
    <t>Laboratorios que cumple requisitos legales contratado</t>
  </si>
  <si>
    <t>El proceso de Gestión ambiental recibio las cotizaciones y se encuentra en elaboración de estudios previos.</t>
  </si>
  <si>
    <t>Cotizaciones recibidas</t>
  </si>
  <si>
    <t xml:space="preserve">Los estudios previos se encuentran estructurados y en revisión, es necesario ajustarlos a lo correspondiente del proceso sancionatorio.  </t>
  </si>
  <si>
    <t>Reporte de resultados ante autoridades ambientales</t>
  </si>
  <si>
    <t>Recepción de los resultados de la caracterización de vertimientos</t>
  </si>
  <si>
    <t>Vertimientos No Domesticos Caracterizados.</t>
  </si>
  <si>
    <t>Esta actividad depende de la contratación del laboratorio para la caracterización de vertimientos</t>
  </si>
  <si>
    <t>Reportar los resultados de la caracterización de vertimientos ante la SDA y la EAAB.</t>
  </si>
  <si>
    <t>Resultados de caracterización reportados.</t>
  </si>
  <si>
    <t>4. Pre Auditoria</t>
  </si>
  <si>
    <t>Levantamiento de información y estadística</t>
  </si>
  <si>
    <t>Certificación del SGA bajo estandares de la ISO14001:2015</t>
  </si>
  <si>
    <t>De la información acerca de 6 programas, se ha recolectado la informaicón de 1. 
Se cuenta con un analisis del cumplimiento de objetivos ambientales y fue socializado a la alta dirección de la Escuela. 
La ETITC participa en la estrategia ACERCAR de la SDA, quien hace acompañamiento a la Escuela en la implementación del Sistema ambiental y lo concerniente a la ISO 14.001.</t>
  </si>
  <si>
    <t>Lista de asistencia a las capacitaciones</t>
  </si>
  <si>
    <t>Auditoria de Certificación</t>
  </si>
  <si>
    <t>Análisis y clasificación de la información</t>
  </si>
  <si>
    <t>Esta actividades se planea realizar durante el 2° semestre de la vigencia</t>
  </si>
  <si>
    <t>Estudios previos  realizados</t>
  </si>
  <si>
    <t>Diseño</t>
  </si>
  <si>
    <t xml:space="preserve">PE-24- Optimización en el consumo de energía eléctrica y uso de energías alternativas. </t>
  </si>
  <si>
    <t>ME-60 realizar la adecuada disposición de todos los residuos producidos  en el area de infraestructura, talleres y laboratorios.</t>
  </si>
  <si>
    <t>6. Estudios Previos</t>
  </si>
  <si>
    <t>Estudios previos para contratar el proveedor de elementos para el manejo de aceite lubricante usado.</t>
  </si>
  <si>
    <t xml:space="preserve">Porcentaje de adecuación de residuos cumplido </t>
  </si>
  <si>
    <t>Se encuentra en proceso de indagar acerca de los proveedores que puedan suministrar los elementos de necesidad institucional (estibas, embudos, etc)</t>
  </si>
  <si>
    <t>Adquisición</t>
  </si>
  <si>
    <t>Adquisición de elementos para el manejo adecuado del aceite lubricante usado.
6 Estibas antiderrame Capacidad: 60,5 galones (229 litros)
1 Tanque Doble Pared para Aceite Usado, 300 Litros
1 Carro para bidón de 180-220 Kg (para transporte interno)
1 bandeja de drenaje de aceite, portatil, de bajo perfil, con bomba manual</t>
  </si>
  <si>
    <t>Esta actividad depende del proceso de contratación del proveedor de elementos para el manejo de aceite lubricante usado.</t>
  </si>
  <si>
    <t xml:space="preserve">Capacitación </t>
  </si>
  <si>
    <t>Capacitación al personal encargado del mantenimiento de las maquinas</t>
  </si>
  <si>
    <t xml:space="preserve">Capacitación realizada </t>
  </si>
  <si>
    <t xml:space="preserve">Esta actividad esta pendiente de programación </t>
  </si>
  <si>
    <t>7. Estudios Previos</t>
  </si>
  <si>
    <t>Estudios previos  para el contrato del gestor de RESPEL Biológicos y No Biológicos.</t>
  </si>
  <si>
    <t>Estudios previos realizados</t>
  </si>
  <si>
    <t xml:space="preserve">Los estudios previos se encuentran en elaboración. </t>
  </si>
  <si>
    <t xml:space="preserve">Estudios previos </t>
  </si>
  <si>
    <t xml:space="preserve">El Cto n° 180 de 2022 se encuentra ejecutado. </t>
  </si>
  <si>
    <t>Prestación del servicio</t>
  </si>
  <si>
    <t>Reportar y entregar de forma adecuada los RESPEL Biológicos y No Biológicos generados en las 4 sedes de la ETITC.</t>
  </si>
  <si>
    <t xml:space="preserve">Bitácora de generación de residuos </t>
  </si>
  <si>
    <t xml:space="preserve">Esta actividad depende del proceso de la contratación del gestor de RESPEL </t>
  </si>
  <si>
    <t xml:space="preserve">Se ha identificado la forma en que se estan disponiento los residuos en Tintal.
En la Sede Centro se llevará a cabo la entrega de residuos peligrosos  programados a través del aplicativo PROSARC. Se proyecta entregar 275,46 Kg de residuos peligrosos (Cto 180 de 2022)
</t>
  </si>
  <si>
    <t xml:space="preserve">Certificados de entrega </t>
  </si>
  <si>
    <t>Suministro e intalación</t>
  </si>
  <si>
    <t>Señalización para el Cuarto de almacenamiento de: Residuos, RESPEL, Aceite Industrial Usado y remarcación de canecas de puntos ecológicos.</t>
  </si>
  <si>
    <t>Espacios señalizados</t>
  </si>
  <si>
    <t xml:space="preserve">Se cuenta con los diseños necesarios, se proyecta el envió al proveedor correspondiente para su impreseión e instalación. </t>
  </si>
  <si>
    <t xml:space="preserve">La señalización fue incluida en el Cto 359 de 2021, se encuentra instalada adecuadamente. </t>
  </si>
  <si>
    <t>Capacitación a la comunidad de la ETITC para el manejo adecuado de los elementos y espacios para la separación y almacenamiento temporal de residuos.</t>
  </si>
  <si>
    <t>Personal de la ETITC capacitado</t>
  </si>
  <si>
    <t>Esta actividad tendra lugar una vez se instalen la señalización respectiva.</t>
  </si>
  <si>
    <t xml:space="preserve">Se han llevado a cabo una capacitación con Informática y Comunicaciones y areá de servicios generales.  </t>
  </si>
  <si>
    <t>ME-58  lograr el 10% de ahorro energético</t>
  </si>
  <si>
    <t>9. proyecto</t>
  </si>
  <si>
    <t>Analisis de Calidad de la Energia para la Sede Central de la ETITC.</t>
  </si>
  <si>
    <t>Porcentaje de ahorro alcanzado</t>
  </si>
  <si>
    <t>3.5%</t>
  </si>
  <si>
    <t>Se han realizado dos reuniones con Infraestructura eléctrica (14 y 30 de marzo), mediante las cuales se revisaron las recomendaciones hechas por el DNP "Evaluación del potencial de la disminucion del consumo de energia", se determino que se va a ejecutar 1° el proyecto de medición de la calidad energetica, posteriormete se instalaran medidore de consumo por sectores.</t>
  </si>
  <si>
    <t>Reuniones realizadas</t>
  </si>
  <si>
    <t>Proyecto</t>
  </si>
  <si>
    <t>- 'Inventario Energético
- Análisis comparativo de cosumo por areas
- Recomendaciones de estrategias para el ahorro de consumo de energia electrica</t>
  </si>
  <si>
    <t xml:space="preserve">En enero de 2022 el DNP  através de informe dio a conocer a la ETITC, las diferente matrices de consumo de energía. Se proyecta realizar un proyecto entorno a estos resultados y análisis realizados. </t>
  </si>
  <si>
    <t xml:space="preserve">*Se ha adquirido una Herramienta para la eficiencia energetica (Grupo Proredes de la SDA), en este sentido, se nusca su aprovechamiento desde el 3° trimestre de la vigencia. 
</t>
  </si>
  <si>
    <t>Ejecución y seguimiento</t>
  </si>
  <si>
    <t>Hacer seguimiento al plan de gestión ambiental (actividades relacionadas con ahorro energetico)</t>
  </si>
  <si>
    <t xml:space="preserve">Matriz de seguimeinto </t>
  </si>
  <si>
    <t>Este seguimiento se programa realizar durante la 1° semana de abril</t>
  </si>
  <si>
    <t>Esta actividad no ha tenido avance durante el 2º trimestre de la vigencia.</t>
  </si>
  <si>
    <t>ME-59 Implementar el programa de racionalización de consumo de papel</t>
  </si>
  <si>
    <t>Porcentaje de implementación del programa  racionalización de consumo de papel</t>
  </si>
  <si>
    <t>Informe de ejecución</t>
  </si>
  <si>
    <t xml:space="preserve">Se cuenta con la Circular 07 de 2021 de la Rectoria. Durante la 1° semana de abril se llevará a cabo una reunión mediante la cual se determinara el plan de trabajo a realizar en la vigencia. </t>
  </si>
  <si>
    <t>Se cuenta con los insumos necesarios para la reportar los avances de la ejecución de la política, sin embargo el informe respectivo se encuentra en redacción.</t>
  </si>
  <si>
    <t>OFICINA DE COMUNICACIONES</t>
  </si>
  <si>
    <t>ME-7- Aumentar la visibilidad institucional de la Escuela mediante estrategias de marketing digital.</t>
  </si>
  <si>
    <t>Diseño de Estrategias</t>
  </si>
  <si>
    <t>Diseñar y estructurar la política de comunicaciones de la ETITC</t>
  </si>
  <si>
    <t>Número de estrategias de posicionamiento implementadas.</t>
  </si>
  <si>
    <t xml:space="preserve">Documento elaborado </t>
  </si>
  <si>
    <t>Elaboración y selección de estrategias según la política de comunicaciones institucional</t>
  </si>
  <si>
    <t>Estrategias elaboradas</t>
  </si>
  <si>
    <t>Con relación al plan de comunicaciones vigencia 2021 – 2024, se identificó una parrilla de contenido para suplir las necesidades de la institución, entre las cuales se identificaron estrategias a partir de las solicitudes al área, mismas que comprenden diferentes actividades y productos.
Febrero: 5 estrategias.
Marzo: 10 estrategias.</t>
  </si>
  <si>
    <t xml:space="preserve">Matriz de seguimiento a las estrategias del Plan de Comunicaciones </t>
  </si>
  <si>
    <t>Sistemas de control y plan de contingencias</t>
  </si>
  <si>
    <t xml:space="preserve">Actualmente se realiza un formato para evaluar la realización y consolidación de las estrategias de comunicación. 
Durante el 2021 se realizó el plan de contingencias que ha permitido una mejor articulación en el área  </t>
  </si>
  <si>
    <t>Borrador de formato de evaluación</t>
  </si>
  <si>
    <t xml:space="preserve">Implementación de las Estrategias </t>
  </si>
  <si>
    <t>Desarrollo de las estretegias (seguimiento y evaluación)</t>
  </si>
  <si>
    <t>Estreategias implementadas</t>
  </si>
  <si>
    <t>Esta actividad tendrá lugar una vez que consolide el formato de evaluación.</t>
  </si>
  <si>
    <t>PE-11- Implementación de estrategias de comunicación externas e internas y fortalecimiento de la gestión documental: LA ETITC COMUNICA</t>
  </si>
  <si>
    <t>ME-21- Fortalecer los canales existentes para la comunicación interna - externa.</t>
  </si>
  <si>
    <t xml:space="preserve">Diseño </t>
  </si>
  <si>
    <t xml:space="preserve">Identificar las necesidades de cada área y consolidar parrilla de contenido </t>
  </si>
  <si>
    <t>Porcentaje de implementación de la Política Institucional de Comunicaciones.</t>
  </si>
  <si>
    <t>Parrilla consolidada</t>
  </si>
  <si>
    <t xml:space="preserve">Evidencias audiovisuales de la ejecución de las parrillas de contenido </t>
  </si>
  <si>
    <t xml:space="preserve">Ejecución de la parrilla de contenido con su respectivo seguimiento y evaluación de impacto </t>
  </si>
  <si>
    <t>Proceso de ejecución de la parrilla completado</t>
  </si>
  <si>
    <t xml:space="preserve">De conformidad con la parrilla de contenidos se ha ejecutado las actividades previamente indentificadas en paoyo a los procesos institucionales. </t>
  </si>
  <si>
    <t>Matriz de de guimiento a las actividades</t>
  </si>
  <si>
    <t xml:space="preserve">Realizar el programa Institución al Día como espacio de participación ciudadana </t>
  </si>
  <si>
    <t>Programas realizados</t>
  </si>
  <si>
    <t>Durante el 1° trimestre de la vigencia se han realizado 12 emisiones con los diferentes procesos de la entidad.</t>
  </si>
  <si>
    <t>https://www.facebook.com/watch/16872038093/2246567575376324/</t>
  </si>
  <si>
    <t>VICERRECTORÍA ADMINISTRATIVA Y FINANCIERA</t>
  </si>
  <si>
    <t>Estrategia 1.
Lo institucional: La transformación cultural de la ETITC</t>
  </si>
  <si>
    <t>OE-3 Fortalecer el ecosistema de funcionalidades digitales para la gestión y el desarrollo de la actividad misional mediante el uso de las TIC</t>
  </si>
  <si>
    <t>INFRAESTRUCTURA ELÉCTRICA</t>
  </si>
  <si>
    <t>PE-10- Transformación digital de la ETITC</t>
  </si>
  <si>
    <t>ME-17- Adecuar las capacidades tecnológicas para atender las necesidades de los procesos misionales.</t>
  </si>
  <si>
    <t xml:space="preserve">Ejecución </t>
  </si>
  <si>
    <t>Prestación de servicios profesionales como apoyo a la gestión del área de infraestructura eléctrica para realizar adecuación y soporte de sistemas eléctricos y de redes de datos normalizados y especiales, diseño, implementación y mantenimiento de sistemas de iluminación y protección y soporte en la preparación de documentos de redes de datos y comunicaciones. según normatividad vigente (11 meses)</t>
  </si>
  <si>
    <t>Proyectos de TICS ejecutados / Proyectos de TICS programados para la academia</t>
  </si>
  <si>
    <t xml:space="preserve">Ejecución contractual </t>
  </si>
  <si>
    <t xml:space="preserve">Actualmente se cuenta con el Cto: 005, 006, 007, 138, 139 de 2022. $117.730.000
Soporte a los sistemas de conexión para los televisores, wifi </t>
  </si>
  <si>
    <t xml:space="preserve">Registros fotográficos 
Informes de gestión </t>
  </si>
  <si>
    <t>Actualmente se cuenta en ejecución y con normalida los Cto: 005, 006, 007, 138, 139 de 2022. $117.730.000
Estos se ejecutan hasta el 30 de noviembre de 2022.</t>
  </si>
  <si>
    <t>Acta de inicios</t>
  </si>
  <si>
    <t>Prestación de servicios como apoyo a la gestión del área de infraestructura eléctrica, para realizar adecuación y soporte de sistemas eléctricos normalizados y especiales, mantenimiento de sistemas de iluminación y protección y soporte en la preparación de documentos de redes electricas, según normatividad vigente (tecnologo electricista o afines)</t>
  </si>
  <si>
    <t xml:space="preserve">Las actividades se hacen de manera transversal </t>
  </si>
  <si>
    <t xml:space="preserve">Actualmente se cuenta con el Cto: 005, 006, 007, 138 y 139 de 2022 
Se ha prestado soporte a los sistemas de iluminación, puesta a tierra, maquinas equipos. 
La información de estos soportes se verifica a través de la plataforma Mantum 
</t>
  </si>
  <si>
    <t>contratación de la prestación de servicios como apoyo a la gestión del área de infraestructura eléctrica, para desarrollar las actividades de adecuación de sistemas eléctricos normalizados y especiales, mantenimiento preventivo de equipos de misión crítica e implementación y mantenimiento de sistemas de automatización de los diferentes equipos de la etitc. (tecnologo electricista o afines)</t>
  </si>
  <si>
    <t xml:space="preserve">Con relación al mantenimiento de: UPS, Planta de energía eléctrica, Aires Acondicionados, reguladores de voltaje, sistema de iluminación greenmax, sistema de apantallamiento sistema de puesta a tierra, se realizan por el equipo de Infraestructura eléctrica, sin embargo, se adelantan los estudios necesarios para adelantar el proceso contractual, con el fin de adquirir prestaciones de servicio en temas de mantenimiento. </t>
  </si>
  <si>
    <t>Informes de MÁNTUN</t>
  </si>
  <si>
    <t>Contratación de la prestación de servicios como apoyo a la gestión del área de infraestructura eléctrica de las extensión Carvajal y Tintal de la Escuela Tecnológica Instituto Técnico Central para realizar adecuación y soporte de sistemas eléctricos normalizados, mantenimiento de sistemas de iluminación y protección eléctrica. según normatividad vigente. (técnico electricista o afines)</t>
  </si>
  <si>
    <t xml:space="preserve">De los 5 profesionales en el área, uno apoya a sede Carvajal y uno la sede Tintal, dependiendo de la necesidad del servicio.
</t>
  </si>
  <si>
    <t>Contratación del mantenimiento preventivo y correctivo especializado de las plantas eléctricas y sus respectivas transferencias automáticas.</t>
  </si>
  <si>
    <t xml:space="preserve">Se cuentan con los estudios previos; la vicerrectoría administrativa dio aval a los mismos, y se encuentra en trámite el CDP. </t>
  </si>
  <si>
    <t>La contración del mantenimiento se realizará el 6 de julio, a través del contrato 181 de 2022- SOCRES S.A.S; su terminación será el 30 de diciembre de la presente vigencia.
Se cuenta con el cronograma para la ejecución de las respectivas actividades de manera mensual y semestral para cada una de las plantas eléctricas.</t>
  </si>
  <si>
    <t>Contratación del mantenimiento preventivo y correctivo especializado de los Aires acondicionados</t>
  </si>
  <si>
    <t xml:space="preserve">Esta activida se ejecuta a través del CTO 179 de 2022, SOCRES S.A.S, tendrá una duración de 6 meses y se efectuará a partir del 1 de junio, hasta el 3 de enero de 2023.
se cuenta con el cronograma para ejecutar el mantenimiento a los 8 aires acondicionados (6 mantenimientos preventivos). 
</t>
  </si>
  <si>
    <t>Contratación del mantenimiento preventivo y correctivo especializado de las UPS y Reguladores</t>
  </si>
  <si>
    <t xml:space="preserve">Se adjudicó el respectivo contrato con la empresa MTA COLOMBIA SAS , se esta a la espera de la adjudicación de la supervisión.
Especificamente con la ejecución se busca realizar mantenimientos preventivos y correctivos distribuidas en 11 actividades, lo anterior dependiento de la situación actuales de los equipos.      </t>
  </si>
  <si>
    <t>Contratación de mantenimiento preventivo, correctivo y certificación de los Sistema automatizados de apertura/cierre puertas calle 15, carrera 17 y patio central</t>
  </si>
  <si>
    <t>Se cuenta con los borradores de los estudios previos. 
Se realizan mantenimiento de tipo sostenible.</t>
  </si>
  <si>
    <t>Estudios previos 
Informes de MÁNTUN</t>
  </si>
  <si>
    <t xml:space="preserve">Durante el 2° trimestre se han realizado mantenimiento correctivo desde infraestructura eleéctrico. 
Se plantea realizar mesas de trabajo para determinar la viabilidad de las puestar actuales.   </t>
  </si>
  <si>
    <t>Contratación de mantenimiento preventivo y correctivo especializado de la plataforma elevadora GENIE</t>
  </si>
  <si>
    <t>Desde Infraestructrura eléctrica se elaboraron los estudios previos, sin embargo, es necesario fortalecer los estudios de mercado con las empresas que tengan la representatividad necesaria para dar solución a la realidad institucional.(revisar el sistema hidraulico, mecánico, cambio de baterias y cargador de las baterias).</t>
  </si>
  <si>
    <t>Contratación de mantenimiento preventivo y correctivo de sistema de puesta a tierra de la sede Centro (apantallamiento)</t>
  </si>
  <si>
    <t xml:space="preserve">Durante el 2021 se realizó un proceso contractual para la puesta en marcha de la puesta a tierra. 
La institución realiza mantenimiento correctivo con los instrumentos con que se realiza lectura de manera permanente. </t>
  </si>
  <si>
    <t xml:space="preserve">Informe </t>
  </si>
  <si>
    <t>Contratación del mantenimiento preventivo y correctivo especializado del sistema de automatización de iluminación (GreenMax)</t>
  </si>
  <si>
    <t xml:space="preserve">Desde el área de infraestructura eléctrica se adelanta el respectivo proceso para la posible contratación, se cuenta con los estudios previos.  </t>
  </si>
  <si>
    <t>Contratación del Mantenimiento preventivo y correctivo de los sistemas audio, video e iluminación artistica (Auditorio, teatro, capilla y sonido general)</t>
  </si>
  <si>
    <t>Esta actividad no se ha realizado durante el 2° trimestre. 
Sin embargo, se realiza de manera preventiva el mantenimiento desde infraestructura eléctrica.</t>
  </si>
  <si>
    <t>Compra de materiales y herramientas para mantenimiento general de la Escuela</t>
  </si>
  <si>
    <t>Adquisición de materiales</t>
  </si>
  <si>
    <t xml:space="preserve">Por confirmar su factibilidad </t>
  </si>
  <si>
    <t xml:space="preserve">La compra de los materiaales necesarios para el desarrollo de las actividades del área, se encuentran en procesos de adquisición. </t>
  </si>
  <si>
    <t>OE-5
Consolidar la infraestructura física de la Escuela para el desarrollo de la academia y la consolidación de las nuevas apuestas institucionales</t>
  </si>
  <si>
    <t>PLANTA FÍSICA</t>
  </si>
  <si>
    <t>PE-13
Gestión integral de inmuebles</t>
  </si>
  <si>
    <t>ME-24
Englobar todos los predios que integran la sede Central</t>
  </si>
  <si>
    <t xml:space="preserve">Por definir </t>
  </si>
  <si>
    <t>Prestación de servicios profesionales  como apoyo a la gestión de inmuebles de la ETITC y sus sedes para la vigencia 2022</t>
  </si>
  <si>
    <t>Porcentaje de englobe de los predios que integran la sede central</t>
  </si>
  <si>
    <t>Acta de inicio del contrato</t>
  </si>
  <si>
    <t>Actualmente se ejecuta el contrato 009 de 2022, el cual tiene vigencia hasta el 30 de noviembre de 2022.</t>
  </si>
  <si>
    <t>https://itceduco-my.sharepoint.com/personal/arquitectura_itc_edu_co/_layouts/15/onedrive.aspx?id=%2Fpersonal%2Farquitectura%5Fitc%5Fedu%5Fco%2FDocuments%2FPLANTA%20F%C3%8DSICA%2F3%2E%202022%2F2%2E%20Planeaci%C3%B3n%202022%2FPLAN%20DE%20ACCI%C3%93N%202022&amp;ct=1650472022187&amp;or=OWA%2DNT&amp;cid=fce0ae26%2D7279%2D0ca8%2D6a8b%2D5b0eed5bc12b&amp;ga=1</t>
  </si>
  <si>
    <t>El CTO 009 continua su ejecución con normalidad.</t>
  </si>
  <si>
    <t>ME-25 
Determinar el aprovechamiento del inmueble de la calle 18 a partir del POT aprobado</t>
  </si>
  <si>
    <t xml:space="preserve">Estudios técnicos estructurales, arquitectónicos, de redes,  de uso, contexto y demás necesarias para definir la viabilidad de la casa y edificio de la sede calle 18 de la escuela tecnológica instituto técnico central. </t>
  </si>
  <si>
    <t xml:space="preserve">Porcentaje de ejecución de las intervenciones físicas.
</t>
  </si>
  <si>
    <t>1. Proceso de contratación
2. Ejecución del estudio</t>
  </si>
  <si>
    <t xml:space="preserve">Se han realizado las siguientes actividades de mantenimiento locativo:
1. Cambio de llave de la poceta del baño de mujeres en el primer piso de la sece Central
2. Cambio de Chapa del cuarto debajo de las estacaleras del segundo piso.
3. Ajuste de puerta de la casa hacia el exterior.
4. Mantenimiento de los lavamanos portatiles (2)
</t>
  </si>
  <si>
    <t>Se han realizado las siguientes actividades de mantenimiento locativo:
1. Organización de los contenedores de basura, según el tipo de residuo generado en la sede.
2. Mantenimiento de la puerta de ingreso de la casona 
3. Mantenimiento de los baños del 1° piso.</t>
  </si>
  <si>
    <t>Informe de gestión</t>
  </si>
  <si>
    <t>Porcentaje de espacios aprovechados y con uso en el inmueble</t>
  </si>
  <si>
    <t>por definir</t>
  </si>
  <si>
    <t xml:space="preserve">Los estudios previos se encuentran elaborados, cuentan con la respectiva revisión por parte del área de Contratación (Número de CDP 9922, $128.192.750). </t>
  </si>
  <si>
    <t xml:space="preserve">Se lanzó el proceso CMA 003 de 2022 (26 de mayo), sin embargo se declaro desierto. 
El CDP se adiciono. </t>
  </si>
  <si>
    <t xml:space="preserve">CDP </t>
  </si>
  <si>
    <t>ME-26
Formular el Plan de administración e intervención de las instalaciones en comodato (Localidad Kennedy)</t>
  </si>
  <si>
    <t>Avance del documento del plan de administración e intevención de las instalaciones en comodato de la etitc</t>
  </si>
  <si>
    <t xml:space="preserve">Porcentaje de formulación del Plan de administración e intervención de las instalaciones en comodato.
</t>
  </si>
  <si>
    <t>Documento</t>
  </si>
  <si>
    <t>El documento base se encuentra finalizado desde la vigencia 2021; según las necesidades se actualiza dicho planeación.</t>
  </si>
  <si>
    <t xml:space="preserve">Se definió la actualización  del documento para el 2022, en el cual se incluyo una nueva estrategia de mantenimiento a  través de terceros. 
Se encuentra en elaboración el listado de APUs para ejecutar estos mantenimientos con terceros. </t>
  </si>
  <si>
    <t xml:space="preserve">Porcentaje de ejecución del Plan de administración e intervención de las instalaciones en comodato.
</t>
  </si>
  <si>
    <t xml:space="preserve">Las Intalaciones en Comodato de Kennedy se encuentran bajo la supervisión del Asesor de Rectoría.
Desde Planta Física se han realizado diseños y proyectos para mejorar las intalaciones de Comodato: Reja para el acceso peatonal de la Sede Tintal. Diseño de la papeleria para la Sede Tintal.
Actividades de mantenimiento locativo: 
1. Adecuación de la Oficina de Control Interno de la Sede Carvajal.
2. Impermeabilización, resane y pintura de todos los salones de la Sede Carvajal.
</t>
  </si>
  <si>
    <t xml:space="preserve">Las Intalaciones en Comodato de Kennedy se encuentran bajo la supervisión del Asesor de Rectoría.
Dentro de la actualización del documento "Plan de administración e intervención de las instalaciones de Comidato", se integran lineamientos para la ejecución de mantenimientos generales a las instalaciones de la ETITC.
</t>
  </si>
  <si>
    <t>ME-27
Formular e implementar el modelo operativo de administración de inmuebles</t>
  </si>
  <si>
    <t>Avance del documento del modelo operativo de administración de inmuebles</t>
  </si>
  <si>
    <t>Porcentaje de formulación e implementación del modelo operativo para la administración de inmuebles.</t>
  </si>
  <si>
    <t>El documento base se encuentra finalizado desde la vigencia 2021; según las necesidades se actualiza dicha planeación.</t>
  </si>
  <si>
    <t>Documento Modelo operativo para la administración de inmuebles.</t>
  </si>
  <si>
    <t>Ejecución de planes de mantenimiento en los inmuebles</t>
  </si>
  <si>
    <t>Ordenes de trabajo</t>
  </si>
  <si>
    <t>En la sede central se han realizado los siguientes mantenimientos: 
119 mantenimientos y reparaciones locativas con un costo de $4.216.916</t>
  </si>
  <si>
    <t xml:space="preserve">En la sede central se han realizado los siguientes mantenimientos:
182 mantenimientos y reparaciones locativas con un costo de 5.856.175,00
</t>
  </si>
  <si>
    <t>ME-28
Gestionar la consecución de un nuevo Campus para la Escuela</t>
  </si>
  <si>
    <t>Porcentaje de implementación de la estrategia de consecución del Campus.</t>
  </si>
  <si>
    <t>Esta actividad no ha tenido avance</t>
  </si>
  <si>
    <t>PE-24
Optimización de en el consumo de energía eléctrica y uso de energías alternativas</t>
  </si>
  <si>
    <t>ME-60
Realizar la adecuada disposición de todos los residuos producidos en el área de infraestructura, talleres y laboratorios</t>
  </si>
  <si>
    <t>Adecuar los espacios de residuos de las sedes y de los talleres y laboratorios</t>
  </si>
  <si>
    <t>Porcentaje de adecuación de residuos cumplido</t>
  </si>
  <si>
    <t>Espacios organizados</t>
  </si>
  <si>
    <t xml:space="preserve">Con la Orden de compra 83842 por $28.146.798, se adquirieron 24 contenedores la cual finalizo el 25 de febrero
</t>
  </si>
  <si>
    <t>Disposición de residuos adecuada (Gestión ambiental)</t>
  </si>
  <si>
    <t>Formatos de entrega de residuos</t>
  </si>
  <si>
    <t xml:space="preserve">Se ha realizado la recolección de los residuos con los gestores contratados por la ETITC: 
Residuos de construcción y demolición.
Chatarra.
Residuos de origen natural.
</t>
  </si>
  <si>
    <t xml:space="preserve">Informe de actividades ejecutadas </t>
  </si>
  <si>
    <t>Se ha realizado la recolección de los residuos con los gestores contratados por la ETITC: 
Residuos de construcción y demolición.
Chatarra.
Residuos de origen natural.</t>
  </si>
  <si>
    <t>PE-25
Diseño e implementación de espacios de "concepto verde" que mejoren la vida académica en las sedes de la ETITC</t>
  </si>
  <si>
    <t>ME-61
Adecuar espacios verdes verticales y horizontales</t>
  </si>
  <si>
    <t>Adecuar espacios verdes verticales y horizontales</t>
  </si>
  <si>
    <t xml:space="preserve">Porcentaje de elaboración del programa de mantenimiento e intervención de los espacios verdes verticales y horizontales
</t>
  </si>
  <si>
    <t xml:space="preserve">A través del Cto- 148 de 2021, se realizo la propuesta de diseño paisajístico de las jardineras en la Sede central.
A través del Contrato 154 de 2022 ($15,750,000), se plantea llevar a cabo las adecuación respectivas. 
Se han realziado actividades de jardineria como: Abono de tierra, clasificación de plantas existentes ($13.490.974).
001074 
001088
</t>
  </si>
  <si>
    <t>Fabricación del espacio de residuos bajo un sistema de bioconstrucción para la sede central de la Escuela Tecnológica Instituto Técnico Central</t>
  </si>
  <si>
    <t xml:space="preserve">Porcentaje de ejecución del programa de mantenimiento e intervención de los espacios verdes verticales y horizontales
</t>
  </si>
  <si>
    <t>El proyecto cuenta con el diseñor del espacio de residuos, adicionalmente se estructuran los estudios previos, estudio de mercado.</t>
  </si>
  <si>
    <t xml:space="preserve">Prediseño del espacio </t>
  </si>
  <si>
    <t xml:space="preserve">Se cuenta con el diseño y los estudios previos, adicionalmente se solicito el diseño eléctrico, mismo que esta en elaboración por parte del área de Infraestructruta eléctrica. </t>
  </si>
  <si>
    <t xml:space="preserve">Mantenimiento del invernadero y espacio de piscicultura de la sede central de la etitc. incluye adecuación de la estructura, recubrimiento, instalación de piso, adecuaciones interiores. incluye fabricación e instalación de nuevo módulo de 3mx 3m x 3m con las mismas especificaciones. </t>
  </si>
  <si>
    <t xml:space="preserve">Se han realizado las siguientes actividades de jardineria con el Cto 154 de 2022: 1- Organización y poda del  invernadero y espacio de piscicultura de la sede central de la ETITC. 
Se encuentra en fase de diseño el nuevo modulo para el invernadero a través del Cto- 090 de 2022.
</t>
  </si>
  <si>
    <t xml:space="preserve">Se cuenta con el diseño de la estructura que soportará el nuevo modulo de invernadero el cual debe ser socializado y aprobado por la alta gerencia para inciar el proceso de contratación. </t>
  </si>
  <si>
    <t>PE-26
Actualización de la infraestructura física, cumpliendo normativas aplicables y generando espacios adecuados para el desarrollo de actividades académicas y de bienestar en el marco de la sostenibilidad</t>
  </si>
  <si>
    <t>ME-62
Adelantar el 50% del reforzamiento estructural de la sede principal</t>
  </si>
  <si>
    <t>Prestación de servicios profesionales en arquitectura como apoyo a la gestión del área de planta física de las instalaciones de la escuela tecnológica instituto técnico central para la vigencia 2022</t>
  </si>
  <si>
    <t xml:space="preserve">Porcentaje del reforzamiento estructural obtenido </t>
  </si>
  <si>
    <t>Ejecución Contractual</t>
  </si>
  <si>
    <t>Cto- 004 de 2022 por un valor $52.000.000. Hasta el 30 de noviembre</t>
  </si>
  <si>
    <t xml:space="preserve">El CTO 004 de 2022 se ejecuta con normalidad a la fecha. </t>
  </si>
  <si>
    <t>Prestación de servicios profesionales como apoyo a la gestión del bien interés cultural de la Escuela tecnológica instituto técnico central para la vigencia 2022</t>
  </si>
  <si>
    <t>Através del Cto 008 de 2022 se han realizado las siguientes actividades: Apoyo a la supervisión de obra de mantenimiento para la preservación del inmueble BIC.
2. Elaboración de solicitudes ante el MinCultura.
Seguimiento a la ejecución de los proyectos aprobados por el MinCultura: Mantenimiento y limpieza de la claraboya, intervención del local de transformación, desinfección y fumigación general, reparación de filtraciones de agua por cubierta.</t>
  </si>
  <si>
    <t>El Cto 008 de 2022, se ejecuta con normalidad.</t>
  </si>
  <si>
    <t>Prestación de servicios como apoyo a la gestión del área de planta física como auxiliar de arquitectura de la escuela ETITC</t>
  </si>
  <si>
    <t xml:space="preserve">Se encuentra en ejecución el Cto - 090 de 2022.
1. Elaboración de diseño Arquitectonico de: Sala de informática MAC, oficina para la reubicación temporal de dependencias, nuevo modulo apra el invernadero, diseño para el rincón del docente y administrativo.
2. Apoyo en la elaboración de los formatos  técnicos de baja del mobiliario almaqcenado en la Sede Central y Sede calle 18.
Apoyo en la organización del mobiliario y elementos adquiridos en ordenes de compra. 
</t>
  </si>
  <si>
    <t xml:space="preserve">El Cto 090 de 2022 se ejecuta con normalidad a la fecha. </t>
  </si>
  <si>
    <t xml:space="preserve">Prestación de servicios como apoyo a la gestión para el área de planta física de la ETITC como:
* Jardinero
*Pintor (todas las instalaciones)
*Ebanista y carpintero (todas las sedes)
*Albañil (todas las sedes)
* Fontanero (Todas las instalaciones)
*Ayudante de mantenimiento (Todas las instalaciones)
*Auxiliar de mantenimiento locativo (Todas las instalaciones)
</t>
  </si>
  <si>
    <t xml:space="preserve">*Pintor: Cto- 010 de 2022   (todas las instalaciones)
*Techador: Cto- 011- 2022 (todas las sedes)
*Albañil: Cto 012 de 2022 (todas las sedes)
* Fontanero: 013 de 2022  (Todas las instalaciones)
*Ayudante de mantenimiento: 088 de 2022 (Todas las instalaciones)
*Auxiliar de mantenimiento locativo: 089 de 2022 (Todas las instalaciones)
</t>
  </si>
  <si>
    <t>Actualmente se ejecutan con normalidad los contratos: 
*Pintor: Cto- 010 de 2022   (todas las instalaciones)
*Techador: Cto- 011- 2022 (todas las sedes)
*Albañil: Cto 012 de 2022 (todas las sedes)
* Fontanero: 013 de 2022  (Todas las instalaciones)
*Ayudante de mantenimiento: 088 de 2022 (Todas las instalaciones)
*Auxiliar de mantenimiento locativo: 089 de 2022 (Todas las instalaciones)</t>
  </si>
  <si>
    <t>Prestación de servicios a todo costo para el correcto funcionamiento del sistema de bombeo, lavado de tanques, limpieza de trampa de grasas, desinfección y fumigación de espacios, tratamiento de vectores y tratamiento de hongos en muros de las cuatro sedes de la escuela tecnológica insituto técnico central. incluye mano de obra, materiales, transporte y soporte de emergencia.</t>
  </si>
  <si>
    <t xml:space="preserve">Se cuenta con el estudio previo y se surte el proceso de estudio de mercado. </t>
  </si>
  <si>
    <t xml:space="preserve">Estudio previo </t>
  </si>
  <si>
    <t xml:space="preserve">Teniendo en cuenta que las empresas interesadas no realizan de manera conjunta todas estas actividades, se proyecta realizar dos estudios previos por separado para contemplar las actividades de gestión ambiental y Planta Física. </t>
  </si>
  <si>
    <t>diseño de extracción mecánica para la cocinas y baños de la sede central en cumplimiento de la normativa vigente. incluye trámites y autorizaciones ante las entidades competentes.</t>
  </si>
  <si>
    <t xml:space="preserve">Se encuentra en elaboración el estudio previo y estudio de mercado. </t>
  </si>
  <si>
    <t>diseño del proyecto de remodelación de baterías de baños de la sede central. incluye levantamiento de redes, diseño arquitectónico, diseño de redes, especificaciones, presupuesto, cronograma de obra y trámites de aprobación ante entidades competentes.</t>
  </si>
  <si>
    <t>Se encuentra en elaboración de la planimetria arquitectónico de las baterias de los baños. 
Se cuenta con un análisis de cada una de las baterías de baño donde se describe el estado de cada uno de los aparatos, pisos, muros, divisiones metalicas y techos.</t>
  </si>
  <si>
    <t>Prestación de servicios especializados en conservación del patrimonio para realizar la actualización, complementación, actividades complementarias  y aprobación del plan especial de manejo y protección -pemp- de la sede ETITC, en sus etapas de diagnóstico, estudios técnicos y propuesta para establecer los lineamientos de uso, condiciones de manejo, niveles de intervención para este bien de interés cultural de orden nacional. incluye levantamiento arquitectónico, estudio fitosanitario de estructuras en madera y estudio de patologías.</t>
  </si>
  <si>
    <t>Se cuenta con los estudios previos; ya se tiene la revsión completa de estos y se esta a la espera de la expedición del CDP.</t>
  </si>
  <si>
    <t>Estudio de análisis estratigráfico del inmueble bien de interés cultural - sede central de la Escuela Tecnológica Instituto Técnico Central</t>
  </si>
  <si>
    <t xml:space="preserve">A la fecha se cuenta con los respectivos estudios previos, CDP N° 16122 y se ejecuta el proceso: IP 033 DE 2022. Se esta en fase de evaluación de las ofertas. </t>
  </si>
  <si>
    <t>Interventoría para la prestación de servicios especializados en conservación del patrimonio para realizar la actualización, complementación, actividades complementarias  y aprobación del plan especial de manejo y protección -pemp- de la sede central de la escuela tecnológica instituto técnico central (etitc), en sus etapas de diagnóstico, estudios técnicos y propuesta para establecer los lineamientos de uso, condiciones de manejo, niveles de intervención para este bien de interés cultural de orden nacional. incluye levantamiento arquitectónico, estudio fitosanitario de estructuras en madera y estudio de patologías.</t>
  </si>
  <si>
    <t xml:space="preserve">Se encuentra en elaboración el estudio previo y estudio de mercado, se esta a la espea de su revisión con la Oficina de Contratación. </t>
  </si>
  <si>
    <t>Prestación del servicio integral de mantenimiento preventivo, correctivo, y/o intervenciones menores en la sede Central, sede Calle 18, sede Carvajal y sede Tintal, donde la Escuela Tecnológica Instituto Técnico Central presta sus servicios; incluido el suministro del personal mínimo, materiales, equipos, repuestos y accesorios para los bienes muebles e inmuebles y la infraestructura física instalada en los mismos.</t>
  </si>
  <si>
    <t>Se encuentra en elaboración el estudio previo y estudio de mercado</t>
  </si>
  <si>
    <t xml:space="preserve">Se encuentra en elaboración el listado de APUs para ejecutar estos mantenimientos con terceros. </t>
  </si>
  <si>
    <t>De acuerdo al plan de pagos se han realizado y entregado los diseños arquitectónicos, estructurales y de redes del Proyecto reforzamiento.
Radicación del proyecto de roforzamiento ante la Curaduría
Seguimiento a la radicación a la Curaduría
Inicio a la elaboración de los Pliegos de condiciones y estudios de mercado para la obra de reforzamiento.</t>
  </si>
  <si>
    <t>Se cuenta con la licencia de contrucción en modalidad de reforzamiento estructural.
El contratista elabora los pliegos de condiciones para la contratación de la obra de reforzamiento.</t>
  </si>
  <si>
    <t>ME-63
Construir espacios adecuados para la ubicación del gimnasio y áreas para desarrollo de actividades de bienestar estudiantil, administrativos y docentes</t>
  </si>
  <si>
    <t xml:space="preserve">FABRICACIÓN DEL SISTEMA MODULAR PARA EL GIMNASIO Y ÁREAS DE BIENESTAR.
</t>
  </si>
  <si>
    <t>Número de espacios intervenidos para el desarrollo de actividades de bienestar.</t>
  </si>
  <si>
    <t xml:space="preserve">Actualmente se cuenta con el diseño del sistema modular. </t>
  </si>
  <si>
    <t xml:space="preserve">Diseño del sistema modular </t>
  </si>
  <si>
    <t>Se estructrura el estudio previo y estudio de mercado, con el fin de solicitar el respectivo CDP.</t>
  </si>
  <si>
    <t>ME-64
Contar con un sistema de control de acceso para la sede principal</t>
  </si>
  <si>
    <t>Señalización de los totem</t>
  </si>
  <si>
    <t xml:space="preserve">Porcentaje efectivo de la implementación del sistema de control en las 3 porterias de la sede central </t>
  </si>
  <si>
    <t xml:space="preserve">Esta actividad se ejecuta a través del Cto-359 de 2021. El contratista entrego el diseño de la señaliación, se encuentra en fabricación y se espera a su implementación. </t>
  </si>
  <si>
    <t>Se recibieron las señalizaciones en físico, su instalación se proyecta en el mes de julio.</t>
  </si>
  <si>
    <t>ME-65
Adecuación completa de la sede Calle 18</t>
  </si>
  <si>
    <t>Actividades de mantenimiento en la sede calle 18</t>
  </si>
  <si>
    <t>Adecuar las instalaciones de la sede Calle 18</t>
  </si>
  <si>
    <t xml:space="preserve">Se han realizado las siguientes actividades de mantenimiento locativo:
1. Cambio de llave de la poceta del balo de mujeres en el primer piso
2. Cambio de Chapa del cuarto debajo de las estacaleras del segundo piso.
3. Ajuste de puerta de la casa hacia el exterior.
4. Mantenimiento de los lavamanos portatiles (2)
</t>
  </si>
  <si>
    <t>ME-66
Adaptación progresiva de la planta física para implementar la normativa de movilidad reducida</t>
  </si>
  <si>
    <t>Estudio técnico de seguridad humana y accesibilidad universal en el cumplimiento de la normativa vigente. incluye diseño arquitectónico, estructural, redes y trámites ante entidades competentes.</t>
  </si>
  <si>
    <t xml:space="preserve">Porcentaje de gestión para la implementación de la normatividad de movilidad reducida
</t>
  </si>
  <si>
    <t>Estudios realizados</t>
  </si>
  <si>
    <t xml:space="preserve">Esta actividad se proyecta realizar durante el 2° trimestre </t>
  </si>
  <si>
    <t>Los estudios previos se encuentran en estructuración con la Oficina de Jurídica Contratación y CDP 16922.</t>
  </si>
  <si>
    <t>Implementación del sistema de transporte por escaleras de Personas con movilidad reducida a través de una silla salva escaleras tipo oruga</t>
  </si>
  <si>
    <t xml:space="preserve">
Porcentaje de ejecución de la intervenciones necesarias </t>
  </si>
  <si>
    <t>Asistencia a una capacitación (4 de marzo)
realización del diseño para guardar la silla salva escaleras tipo oruga.
La cabina se fabricará a través del Cto 359 de 2021.</t>
  </si>
  <si>
    <t>Se encuentra en fabricación la cabina donde se guardará la silla salvaescalera tipo oruga, su valor es de $5.831.000</t>
  </si>
  <si>
    <t>ME-67
Optimización de la oferta de parqueaderos en la sede central</t>
  </si>
  <si>
    <t>Adecuación del parqueadero de la call 15</t>
  </si>
  <si>
    <t xml:space="preserve">Porcentaje de espacios intervenidos del área destinada a parqueaderos  </t>
  </si>
  <si>
    <t>Se lleva a cabo el proceso de planeación par la realización de la actividad (cronograma, recursos, responsables)</t>
  </si>
  <si>
    <t>Suministro e instalación de 90 unidades de biciparqueaderos. incluye todos los elementos necesarios para adquirir el sello de calidad del biciparqueadero de la Secretaría de movilidad.</t>
  </si>
  <si>
    <t>Adecuaciones realizadas</t>
  </si>
  <si>
    <t xml:space="preserve">Se lleva a cabo el proceso de estructuración del estudio previo para la realización de esta actividad. </t>
  </si>
  <si>
    <t>ME-68
Gestionar las Dotaciones de las instalaciones y sede principal para la permanencia y aumento de la oferta</t>
  </si>
  <si>
    <t>Proceso de bajas de mobiliario</t>
  </si>
  <si>
    <t>Porcentaje de las dotaciones nueva instaladas y mantenimiento de las dotaciones existentes</t>
  </si>
  <si>
    <t>Proceso ejecutado</t>
  </si>
  <si>
    <t>Se Envió a Almacen del formato de baja de 714 unidades de moviliario entre sillas, pupitres, mesas y archivadores que se encuentran almacenados en la sede Centra.</t>
  </si>
  <si>
    <t>Se realizo en conjunto con almacen el inventario del moviliario del taller de fundición y motores y se envio al área de almacen el inventario de activos fijos para baja el 25 de mayo de 2022 (4 muebles).
El 20 de abril se enviaron las respectivas correcciones del informe de bajas realizado en el 1° trimestre.</t>
  </si>
  <si>
    <t>Modernización de mobiliario</t>
  </si>
  <si>
    <t xml:space="preserve">Organización del mobiliario adquirido de las ordenes de compra 83651, 83653, 83654 y 83650 para los siguientes proyectos: 1. Salas de profesores de 2° y 3° piso, 2. Rincón del docente y administrativo, 3° Oficinas de Autoevaluación, 4° Oficinas de Gestión de Informática y telecomunicaciones, 5° Comedor interior y exterior. </t>
  </si>
  <si>
    <t>A la fecha no se ha identificado la necesidad de compra de mobiliario</t>
  </si>
  <si>
    <t>0E-5- Consolidar la infraestructura física de la Escuela para el desarrollo de la academia y la consolidación
de las nuevas apuestas institucionales.</t>
  </si>
  <si>
    <t>ALMACEN</t>
  </si>
  <si>
    <t>PE-13-Formula e implementar el modelo operativo de administración de inmuebles</t>
  </si>
  <si>
    <t>ME-27-Fortalecimiento a la administración e inmuebles ETITC</t>
  </si>
  <si>
    <t xml:space="preserve">Apoyo  a la gestión </t>
  </si>
  <si>
    <t>Apoyo a la gestión el área almacen (2 contratistas)</t>
  </si>
  <si>
    <t>Porcentaje de inplementaicón del modelo operativo de administración de inmuebles</t>
  </si>
  <si>
    <t>Para la vigencia 2022 se cuenta con 2 contratos por prestación de servicios: 016, 137. (finalizan 15 de diciembre). Valor por $47.733.861.</t>
  </si>
  <si>
    <t xml:space="preserve">Actas de inicio </t>
  </si>
  <si>
    <t>Actualización del Manual de Bienes Muebles</t>
  </si>
  <si>
    <t>Documento actualizado</t>
  </si>
  <si>
    <t xml:space="preserve">Actualmente se realiza la actualización del Manual de Bienes Muebles, se esta a la espera de la revisión por parte de la Vicerrectoría Administrativa y financiera. </t>
  </si>
  <si>
    <t xml:space="preserve">Borrador de Manual actualizado </t>
  </si>
  <si>
    <t>Impresora ZEBRA</t>
  </si>
  <si>
    <t>Equipo adquirido</t>
  </si>
  <si>
    <t xml:space="preserve">Se ha identificado la herramienta en la página colombia compra eficiente, y se adelanta el proceso de estudio técnico con el área de Informática y Comunicación. 
</t>
  </si>
  <si>
    <t>OE-1- Consolidar la calidad académica para la acreditación institucional de alta calidad respaldada fortalecimiento
de la gestión, la infraestructura tecnológica y física.</t>
  </si>
  <si>
    <t>ÁREA ADMINISTRATIVA Y FINANCIERA</t>
  </si>
  <si>
    <t>PE-2- Modelo integral de gestión academico-administrativa por Sistema de Créditos Académicos</t>
  </si>
  <si>
    <t>ME-2- Estructurar e implementar el modelo integral de gestión academico-administrativa por Sistema de Créditos Académicos al 2024.</t>
  </si>
  <si>
    <t>Estructurar e implementar el modelo integral de gestión academico-administrativa por Sistema de Créditos Académicos al 2024.</t>
  </si>
  <si>
    <t>Porcentaje de implementación del sistema académico-administrativo por sistema de créditos académicos</t>
  </si>
  <si>
    <t>GESTIÓN DOCUMENTAL</t>
  </si>
  <si>
    <t>PE-11- Implementación de estrategias de comunicación externas e internas y fortalecimiento de la gestión documental: LA ETITC COMUNICA.</t>
  </si>
  <si>
    <t>ME-22- Implementación del PINAR en cumplimiento a los parámetros establecidos por el Archivo General de la Nación.</t>
  </si>
  <si>
    <t>Actualización y fortalecimiento del SGEDA</t>
  </si>
  <si>
    <t>Prestación de servicios en las actividades de gestión documental de la Escuela Tecnológica Instituto Técnico Central</t>
  </si>
  <si>
    <t>Número de actividades ejecutadas del PINAR</t>
  </si>
  <si>
    <t>Actualmente el proceso de Gestión documental cuenta con 3 contratos de prestación de servicio (Cto-133, 134 y 135 del 2022), dichos contratos tuvieron inicio desde el 31 de enero, se culminaran el 30 de noviembre.</t>
  </si>
  <si>
    <t xml:space="preserve">Actualmente se ejecutan los 3 contratos con normalidad. 2 personas se apoyan el proceso de gestión Documental y 1 al Proceso de Atención al ciudadano. </t>
  </si>
  <si>
    <t>Fabricación e instalación del sistema rodante de archivo con accionamiento mecánico compuesto por 6 carros mecánicos y 2 carros fijos.</t>
  </si>
  <si>
    <t>Sistema de archivo fabricado e instalado</t>
  </si>
  <si>
    <t>Actualmente se encuentra en ejecución la revisión de los estudios previos y actualización de cotizaciones  a lugar</t>
  </si>
  <si>
    <t>Actualmente se cuenta con 26 cuerpos con archivos; es necesario realizar mantenimiento a estos.
Se cuenta con los estudios previos y se proyecta realizar el respectivo ajuste con la Oficina de Jurídica Contratación</t>
  </si>
  <si>
    <t xml:space="preserve">Diseño, implementación y seguimiento de estrategias orientadas a gestionar el ciclo de vida de los documentos electrónicos, con estándares tecnológicos y estándares archivísticos: SGDEA </t>
  </si>
  <si>
    <t>SGDEA diseñado e Implementado</t>
  </si>
  <si>
    <t xml:space="preserve">No se requiere </t>
  </si>
  <si>
    <t>Para la implementación de las estrategias con relación al SGDEA, se hace necesario la usabilidad del software ALFRESCO, mediante el cual se realizaran diferentes pruebas. El líder del proceso cuenta con el usuario y contraseña. 
Se esta a  la espera de aprobación de  las TRD institucionales por parte del AGN (Agosto de 2022).</t>
  </si>
  <si>
    <t xml:space="preserve">Esta actividad sera desarrollada en cabeza del proceso informática y Comunicaciones. </t>
  </si>
  <si>
    <t>Actualización del Sistema Información de Atención al Ciudadano SIAC</t>
  </si>
  <si>
    <t>% del software actualizado</t>
  </si>
  <si>
    <t>Se tienen identificadas las necesidades de actualización desde el Gestión Documental  (parametrización y diseños de informes) en reuniones posteriores se daran a conocer con Informática y comunicaciones, sin embargo este proceso re realizará después de finalizada la Ley de garantías</t>
  </si>
  <si>
    <t xml:space="preserve">Esta actividad sera desarrollada en cabeza del proceso informática y Comunicaciones. 
Sin embargo, las actualizaciones necesarias se han realizado acorde a las necesidades institucionales. 
Se ha realizado: Capacitación en el uso y manejo del SIAC.
Ajuste en los tiempos de respuesta para la atención al ciudadano. </t>
  </si>
  <si>
    <t>Actualización, implementación y seguimiento de los instrumentos archivísticos</t>
  </si>
  <si>
    <t>Número de Instrumentos actualizados e implementados</t>
  </si>
  <si>
    <t xml:space="preserve">Se realizo la revisión y  se actualizó los programas del PGD (4 de 8 programas), una vez finalizado dicho proceso será expuesto ante las instancias necesarias para su aprobación y posterior ejecución (CIGD o CIA). </t>
  </si>
  <si>
    <t>OFICINA DE CONTRATACIÓN</t>
  </si>
  <si>
    <t>Etapas precontractual, contractual y pscontractual.</t>
  </si>
  <si>
    <t xml:space="preserve">Permitir que la ETITC gestione adecuadamente sus compras y contrataciones a través de plataformas electrónicas, lineamientos normativos, documentos estándar, instrumentos de agregación de demanda y técnicas de aprovisionamiento </t>
  </si>
  <si>
    <t>1. Consolidar y publicar el Plan Anual de Adquisiciones, según las necesidades de adquisición de bienes y servicios de la Entidad.</t>
  </si>
  <si>
    <t xml:space="preserve">Se han adelantado los procesos contractuales acorde a las necesidades institucionales y teniendo en cuenta los lineamientos normativos lugar: 169 contratos durante el 1° trimestre de la vigencia. </t>
  </si>
  <si>
    <t>Procesos contractuales</t>
  </si>
  <si>
    <t xml:space="preserve">Fortalecimiento institucional </t>
  </si>
  <si>
    <t xml:space="preserve">Realizar capacitaciones a las áreas frente a las modalidades de contratación, el procedimiento pertinente para cada modalidad y la elaboración de los estudios y documentos previos necesarios para iniciar los procesos contractuales. </t>
  </si>
  <si>
    <t>2. Gestionar las modificaciones del Plan Anual de Adquisiciones con la correspondiente justificación y aprobación de acuerdo con los lineamientos del Manual de Contratación de la ETITC y publicar al menos una modificación a mitad de año.</t>
  </si>
  <si>
    <t>Durante el mes de febrero y marzo, se han realizado Uso de SECOP y Tienda virtual, modalidades de contratación (3).</t>
  </si>
  <si>
    <t xml:space="preserve">Capacitaciones realizadas </t>
  </si>
  <si>
    <t>EOE.-1-Consolidar la calidad académica para la acreditación institucional de alta calidad respaldada fortalecimiento
de la gestión, la infraestructura tecnológica y física</t>
  </si>
  <si>
    <t>TALENTO HUMANO</t>
  </si>
  <si>
    <t>PE-5- MIPG - y los sistemas de gestión para una gobernanza transparente</t>
  </si>
  <si>
    <t>ME-8- Revisión de la  Estructura Organizacional que soporte las nuevas apuestas institucionales</t>
  </si>
  <si>
    <t>Analizar los resultados del contrato suscrito con la UNA
Determinar la oportunidad de diseñar una propuesta para la reestructuración organizacional</t>
  </si>
  <si>
    <t>Propuesta de nueva estructura organizacional presentadas ante las entidades competentes</t>
  </si>
  <si>
    <t>Propuesta elaborada</t>
  </si>
  <si>
    <t>Documento técnico Contrato Universidad Nacioanal</t>
  </si>
  <si>
    <t>ME-10- Fortalecer la cultura organizacional como soporte del Desarrollo y mejoramiento del clima organizacional.</t>
  </si>
  <si>
    <t xml:space="preserve">*Plan de  Bienestar laboral                                   *Fortalecimiento del   Clima laboral  teniendo en cuenta  la medición 2021  *Código de integridad,    </t>
  </si>
  <si>
    <t>Porcentaje de apropiación de presupuesto para el pago de plantas de personal</t>
  </si>
  <si>
    <t xml:space="preserve">Plan de Bienestar laboral ejecutado </t>
  </si>
  <si>
    <t xml:space="preserve">*Plan de  Bienestar laboral  y fortalecimiento del clima laboral        
Se han enviado las tarjetas de cumpleaños a los funcionarios durante el 1° trimestre (100).
Sesiones de eucaristia (2)
Taller la Ola 40 (Participaron 12 personas)
Socialización del programa de COMPENSAR.
Se han enviado las respectivas manifestaciones de condolencias (4)
Se socializo el apoyo de salud mental brindado por ARL POSITIVA.
se socializo "6 acciones clave para fortalecernos ante el covid 19" Fortalecimiento emocional.
Se promovio la vacunación de la comunidad educativa.
Conmemoración del día de la mujer (130 personas).
Se ofrecio a los servidores la compensación del tiempo de semana santa.
Celebración del día dehombre. 
Taller "comparte tus tormentas, aprende a controlar tu ansiedad y depresión"
Taller de elaboración de gel antibacterial (11 personas)
*Código de integridad:
Socialización de código de integridad 17 de enero.
</t>
  </si>
  <si>
    <r>
      <t xml:space="preserve">En el marco del Plan de Bienestar Laboral y el fortalecimiento del clima laboral:
26 de abril día de la secretaria, se promovio el Código de Integridad (30 asistentes).
Desde el área de Bienestar Laboraral se realizaron las actividades para la compensación de tiempo 29, 30 de junio y 1° de julio.
Se concedio el 28 de junio como día de la familia. 
Se realizo el reconocimiento el día 8 de mayo (targeta virtual).
11 de mayo feria de servicios, participación de 100 servidores publicos.
13 de mayo día del maestro con 230 participantes.
20 de mayo y 16 de junio actividad física.
23 de junio, se llevo una caminata al serro de Monserrate.
16 de junio se socializo el programa servimos.
postulación de 2 funcionarios para la celebración del día del servidor publico. 
Semana de receso del 21 al 24 de junio, actividades recreativas "Emocionarte con Bienestar", participación de 20 niños.
Actividad de integración y agradecimiento: 
21 docentes IBTI
23 Docentes PES
24 Administrativos.
</t>
    </r>
    <r>
      <rPr>
        <b/>
        <sz val="14"/>
        <rFont val="Calibri"/>
        <family val="2"/>
        <scheme val="minor"/>
      </rPr>
      <t xml:space="preserve">Código de integridad: 
1. </t>
    </r>
    <r>
      <rPr>
        <sz val="14"/>
        <rFont val="Calibri"/>
        <family val="2"/>
        <scheme val="minor"/>
      </rPr>
      <t xml:space="preserve">Se han socializado de manera mensual los valores: Junio, Horestidad
Mayo, respeto. 
Abril, 
2. Día de la secretaria, socialización del código de integridad. 
Se ha avanzado en la construcción de la Plantaforma CAPUS VIRTULA ETITC. Modulo Código de integridad. 
Encuesta "Qué tanto CONOCES DEL Código de Integridad", 87 respuestas. 
</t>
    </r>
  </si>
  <si>
    <t xml:space="preserve">Implementación del Plan de Capacitación   </t>
  </si>
  <si>
    <t xml:space="preserve">Plan de capacitación ejecutado </t>
  </si>
  <si>
    <t xml:space="preserve">Se han realizado:
Modalidades de contratación y SECOP II
Funciones y responsabilidades de supervisores de contrato
Orden y aseo en el espacio de trabajo
Sistema Interno de Aseguramiento de la Calidad de la ETITC. 
Protección de datos personales, escritorio y pantallas limpias.
Políticas de seguridad de recursos Humanos correos sospechosos y como identificarlos.
Inducción de Informática y comunicaciones.
Inducción de seguridad y salud en el trabajo
uso eficiente del agua.
Gestión de residuos programas pos consumo. 23 de marzo.
prevención, violencia y ruta unica de violencia a la mujer. 24 de marzo.
Nuevo código disciplinario y PQRSD.
</t>
  </si>
  <si>
    <t>GTH-F0-05
Formatos de registro de asistencia 
Diligenciados</t>
  </si>
  <si>
    <t xml:space="preserve">Mes de mayo
Actualización de datos SIGEP, 
Replica de conocimiento SIGEP
Replica de conocimiento Gestión Ambiental.
En total se cuentan con 7 replicas de conocimiento.
16 de junio, Socialización de los cursos del MEN 
10 Personas cumplieron con la totalidad de los cursos.
5 personas de manera parcial.
Actualización del curso generentes publicos de los 11 responsables, solo 2 han realizado su actualización. 
Curso de habilidades blandas, se reportaron 10 certificados. 
Se han enviado 15 diplomados, 5 cursos, 3 conversatorios, 3 conferentecias, y 7 personas han 
enviado certificado. 
</t>
  </si>
  <si>
    <t xml:space="preserve">Ejecución de: 
*Plan anula de vacantes    *Plan de Previsión      </t>
  </si>
  <si>
    <t>Planes ejecutados</t>
  </si>
  <si>
    <t xml:space="preserve">Se realizo el proceso de selección de 2 cargos de nivel asistencial (23 y 1° de abril).
Cargo profesional especializado en el área de Bienestar Universitario. 26 de enero. Resolución 47 de 2022
Se vinculo la auxiliar de la Decanatura de Sistemas. 28 de enero. Resolución 48 de 2022/
Auxiliar administrativo de la Decanatura de especializaciones. 28 de enero. Resolución 56 de 2022
Se encuentra en el proceso de proveer los cargos de: profesional especializado del Centrol de lenguas y Auxiliar administrativo de TH.
</t>
  </si>
  <si>
    <t>Resoluciones a lugar</t>
  </si>
  <si>
    <t>OE-2 Fortalecer y potenciar el Talento Humano en las plantas de personal docente y administrativa.</t>
  </si>
  <si>
    <t xml:space="preserve">PE-7 - Consolidacion y aseguamiento del Talento Humano para el mejoramiento de las capacidades en las plantas administrativas y docentes </t>
  </si>
  <si>
    <t>ME-12 - dar continuidad al talento Humano  integral en las plantas administrativas</t>
  </si>
  <si>
    <t>Fortalecimiento y consolidación del Talento Humano</t>
  </si>
  <si>
    <t xml:space="preserve">Verificación el cumplimiento de todas las activides propias del área en compromiso con el Talento humano Institucional </t>
  </si>
  <si>
    <t>recursos apropiados</t>
  </si>
  <si>
    <t>Durante el 1° trimestre se han realizado actividades de acompañamiento a cada área de pendiedo de los planeado dentro del Plan Estrategico de Talento Humano: Nómina, Bienestar laborar, Capacitaciones, Selección y Vinculación, Bonos pencionales y SST.</t>
  </si>
  <si>
    <t>Informes, actas de reunión y reportes en aplicativos estatales</t>
  </si>
  <si>
    <t>ME-13- Presentar ante las instancias competentes la solicitud y cumplimiento de requistos para el desarrollo de los procesos meritocraticos de las plantas Administrativas.</t>
  </si>
  <si>
    <t>Identificación de las vacantes  internas y externas para la planeación del concurso administrativo y docente
53 vacantes reportadas al SIMO para el inicio del Concurso Administrativo</t>
  </si>
  <si>
    <t>Porcentaje de requisitos cumplidos</t>
  </si>
  <si>
    <t xml:space="preserve">Desde la vigencia 2021 se pago un valor por 185.500.000 (Resolución 4114 de 2021), para 44 cargos externos y 9 cargos internos de ascenso.
El documento técnico se encuenta publicado en la página intitucional y se entrego al nivel directivo, para su análisis y posteriores decisiones. 
Con la Resolución 373 de 2021 se realizo una modificación al manual de funciones, especificamente para los cargos que estarán en concursos durante la vigencia 2022. 
</t>
  </si>
  <si>
    <t xml:space="preserve">Las 53 vacantes se encuentran reportadas en SIMO, estas varia de acuerdo a las situaciones institucionales (vacantes por pensión).
Desde la vigencia 2021 se pago un valor por 185.500.000 (Resolución 4114 de 2021), para 44 cargos externos y 9 cargos internos de ascenso, la ETITC se encuentra a la espera de la respuesta para adelantar el concurso. 
 </t>
  </si>
  <si>
    <t>ME-14- Adelantar los proceso meritocraticos de la planta docente</t>
  </si>
  <si>
    <t xml:space="preserve">Selección y vinculación  por merito  de 4 docentes de educación superior de Tiempo Completo  y 20 de Medio tiempo </t>
  </si>
  <si>
    <t>Porcentaje de cumplimiento del proceso meritocrático de la planta docente</t>
  </si>
  <si>
    <t>Procesos de vinculación ejecutados</t>
  </si>
  <si>
    <t xml:space="preserve">La Escuela Suscribio un contrato Inter administrativo cuyo objeto es "Prestar los servios de acompañamiento para la implementación y desarrollo del concurso profesoral 2021, para proveeer  4 docentes de educación superior de Tiempo Completo  y 20 de Medio tiempo".
Dicho contrato dio inicio el 17 de enero del 2022, se realizó la parametrización en el aplicativo OTUS, se elaboró el cronograma del concurso, diseño de perfiles, se publicó la convocatoría, se publico la cartilla guia al aspirante para el proceso de inscripción, se llevaron a cabo las inscripciones y se verificaron los documentos de inscrpción. 
</t>
  </si>
  <si>
    <t>Cronograma del concuros docente</t>
  </si>
  <si>
    <t xml:space="preserve">El concurso para la planta docente finalizo el 10 de junio, se presentaron 92 aspirantes, de los cuales solo 7 cumplian requisitos legales y  ninguno logro continuar el proceso de selección.
El concurso de Merito constaba de 7 cargos de tiempo completo y 17 de medio tiempo.   </t>
  </si>
  <si>
    <t>Informe final Cto interadministrativo 341 de 2021</t>
  </si>
  <si>
    <t>PE-8- Estructuración de la carrera docente</t>
  </si>
  <si>
    <t xml:space="preserve">ME-15- Organizar e implementar el sistema  de plan de carrera docente </t>
  </si>
  <si>
    <t xml:space="preserve">Organizar e implementar el sistema  de plan de carrera docente </t>
  </si>
  <si>
    <t>Porcentaje del plan de carrera docente implementado</t>
  </si>
  <si>
    <t>Plan de Carrera Docente estructurado e implementado</t>
  </si>
  <si>
    <t>Actualmente se encuentra en ejecución el Plan de Formación, Capacitación y Actualización Docente, este se ecuentra vigente hasta la presente vigencia.  Durante el 2022 se proyecta estructurar el plan de carrera de los profesores PES.</t>
  </si>
  <si>
    <t>OE-1-Consolidar la calidad académica para la acreditación institucional de alta calidad respaldada fortalecimiento 
de la gestión, la infraestructura tecnológica y física.</t>
  </si>
  <si>
    <t>ME-12- Dar continuidad al talento humano integral en las plantas de personal.</t>
  </si>
  <si>
    <t xml:space="preserve">Diagnóstico de  condiciones saludables ETITC </t>
  </si>
  <si>
    <t>Examenes médicos ocupacionales de ingreso, periódicos y de egreso</t>
  </si>
  <si>
    <t xml:space="preserve">Ejecución de examenes medicos a todo el personal </t>
  </si>
  <si>
    <t>El proceso para llevar a cabo esta actividad se encuentra publicado en SECOP, este proceso incluye el diagnóstico de condiciones de salud y profesiograma. IP 018- 2022. $ 18.000.000</t>
  </si>
  <si>
    <t>Proceso SECOP IP 018- 2022</t>
  </si>
  <si>
    <t>El proceso se encuentra adjudicado con la empresa Unimsalud (172 de 2022), por un valor de 
Se han realizado 3 de egreso.</t>
  </si>
  <si>
    <t xml:space="preserve">Diagnóstico condiciones de Salud </t>
  </si>
  <si>
    <t xml:space="preserve">Informe Diagnostico  condiciones de Salud  </t>
  </si>
  <si>
    <t>La actividad se ejecuta de manera conjunta</t>
  </si>
  <si>
    <t>El proceso para llevar a cabo esta actividad se encuentra publicado en SECOP, este proceso incluye el diagnóstico de condiciones de salud y profesiograma. IP 018- 2022</t>
  </si>
  <si>
    <t xml:space="preserve">El proceso se encuentra adjudicado con la empresa Umnisalud.
</t>
  </si>
  <si>
    <t xml:space="preserve">Definición de profesiogramas  </t>
  </si>
  <si>
    <t>Creacióndeprofesiogramas conforme cargos y necesidades ETITC</t>
  </si>
  <si>
    <t xml:space="preserve">Semana de la salud:
Programa estilos de vida y PVE ergonómico </t>
  </si>
  <si>
    <t xml:space="preserve">Capacitaciones y actividades de estilos de vida y trabajo saludable </t>
  </si>
  <si>
    <t xml:space="preserve">Esta actividad se llevará a cabo durante el 2°semestre de la vigencia. </t>
  </si>
  <si>
    <t xml:space="preserve">Esta actividad aún no ha tenido avance, durante el 2° trimestre. </t>
  </si>
  <si>
    <t xml:space="preserve">Apoyo técnico seguridad y salud en el trabajo </t>
  </si>
  <si>
    <t>Gestion en implementación SGSST</t>
  </si>
  <si>
    <t>Auditoria interna certificada SGSST</t>
  </si>
  <si>
    <t xml:space="preserve">Informe de auditoria y plan de acción </t>
  </si>
  <si>
    <t>Esta actividad esta proyectada a realizar en el mes de octubre</t>
  </si>
  <si>
    <t xml:space="preserve">AMBIENTAL: UN ACUERDO POR Y PARA LA VIDA EN CONTEXTO </t>
  </si>
  <si>
    <t>OE-10-Establecer un nuevo acuerdo ambiental mediante una 
política institucional ambiental y la catedra institucional 
en la ETITC</t>
  </si>
  <si>
    <t xml:space="preserve">PE-26 Actualización de la infraestructura fisica cumpliendo normativas aplicables y generando espacios adecuados para el desarrollo de actividades académicas y de bienestar en el marco de la sostenibilidad </t>
  </si>
  <si>
    <t xml:space="preserve">ME- 68  Gestionar las dotaciones de las instalaciones y sede principal para la permanencia y aumento de la oferta </t>
  </si>
  <si>
    <t>Ejecución de actividades para el aseguramiento del SGSST</t>
  </si>
  <si>
    <t>Mantenimiento y recarga extintores (VIGENCIA HASTA DICIEMBRE - 2022)</t>
  </si>
  <si>
    <t>Porcentaje de las dotaciones nueva instalada y mantenimiento de las dotaciones existentes</t>
  </si>
  <si>
    <t xml:space="preserve">Extintores recargados y aptos para su uso </t>
  </si>
  <si>
    <t>Suministro de botiquines (VIGENCIA HASTA DICIEMBRE - 2022)</t>
  </si>
  <si>
    <t xml:space="preserve">Dotacion total de botiquines </t>
  </si>
  <si>
    <t xml:space="preserve">Kits de derrames y capacitación en uso </t>
  </si>
  <si>
    <t xml:space="preserve">Dotacion de  kits de derrames y capacitación en uso </t>
  </si>
  <si>
    <t xml:space="preserve">Se cuenta con el borrador de los estudios previos. El proceso se proyecta llevar a cabo en junio de la presente vigencia. </t>
  </si>
  <si>
    <t xml:space="preserve">Implementación Sistema globalmente Armonizado y Rotulación y etiquetado sustancias químicas </t>
  </si>
  <si>
    <t>Sistema globalmente armonizado ETITC</t>
  </si>
  <si>
    <t>OE-3-Fortalecer el ecosistema de funcionalidades digitales para la gestión y el desarrollo de la actividad
misional mediante el uso de las TIC.</t>
  </si>
  <si>
    <t>INFORMÁTICA Y COMUNICACIONES</t>
  </si>
  <si>
    <t>PE-9- Tecnologías de información y comunicaciones al servicio de la academia y la ciencia</t>
  </si>
  <si>
    <t>ME-18- Incorporar elementos de tecnología a los talleres, laboratorios y aulas para enseñanza remota sincrónica en modalidad de alternancia</t>
  </si>
  <si>
    <t>Prestación de servicios para apoyar las actividades propas del área de informática y comunicaciones.</t>
  </si>
  <si>
    <t>Porcentaje de talleres y aulas habilitados con conexión remota.</t>
  </si>
  <si>
    <t>Para la vigencia 2022 se realizaron 9 contratos por prestación de servicios: 023, 024, 025, 026, 027, 110, 111, 161, 162. ($ 244.313.413)</t>
  </si>
  <si>
    <t xml:space="preserve">Avtas de inicio </t>
  </si>
  <si>
    <t xml:space="preserve">Los contratos 023, 024, 025, 026, 027, 110, 111, 161, 162 se ejecutan con normalidad. </t>
  </si>
  <si>
    <t xml:space="preserve">Actas de inicio y ejecución de matriz de trabajo </t>
  </si>
  <si>
    <t>Renovación y capacitación del software Flexsim (fecha de vencimiento:29/10/2022 )</t>
  </si>
  <si>
    <t>Licencia de Sofware renovada</t>
  </si>
  <si>
    <t>Esta actividad se realizara durante el segundo semestre de la vigecia.</t>
  </si>
  <si>
    <t>Renovación software ISLonline y 400 licencias de antivirus Eset  (fecha de vencimiento: 10/08/2022 )</t>
  </si>
  <si>
    <t xml:space="preserve">ACTIVIDAD DE SEGURIDAD DIGITAL </t>
  </si>
  <si>
    <t xml:space="preserve">Se dio inicio a la estructuración de los estudios previos y estudio de mercado. </t>
  </si>
  <si>
    <t>Renovación software Automation Studio (fecha de vencimiento:22/04/2022)</t>
  </si>
  <si>
    <t>Se cuenta con los estudios previos y se solicitó el CDP</t>
  </si>
  <si>
    <t>Renovación software Safetica DLP, ISL  y  Deslock (fecha de vencimiento: )</t>
  </si>
  <si>
    <t>Renovación software Simapro (fecha de vencimiento: (09-2022 )</t>
  </si>
  <si>
    <t>Se proyecta comenzar el proceso de estructuración de estudios previos en el mes de agosto.</t>
  </si>
  <si>
    <t>Renovación software rextore (fecha de vencimiento:  30/09/2021)</t>
  </si>
  <si>
    <t>Esta actividad se relizará durante el 2 trimestre de la vigencia</t>
  </si>
  <si>
    <t>Se proyecta comenzar el proceso de estructuración de estudios previos en el mes de septiembre.</t>
  </si>
  <si>
    <t>Renovación software Solidworks (fecha de vencimiento: 15/07/2022)</t>
  </si>
  <si>
    <t>Se encuentra en proceso de contratación IP 0038 2022.</t>
  </si>
  <si>
    <t>SECOP</t>
  </si>
  <si>
    <t>Renovación soporte plataforma Gnosoft (fecha de vencimiento:28/10/2022 )</t>
  </si>
  <si>
    <t>Renovación soporte Plataforma Gnosoft investigación (fecha de vencimiento:16/12/2022 )</t>
  </si>
  <si>
    <t>Renovación Software Enterprise Architect (Fecha de vencimiento: 20/04/2022)</t>
  </si>
  <si>
    <t>Se cuenta con los estudios previos y se solicito el CDP</t>
  </si>
  <si>
    <t xml:space="preserve">El software Enterprise Architec fue adquirido a través de la Resolución 199 DEL 20 de abril de 2022, se recibieron 30 licencias por parte de la empresa SOLUS SA y estas se encuentran instaladas en la sede Central. </t>
  </si>
  <si>
    <t xml:space="preserve">Acto administrativo </t>
  </si>
  <si>
    <t>Renovación "4 licencias de Adobe Cloud + Adobe Sign Enterprise Transactional
Transacciones Anuales 1.500 + 2 Adobe DC pro" (Fecha de vencimiento: 22/10/2022)</t>
  </si>
  <si>
    <t>Renovación soporte y actualizacion SIAC (fecha de vencimiento: 01/12/2022)</t>
  </si>
  <si>
    <t xml:space="preserve">Soporte realizado </t>
  </si>
  <si>
    <t xml:space="preserve">Se estructuro el estudio previo y se encuentra en proceso de aprobación por parte de la Vicerrectoría Administrativa y Financiera. </t>
  </si>
  <si>
    <t>Heramienta adquirida</t>
  </si>
  <si>
    <t>Adquisición de herramienta para backups en la nube de One Drive</t>
  </si>
  <si>
    <t xml:space="preserve">Actualmente el proceso se encuentra en estudio de mercado, para determinar la viabilidad del proceso contractual. </t>
  </si>
  <si>
    <t xml:space="preserve">estudio de mercado </t>
  </si>
  <si>
    <t>Instalación de un (1) canal de internet dedicado 1024 MB y  dos (2) MPLS 256 GB uno (1) de doce (12) MB para las sedes. Fecha de vencimiento (09-2022)</t>
  </si>
  <si>
    <t>Canal de internet instalado</t>
  </si>
  <si>
    <t>Esta actividad se relizará durante el 2 semestre de la vigencia</t>
  </si>
  <si>
    <t xml:space="preserve">El proceso se adelanta a través de un Acuerdo Marco en SECOP. Se ha adelantado la estructuración archivo simulador con el fin de determinar el valor extacto y la viabilidad del proceso. </t>
  </si>
  <si>
    <t>Estructuración del archivo simulador</t>
  </si>
  <si>
    <t xml:space="preserve">ME-17- Adecuar las capacidades tecnológicas para atender las necesidades de los procesos misionales </t>
  </si>
  <si>
    <t>Adquisición e implementación del sistema de Gestión Académica SGA</t>
  </si>
  <si>
    <t>implementación del sistema de Gestión Académica SGA</t>
  </si>
  <si>
    <t>Esta actividad se relizará durante el 2 semestre de la vigencia, toda vez que se esta a la espera del concepto del Comité de Infraestructura Tecnológica</t>
  </si>
  <si>
    <t>Implementación de IPV6</t>
  </si>
  <si>
    <t>Protocolo IPV6 implementado</t>
  </si>
  <si>
    <t xml:space="preserve">Se realizo el inventario infraestructura Tecnológica LACNIC, con esta entidad se adelanta el proceso de direccionamiento.  </t>
  </si>
  <si>
    <t>Soporte de los sistemas de información: siparc, rusia,sigaf y siac</t>
  </si>
  <si>
    <t>siparc, rusia, koha, sigaf y siac con soporte</t>
  </si>
  <si>
    <t xml:space="preserve">Esta actividad esta en evaluación por tema de priorización de recursos </t>
  </si>
  <si>
    <t xml:space="preserve">El soporte general a los sistemas de información se esta realizando a través del CTO- 024 - 2022. </t>
  </si>
  <si>
    <t>Acta de inicio, matriz de trabajo mensual</t>
  </si>
  <si>
    <t>Ejecutar las actividades propias de la adecuación de infraestructura tecnológica en la ETITC</t>
  </si>
  <si>
    <t xml:space="preserve">Instalaciones adecuadas </t>
  </si>
  <si>
    <t>$ 308.245.757.12</t>
  </si>
  <si>
    <t xml:space="preserve">A través del Cto 344 de 2021, se actualiza la infraestructura del WIFI institucional. Dicho contrato presenta una adición por $ 308.245.757.12. La ejecución se realizará hasta el 22 de mayo de la presente vigencia. (Valor total $1.157.720.960,12)
A través Cto 350 de 2021 se realiza la actualización de la infraestructura LAN. Finaliza el 22 de mayo de la vigencia. $ 414.102.014
</t>
  </si>
  <si>
    <t>Informes de avance del contrato</t>
  </si>
  <si>
    <t>308.245.757.12</t>
  </si>
  <si>
    <t>Acta de inicio</t>
  </si>
  <si>
    <t>RENOVACIÓN DEL PLAN DE ACTUALIZACIÓN Y SOPORTE PARA EL SOFTWARE MANTUM CMMS+ED DURANTE UN (1) AÑO PARA EL APOYO A LAS ÁREAS DE LA GESTIÓN DE LA ESCUELA TECNOLÓGICA INSTITUTO TÉCNICO CENTRAL (ETITC).</t>
  </si>
  <si>
    <t>Se cuenta con los estudios previos y se solicito el CDP.</t>
  </si>
  <si>
    <t>ME-19- Implementar un modelo estratégico para impulsar la evolución digital de la ETITC, plasmado en el PETI.</t>
  </si>
  <si>
    <t>Actualización del modelo estrategico en el PETI</t>
  </si>
  <si>
    <t>Porcentaje de implementación de modelo estratégico en el PETI.</t>
  </si>
  <si>
    <t>PETI actualizado</t>
  </si>
  <si>
    <t xml:space="preserve">Se cuentan con los estudios previos y estudios de mercado. Se proyecta obtener la aprobación del Comité de Infraestructura Tecnológica en su próxima sesión. </t>
  </si>
  <si>
    <t xml:space="preserve">El proceso se encuentra en evaluación por área de Jurídica Contratación, se aprobo el CDP  15722. Se proyecta su publicación durante la 3° semana de julio.
</t>
  </si>
  <si>
    <t xml:space="preserve">Estudios previos y CDP aprobado </t>
  </si>
  <si>
    <t>ME-20- Cumplimiento del 100% la Política de Gobierno Digital para 2021.</t>
  </si>
  <si>
    <t xml:space="preserve">Estructurar las actividades estrategicamente con la política de gobierno digital </t>
  </si>
  <si>
    <t>Porcentaje de implementación de la Política de Gobierno Digital</t>
  </si>
  <si>
    <t>Política implementada</t>
  </si>
  <si>
    <t xml:space="preserve">Esta actividad se proyecta realizar de manera mancomunada con diferentes áreas de la institución. 
Con relación a la política de Cero papel, ya se establecion el Comité respectivo; el pasado 1° de abril, se realizo la primera sesión (diagnóstico de consumo de papel, herramientas como impresoras, con el fin de moderar su uso). </t>
  </si>
  <si>
    <t>Acta de reunión.</t>
  </si>
  <si>
    <t>Parte de las actividades consignadas en la política de Gobierno digital se incluyen el la actualización del PETI.
Con la actualización de este plan estratégico se pretende llevar a cabo proyectos de cara a los componentes del la política (TIC para el estado, Tic para el Ciudadano).</t>
  </si>
  <si>
    <t>VICERRECTORÍA ACADÉMICA</t>
  </si>
  <si>
    <t>INSTITUTO DE BACHILLERATO TÉCNICO INDUSTRIAL</t>
  </si>
  <si>
    <t>ME-16- Centro de Atención al Docente del IBTI "La ETITC un lugar para todos."</t>
  </si>
  <si>
    <t>Fase de diseño del CAD - Implementación</t>
  </si>
  <si>
    <t xml:space="preserve"> Centro de atención que permita mejorar la condiciones laborales, la calidad de vida y la estadía de los docentes del IBTI en la Escuela.</t>
  </si>
  <si>
    <t>Número de docentes del IBTI  que se benefician del centro de atención / Total de docentes del IBTI *100</t>
  </si>
  <si>
    <t>CAD Diseñado e implementado</t>
  </si>
  <si>
    <t>Durante el 1° trimestre de la vigencia se consolidaron las actividades que se desarrollaran al interior del proyecto Centro de atención al docente del IBTI:
1. Diagnóstico de las principales necesidades laborales, familiares, emocionales y sociales presentan los docentes del IBTI.
2. Identificación de aquellas necesidades más comunes y repetitivas manifestada por los docentes.
3. Tab/ulación y organización de la información suministrada.
4. Análisis de la información.
5. Presentación teórica.
6. Estrategias y herramientas para la implementación del Centro de Atención al Docente (CAD).
Dicha informacións será relevante para desarrollar los siguientes puntos con relación al proyecto: 
1. Antecedentes.
2. Problemática.
3. Marco Referencial.
4. Metodología de Investigación.
5. Futurización.
6. Proyección y planeación. ´
7. Gestión de recursos.
Se proyecta para le 26 de abril se proyecta presentar el proyecto ante el Consejo Académico del IBTI.</t>
  </si>
  <si>
    <t xml:space="preserve">Documento Centro de atención al docente IBTI </t>
  </si>
  <si>
    <t xml:space="preserve">Con relación al Centro Docente se ha adelantado: 
Estructuración de espacio
Servicios de Centro de Atención al Docente: 8 servicios a ofrecer, 1.un coordinador de dicha Oficina.2Servicio de Psicologia.3. Servicio de asesoría jurídica 4.Espacio físico 5. Equipo de eventos y celebraciones 6. Servicio de Asesoria 7 . Asesoria Laboral .8. Salud ocupacional Capacitación y estimulos-
Se establecio un esquema de acción por fases de estudio: 1. Identificación de porblematica, 2. Prevalencia, causa y consecuencia, Diseño y ejecución del programa 4. Evaluación de la propuesta.
El rincón de maestro se adapto con la finalidad de crear un espacio en el que los docentes tengas esparcimiento (Celebraciones, Actividades psicopedagógicos, capacitaciones)
</t>
  </si>
  <si>
    <t>Lo Social: Un acuerdo para lo fundamental</t>
  </si>
  <si>
    <t>OE-6-Aumentar la cobertura mediante programas de educación superior diferenciados, con alta
pertinencia regional de la institución.</t>
  </si>
  <si>
    <t>PE-15- El IBTI y su papel significativo en la consolidación de la Escuela</t>
  </si>
  <si>
    <t>ME-33 Promover la estrategia de Articulación `de tu escuela a mi escuela y a mi Universidad`</t>
  </si>
  <si>
    <t>Implementación y seguimiento</t>
  </si>
  <si>
    <t>Seguimiento y trazabilidad de los estudiantes admitidos a 6 grado 2022</t>
  </si>
  <si>
    <t>Número de estudiantes vinculados en la vigencia / 1300 * 100</t>
  </si>
  <si>
    <t>Seguimiento a estudiantes admitidos realizado</t>
  </si>
  <si>
    <t>1130 Estudiantes matriculados en el IBTI</t>
  </si>
  <si>
    <t xml:space="preserve">Realizando un compartivo del ingreso de los estudiantes durante las vigencia 2022 (273) y 2021 (200), lo cual nos permite ver un aumento en el número de los estudiantes. </t>
  </si>
  <si>
    <t>Plataforma Gnosoft</t>
  </si>
  <si>
    <t>https://etitc.edu.co/archives/circular102022.pdf</t>
  </si>
  <si>
    <t xml:space="preserve">Proceso de Admisiones para conseguir el posicionamiento de la meta del proyecto </t>
  </si>
  <si>
    <t>Proceso de admisión ejecutado</t>
  </si>
  <si>
    <t>El proceso de admisiones durante el 2021 se realizo en un 100%, para el 2022 el proceso comienza en el mes de agosto. 
Esta actividad se plante realizar durante el 2° semestre.</t>
  </si>
  <si>
    <t xml:space="preserve">Esta actividad se realiza durante el 3° trimestre de la vigencia, toda vez que esta se encuentra sujeta al cronograma académico: Incripciones de Del 9 de agosto al 10 de septiembre,
25 de septiembre se realiza la prueba de conocimiento, 6 de octubre docuemntos de aspirantes, 9 de noviembre   </t>
  </si>
  <si>
    <t xml:space="preserve">Acompañamiento  a los estudiantes que desean seguir en los PES en su proceso de continuidad academica grado 11 </t>
  </si>
  <si>
    <t>Acompañamiento relizado</t>
  </si>
  <si>
    <t xml:space="preserve">Actualmente se encuentran cinco (5) estudiantes en los programas PES, graduados de 11: 3 vigencia 2020, y 2 vigencia 2021. El acompañamiento se realiza a partir de la valoración de asignaturas a homologar; esto a través de los acuerdo 006 y 007 de 2017. </t>
  </si>
  <si>
    <t>Acuerdos 006 y 007 de 2017</t>
  </si>
  <si>
    <t>ME-32 Fortalecer el modelo educativo del IBTI que permita aumentar la cobertura, la permanencia y continuidad de la institución.</t>
  </si>
  <si>
    <t>Fase de evaluación y reestructuración del PEI</t>
  </si>
  <si>
    <t>% avance del PEI</t>
  </si>
  <si>
    <t>PEI reestructurado</t>
  </si>
  <si>
    <t>Para fortalecer la formación docente en evaluación para los aprendizajes y el diseño de preguntas tipo Saber.
Se realizó una capacitación con la entidad TRES EDITORES, con el fin de mejorar en la presentación de las pruebas externas; el Taller Habilidade de pensamiento fue realizado el 19 de enero, contó con la participación de 94 docentes.
Se cuenta con un cronograma de capacitaciones.
Por otra parte, en un ejercicio comparativo se analiza un aumento de 1042 estudiantes en el 2021 a 1134 estudiantes en el 2022 (aumento del 8%).</t>
  </si>
  <si>
    <t>Grabación de la capacitación realizada. 
Cronogramade capacitaciones ralizadas.</t>
  </si>
  <si>
    <t xml:space="preserve"> ME-31- Fortalecer el proceso de articulación y/o integración entre las IEM (Instituciones de Educación Media) y la ETITC.</t>
  </si>
  <si>
    <t>Fortalecer el proceso de articulación y/o integración entre las IEM (Instituciones de Educación Media) y la ETITC.</t>
  </si>
  <si>
    <t>Porcentaje de egresados del IBTI que ingresan a PES de la ETITC.</t>
  </si>
  <si>
    <t>Información de las metricas entregadas</t>
  </si>
  <si>
    <t>OE-7 Implementar programas y acciones para asegurar la permanencia de los estudiantes.</t>
  </si>
  <si>
    <t>BIENESTAR UNIVERSITARIO</t>
  </si>
  <si>
    <t>PE-16- Desarrollo integral y transformación social de la comunidad: bienestar comprometido con la permanencia</t>
  </si>
  <si>
    <t>ME-37- Implementar el Centro de Refuerzo Especializado Académico (CREA).</t>
  </si>
  <si>
    <t>Implementación 
(SICOLOGÍA)</t>
  </si>
  <si>
    <t>1. Acompañamiento integral y en procesos de aprendizaje</t>
  </si>
  <si>
    <t>Número de estudiantes de los ciclos propedéuticos atendidos en el CREA / Total de estudiantes matriculados en los ciclos propedéuticos * 100</t>
  </si>
  <si>
    <t xml:space="preserve">Acompañamiento realizado </t>
  </si>
  <si>
    <t>35 estudiantes atendidos en los servicios de entrenamiento y/o  asesoría individual. con una dedicación semanal de hasta 2 horas.</t>
  </si>
  <si>
    <t>https://itceduco-my.sharepoint.com/:f:/g/personal/psicologia_itc_edu_co/EorFXOKDWrhOnWAgY-c7pUwBMheF_fT_rKD1LWEOHo7LAQ?e=UYcvib</t>
  </si>
  <si>
    <t>https://itceduco-my.sharepoint.com/:f:/g/personal/bienestaruniversitario_itc_edu_co/EqIvDl7bUxFJi_tQkXPEnBUBdqfUW5mv-nOTBaOg6F3CRw?e=hZrQIg</t>
  </si>
  <si>
    <t>2. Caracterización de la población estudiantil en procesos de aprendizaje</t>
  </si>
  <si>
    <t xml:space="preserve">Caraterización de la población realizada </t>
  </si>
  <si>
    <t>Se aplicó el instrumento diagnóstico a los estudiantes nuevos durante la inducción (24 y 27 de enero), aplicaron 361. Informe de caracterización en procesos de aprendizaje</t>
  </si>
  <si>
    <t xml:space="preserve">El test sobre procesos de aprendizaje se aplica 1 vez al semestre. </t>
  </si>
  <si>
    <t>3. Implementación de estrategias para el fortalecimiento de los procesos de aprendizaje</t>
  </si>
  <si>
    <t>Estrategias realizadas</t>
  </si>
  <si>
    <t>1. Diseño y publicación de neurotips, a através de las redes sociales, todos los lunes de cada mes.
2. Maqueteado del espacio para CREA con el portafolio de servicios, el cual hará parte de la pestaña de servicios en la página institucioanl. Se entregó a comunicacjiones a la espera de ser cargado a la misma.
3. Webinar "Tardes de Café", el cual se realiza una vez al mes, se inició Ccon el tema "LA LITERATURA UN ESPEJO DE TINTA" , se transmitió por el fb insititucional el día 10 de marzo, cuenta con 658 reproducciones.
4. Taller en procesos lógico- matemáticos el día
5. Diseño y publicación del lecto-tips, los cuales están listos para ser publicados por la oficina de comunicaciones ( se compartirán 4 por mes, los días viernes)</t>
  </si>
  <si>
    <t>1. Pubicación de Neurotips (12)
2, Publicación lectotips (12)
3, Estructuración, diseño y publicación del portafolio de servicios de CREA en el sitio web institucional.
4, Campaña de gimnasia cerebral aplicada  a 29 estudiantes.
5, Talleres sobre procesos de atención,  lógicomatemáticos  y lenguaje corporal y empleabilidad" con la participación de 50 estudiantes.
6. Campaña "Hablemos de Inclusión",  actividad masiva que se llevó a cabo con participación del grupo musical de la ETITC, aproximadamente participaron  91 personas.
7. Taller para los docentes de bachillerato "Clases cerebralmente amigables", con la participación de 57 profesores y 5 directivos docentes.
8. Webinar "tardes de café", en donde se abordaron los siguientes temas "El lenguaje y las matemáticas", "qué es el éxito", con un total de 1058 reproducciones.</t>
  </si>
  <si>
    <t>https://itceduco-my.sharepoint.com/personal/psicologia_itc_edu_co/_layouts/15/onedrive.aspx?id=%2Fpersonal%2Fpsicologia%5Fitc%5Fedu%5Fco%2FDocuments%2F2022%2FPLANEACI%C3%93N%2FSEGUNDO%20TRIMESTRE%2FCREA&amp;ga=1</t>
  </si>
  <si>
    <t>4. Investigación y proyecto sobre adaptación a la vida universitaria</t>
  </si>
  <si>
    <t xml:space="preserve">Proyecto escrito </t>
  </si>
  <si>
    <t>1. Diseño y aplicación de la encuesta de percepción de los estudiantes de la ETITC en cuanto a su proceso de adaptación universitaria, actualmente se está aplicando con cierre al 29 de abril, a la fecha la han respondido 274 estudiantes.</t>
  </si>
  <si>
    <t>https://itceduco-my.sharepoint.com/:f:/g/personal/psicologia_itc_edu_co/EgWiZIFTl-5FnfUig8YZoiYBY5AhsLUmPcL3fPyr5BJc-g?e=uEOqGu</t>
  </si>
  <si>
    <t>ME-36- Implementar el  Banco de electivas de Bienestar Universitario y la Cátedra ETITC</t>
  </si>
  <si>
    <t xml:space="preserve">Implementación 
</t>
  </si>
  <si>
    <t>Número de electivas aprobadas en la vigencia / 3 *100</t>
  </si>
  <si>
    <t>A la fecha se han estruturado y ofertado 5 diplamados: 
1. Educación financiera y Neworking, con 26 asistentes semanales
2. Empleabilidad y emprendimiento, con la participación de 12 estudiantes 
3.Periodismo y novela, con la participación de 9 estudiantes.
4. Lectura crítica y creación literaria, con la participación de 17 estudiantes
5. Curso de innovación social, con la participación de 130 personas, estudiantes y egresados.
Los diplomados tienen una duración semanal de 2 horas, con una duración promedio de 16 semanas. 
6. Taller junto con la oficina de egresados "Cómo ser competitivos en el mundo laboral", con la asistencia de 17 estudiantes, se llevó a cabo el viernes 
7. Se han estructurado las electivas de artes y deportes, así mismo en acompañamiento para la presentación de la prueba saber pro y T y T</t>
  </si>
  <si>
    <t>A la fecha se han estruturado y ofertado 5 diplamados: 
1. Educación financiera y Neworking, con 26 asistentes semanales
2. Empleabilidad y emprendimiento, con la participación de 12 estudiantes 
3.Periodismo y novela, con la participación de 9 estudiantes.
4. Lectura crítica y creación literaria, con la participación de 17 estudiantes
5. Curso de innovación social, con la participación de 130 personas, estudiantes y egresados.
Los diplomados tienen una duración semanal de 2 horas, con una duración promedio de 16 semanas. 
6. Se han estructurado las electivas de artes y deportes, así mismo en acompañamiento para la presentación de la prueba saber pro y T y T
Los diplomados ya finalizaron y están en proceso para certificación</t>
  </si>
  <si>
    <t>https://itceduco-my.sharepoint.com/:f:/g/personal/psicologia_itc_edu_co/Eqn9xc3uW85CmY79OXo0WxkBd350ucdydH30bzEVsNPXXg?e=6pS4Lf</t>
  </si>
  <si>
    <t>ME-35 Formular e implementar el registro único de seguimiento de información y acompañamiento (RUSIA) de la comunidad educativa de la institución</t>
  </si>
  <si>
    <t>Diseño
(SICOLOGÍA)</t>
  </si>
  <si>
    <t>Identificación tiempos de procedimiento y responsables de seguimiento</t>
  </si>
  <si>
    <t>Estudiantes registrados en Rusia durante la vigencia / 3600 * 100</t>
  </si>
  <si>
    <t>Seguimientos realizados
(PFC)</t>
  </si>
  <si>
    <t>1.200 estudiantes registrados en RUSIA</t>
  </si>
  <si>
    <t>Tanto el valor como la implementaciòn y ejecución de este contrato no se ha llevado a cabo puesto que corresponde a la fase 3 que se implementará una vez finalice ley de garantías y se pueda realizar la formalización del contrato.</t>
  </si>
  <si>
    <t>A la fecha se han enviado tanto los EP de la fase 3 del proyecto RUSIA como de la fase 4 en espera del inicio del proceso de contratación - ENVIADOS 8 DE JUNIO</t>
  </si>
  <si>
    <t>https://itceduco-my.sharepoint.com/:b:/g/personal/bienestaruniversitario_itc_edu_co/EYhUID-hSS9OnSIa7xzgGAwBxFlROH8Bv_xjjBFEhtMiiA?e=vquiWv</t>
  </si>
  <si>
    <t xml:space="preserve">4. Definición estrategias de mitigación sobre riesgos y poblaciones encontradas  </t>
  </si>
  <si>
    <t>Estrategias definidas</t>
  </si>
  <si>
    <t>Identificación de perfiles de impacto  y reporte de impacto</t>
  </si>
  <si>
    <t>Reportes realizados</t>
  </si>
  <si>
    <t>Identificación alertas tempranas - riesgos asociados a la deserción</t>
  </si>
  <si>
    <t>alertas tempranas generadas</t>
  </si>
  <si>
    <t>ppto vigencia anterior - cto 215-2020
48.483.218</t>
  </si>
  <si>
    <t>600 estudiantes con alertas identificadas</t>
  </si>
  <si>
    <t>A la fecha se han actualizado las 675 alertas asociadas tempranas asociadas a la caracterización estudiantil aplicada a los 675 estudiantes PES</t>
  </si>
  <si>
    <t>ID ALERTAS TEMPRANAS ESTUDIANTES PES.pdf</t>
  </si>
  <si>
    <t>Al finalizar el mes de junio se identificaron 1583 alertas tempranas asociadas a la caracterización estudiantil aplicada a los estudiantes PES</t>
  </si>
  <si>
    <t>https://itceduco-my.sharepoint.com/:b:/g/personal/bienestaruniversitario_itc_edu_co/EexQGHd2m-VDhIgJY_X_LRsBRS_R2OV7B5qqJEPwHxAGzg?e=VYtjQM</t>
  </si>
  <si>
    <t>Caracterización Estudiantil PES</t>
  </si>
  <si>
    <t>Caracterización realizada</t>
  </si>
  <si>
    <t>A la fecha se han realizado 675 caracterizaciones que incluyen estudiantes nuevos y antiguos de los PES y especializaciones activos para el periodo 2022-1</t>
  </si>
  <si>
    <t>CARACTERIZACIONES ESTUDIANTES PES 1ER TRIMESTRE - PROYECTO RUSIA.pdf</t>
  </si>
  <si>
    <t>Al finalizar el mes de junio se aplicó el intrumento de caracterización estudiantil a  1587 estudiantes PES activos en el periodo 2022-1</t>
  </si>
  <si>
    <t>https://itceduco-my.sharepoint.com/:b:/g/personal/bienestaruniversitario_itc_edu_co/ER9GE4X25MNMoJ6ltMl5SqYBuxOvzpNYcK-7XGEZya2MfQ?e=xP7oPb</t>
  </si>
  <si>
    <t>Integración con academusoft</t>
  </si>
  <si>
    <t>Sistema academusoft integrado</t>
  </si>
  <si>
    <t>ppto vigencia anterior - cto -297-2021
59.979.332</t>
  </si>
  <si>
    <t xml:space="preserve">A la fecha se realizó la integración completa del sistema academnusoft con Adviser </t>
  </si>
  <si>
    <t>integración ADVISER -ACADEMNUSOFT -PROYECTO RUSIA.pdf</t>
  </si>
  <si>
    <t>Actividad finalizada el primer tirmestre de 2022</t>
  </si>
  <si>
    <t>alertas académicas identificadas</t>
  </si>
  <si>
    <t>2000 estudiantes con alertas académicas identificadas por corte Primer periodo</t>
  </si>
  <si>
    <t>2000 estudiantes con alertas académicas identificadas por corte segundo periodo</t>
  </si>
  <si>
    <t>A la fecha se reportan 2413 estudiantes con alertas académicas para primer corte (7-11 marzo)</t>
  </si>
  <si>
    <t>ID ALERTAS ACADÉMICAS PES 1ER CORTE.pdf</t>
  </si>
  <si>
    <t>A la fecha se han actualizado las alertas académicas de segundo y tercer corte de los estudiantes PES</t>
  </si>
  <si>
    <t>ME-34- Fortalecer el Programa de Atencion Básica Ampliada.</t>
  </si>
  <si>
    <t>Seguimiento y evaluación</t>
  </si>
  <si>
    <t>Dar continuidad a los servicios de Bienestar univiersitario</t>
  </si>
  <si>
    <t>Número de participantes en servicios de bienestar / Total de integrantes de la comunidad educativa * 100</t>
  </si>
  <si>
    <t>Servicios ofertados</t>
  </si>
  <si>
    <t>Proceso de inducciòn 2022-1: 256 estudiantes promedio dìa, esta actividad se hace una por semestre</t>
  </si>
  <si>
    <t>https://itceduco-my.sharepoint.com/:x:/g/personal/psicologia1_itc_edu_co/Eba6EukQQfJGk8lcRw0e3sABh7W7fCJTCkPvD8Yc6EcIGQ?e=05D3Mc</t>
  </si>
  <si>
    <t xml:space="preserve">Durante el 2° trimestre no se ha realizado esta actividad. </t>
  </si>
  <si>
    <t>Implementación 
(DEPORTES)</t>
  </si>
  <si>
    <t xml:space="preserve">CAMPETITC:
Torneos SUE
Torneos externos
carreras atleticas
caminatas
Deportes Extremos
inscripciones gimnasio
</t>
  </si>
  <si>
    <t xml:space="preserve">Actividades desarrolladas </t>
  </si>
  <si>
    <t>1. Se han realizado en total 202 inscripciones al gimnasio. 2.Torneo de ping pong 28 participantes. 3.Torneo de ping pong carvajal 20 participantes. 3. Se realizaron cotizaciones para la media maraton de bogota. 4. se programo torneo de pulso para el 25 de abril y campeonate 3x3 de veleibol amistoso el 23 de abril.</t>
  </si>
  <si>
    <t xml:space="preserve">Torneos SUE:                                                                                     1. Participación en la competencia Duatolon SUE, con la participacion de 10 estudiantes el dia 26 de mayo.                  2.Participacion en el torneo de tenis de mesa con la participacion de 16 estudinates de PES el dia 4 de junio.           
Carreras atleticas:                                                                            1. se inicio proceso de inscripcion el dia 23 de junio y para realizara el proceso administrativo para el pago de la competecia en la media maraton de bogota.
Caminatas:                                                                                        1. se realizo lo programacion de la caminata al cerro de mnserrate el dia 23 de junio para docentes y administrativos con la inscripcion de 16 participantes, no se puedo realizar por malas condiciones climaticas.
Inscripciones gimnasio:                                                                 Se realizo en total 233 inscripciones hasta el 15 de junio.       Torneos internos:                                                                            1. se realizo el torneo de futbol tenis en la sede centro con una participación en total de 38 estudiantes el dia 12 de mayo. este mismo torneo se realizo en UDP carvajal con la participacion de 20 estudiantes el dia 25 de mayo.                    2. se ralizo en torneo de rana el la sede centro el dia 26 de mayo con una participacion de 34 estudiantes de pes, este mismos torneo se realizo en la UDP el dia 18 de mayo con una participacion de 18 estudiantes.                                           3. se realizo el dia 9 de junio el torneo de potencia de pecho en el gimnasio con una particiapacion de 20 estudiantes de pes.                                                                                                    4. se realizo el torneo relampago de cierre de semestre de tenis de mesa el dia 13 de junio con una participacion de 24 estudiantes de pes.                                                          </t>
  </si>
  <si>
    <t>https://bit.ly/3v7TnSe</t>
  </si>
  <si>
    <t>LA ETITC VISACAVI:
Pausas activas
Conferencias
Material Deportivo
Mantenimiento Gimnasio</t>
  </si>
  <si>
    <t>Durante el trimeste se han beneficciado 257 estudinates del prestamo de material deportivo en la sede de centro y la sede de carvajal 63. 2. En rutinas peronalizas 85 personas.  3. En entrenaminetos personalizados 10 de la sede carvajal. 4. Se realizo estudios previo para la compra de material deportivo, se encuentran en la vice academica.</t>
  </si>
  <si>
    <t>Pausas activas:                                                                                 1. se realizo como pausa activas para el área de servicios generales aerobicos el dia 22 de junio con la participacion de 10 personas.
Conferencias:                                                                                    2. se realizo una tertulia de entranamineto funcional con estudiantes del programa de mecatrónica el día 2 de mayo. 
Material Deportivo:                                                                         1. el total de usuarios atendios fue de 460 hasta el 15 de junio.
Mantenimiento Gimnasio:                                                              1. Se solicito apoyo a el area de mantenimineto e infraestrucctura electrica para intalacion de 2 televisores, iluminacion para la carpa del gym y un modem de wifi para el gimnasio, a el area de mantenimineto, instalacion de 2 vidrio en la pueta y la ofocina del gimnasio, arreglo de la puerta principal por la plataforma mantun.                               2. Se realizo la compra de 3 mesas de ping pong.</t>
  </si>
  <si>
    <t>Implementación 
(ENFERMERIA)</t>
  </si>
  <si>
    <t>1. Disminuir los factores de riesgo en salud de la comunidad educativa mediante programas, campañas y talleres para mejorar su calidad de vida.</t>
  </si>
  <si>
    <t xml:space="preserve">Se realizaron una serie de campañas a toda la comunidad educativa: capacitación en primer respondiente a 17 administrativos, campaña de donación de sangre con un total de 120 personas, taller de hábitos de vida saludable 100 asistentes, Campaña Cuidado del Riesgo Cardiovascular 41 administrativos, Campaña Sexo con Sentido 64, Taller sobre alimentación saludable 68, Talleres en promoción de la salud y prevención de la enfermedad 35 asistentes. </t>
  </si>
  <si>
    <t>https://itceduco-my.sharepoint.com/:f:/g/personal/enfermeria_itc_edu_co/EtGPza4yuGpKr40RoAK_n5QBZiwrY2GL3dtoBA0-VWJ08Q?e=vzopH6</t>
  </si>
  <si>
    <t>Se realizaron una serie de campañas a toda la comunidad educativa:  
1. Taller de hábitos de vida saludable 19 asistentes.
2. Campaña Cuidado del Riesgo Cardiovascular 107 asistentes. 
3. Campaña para la prevención del consumo de sustancias psicoactivas con una participación de 207. 
4. Se atendieron 55 valoraciones físicas preactividad deportiva.</t>
  </si>
  <si>
    <t>https://itceduco-my.sharepoint.com/personal/enfermeria_itc_edu_co/_layouts/15/onedrive.aspx?id=%2Fpersonal%2Fenfermeria%5Fitc%5Fedu%5Fco%2FDocuments%2FATENCI%C3%93N%20EN%20SALUD%20PES%202022%2FPLAN%20DE%20ACCI%C3%93N%2FSEGUNDO%20TRIMESTRE&amp;ga=1</t>
  </si>
  <si>
    <t>2. Promover la salud y prevenir la enfermedad a través de estrategias de acompañamiento individual como colectivo</t>
  </si>
  <si>
    <t>Acompañamientos realizados</t>
  </si>
  <si>
    <t>Se realizaron 24 atenciones individuales en el servicio de enfermería de la sede central y 5 en la sede Carvajal, se atendieron 202 valoraciones físicas preactividad deportiva.</t>
  </si>
  <si>
    <t>Por confirmar</t>
  </si>
  <si>
    <t>Se realizaron 69 atenciones individuales en el servicio de enfermería de la sede central, 45 en la sede tintal y  5 en la sede Carvajal.</t>
  </si>
  <si>
    <t>Implementación 
(PASTORAL)</t>
  </si>
  <si>
    <t>Formación Espiritual y personal.</t>
  </si>
  <si>
    <t>Actividades realizadas</t>
  </si>
  <si>
    <t xml:space="preserve">Eucaristías: 
825 participantes. 
Reflexiones semanales: 
1876 correos enviados, 
Acompañamiento Espiritual 88 entre estudiantes y administrativos,
Taller OLA 40: 186 personas que realizaron el taller
</t>
  </si>
  <si>
    <t>Eucaristías: 
125 participantes. 
Reflexiones semanales: 
1876 correos enviados, 
Acompañamiento Espiritual 88 entre estudiantes y administrativos.
Caminata Eco-espiritual: Se reprograma por dificultades climáticas.</t>
  </si>
  <si>
    <t>https://itceduco-my.sharepoint.com/:w:/g/personal/pastoralpes_itc_edu_co/EYVuo3z81htAgo-9BvKNYuABTuN9kAaDEY_FzRmUXvYxKw?e=CfB5r6</t>
  </si>
  <si>
    <t>Subsidio de alimentación.</t>
  </si>
  <si>
    <t xml:space="preserve">se entregaron 200 servicios y se apoya a 189 estudiantes. </t>
  </si>
  <si>
    <t xml:space="preserve">Se entregaron 212 estudiantes diarios y se apoya a 6444 servicios.
Se han entregado 100 mercados.
Se han entregado 200 refrigerios en Carvajal  y Tintal 70 refrigerios  de manera semanal. 
La institución subsidia todo el servicio </t>
  </si>
  <si>
    <t>https://forms.office.com/Pages/DesignPageV2.aspx?subpage=design&amp;FormId=RtBfSWTYZ0ae6FBnl2TYNAD89WLqL4JAgWFtXVM6CClUM0NCUFBNT0NEUUVVUVBBQ00xT0dPMjBJQS4u&amp;Token=cd510f6a7cc84b87858bb150f7eba1ae</t>
  </si>
  <si>
    <t xml:space="preserve">Fiestas Lasallistas </t>
  </si>
  <si>
    <t>Se realiza actividad con toda la institución y se hace presentación cultural para la comunidad, estudiantes 350, 15 docentes y 20 administrativos
Celebración día del maestro (12 de junio), 155 docentes asistentes.</t>
  </si>
  <si>
    <t>https://itceduco-my.sharepoint.com/:f:/g/personal/pastoralpes_itc_edu_co/EvhGo8GMYLZImhav6eutNhwBFqpHFao5ip8fhQKGm29xZw?e=CyqrdI</t>
  </si>
  <si>
    <t>Filantropía.</t>
  </si>
  <si>
    <t xml:space="preserve">Se apoya a 12 estudiantes con mercados y apoyo económico </t>
  </si>
  <si>
    <t>https://itceduco-my.sharepoint.com/:w:/g/personal/pastoralpes_itc_edu_co/ESmT9kC79ixBoX0VuZHwRaIB_xCvyZFOQbwEWofwJ6Ayew?e=aIlzzx</t>
  </si>
  <si>
    <t>Ejecución 
(SICOLOGÍA)</t>
  </si>
  <si>
    <t>Proyecto de Salud Mental, líneas;
1. Docentes, Consecuentemente
2. Estudiantes, Sanamente</t>
  </si>
  <si>
    <t>1. Consecuentemente
Esta es la línea para maestros, se han diseñado 7 estrategias de salud mental que incluye, podcast (el cual se publicó por redes insitucionales el día lunes 24 de abril), catilla, infografía, 2 foros, conversatorio.  este material está para ser enviado a comunicaciones para realizar la respectiva carga en la página institucional.
En el mes de enero se aplicó un instrumento de salud mental a docentes con una participación de 58 y se elaboró el informe de caracterización de esta población
2. Sanamente
Línea para estudiantes, dentro del marco de la celebración de la semana de la salud Física y emocional se llevaron a cabo estategias para el fortalecimiento de la salud mental a través de una actividad masiva en conjunto con las áreas de enfermería y artes.
En la actualidad está diseñado el instrumento de caracterización, el cual se encuentra en revisión para aplicación en el mes de mayo.
3. Metelemente
Diseño de encuesta de necesidades a estudiantes, la respondieron 26 personas y de allí se definieron los temas a trabajar en el programa.
Se realizó reestructuración del espacio y se fijó cronograma de trabajo, la primera emisión se llevará a cabo el día 6  de mayo</t>
  </si>
  <si>
    <t>1. Consecuentemente
Esta es la línea para maestros, se han diseñado 5 estrategias de salud mental que incluye, podcast, folleto, póster, quiz y foro.  Este material está para ser enviado a comunicaciones para realizar la respectiva carga en la página institucional.                                                                                                                  2. Sanamente
Se realiza diseño de instrumento de caracterización en salud mental para estudiantes, el cual se aplicará en julio en proceso de inducción. 
Se aplica la estrategia "Viernes de sanamente" la cual es publicada en las redes sociales de la ETITC, de la cual se han publicado cuatro estrategias:
- Infografía: "¿Que es bienestar psicológico?
- Tik Tok:  hábitos de vida saludable
- Podcast: Mindfulness  
- Video: Capsulas para la inclusión los saludos.                                                                          3. Métele mente
Se  llevan a cabo cuatro programas "Métele Mente" que se transmiten en vivo a través del fb institucional , con 2367 reproducciones en total.
- Hablando de salud mental en la ETITC
- Hablemos de depresión
- Estrés y sus estrategias de abordaje
- Hablemos del duelo. 
4. Kennedy sin trabas
Se inicia un trabajo con la alcaldia de Kennedy que busca la prevención y manejo de consumo de SPA, asi como el fortalecimiento de la salud mental en las unidades de desarrollo de programas, en esta actividad participaron 150 estudiantes entre la escuela y la universidad pedagogica sede tintal.</t>
  </si>
  <si>
    <t>https://itceduco-my.sharepoint.com/personal/psicologia_itc_edu_co/_layouts/15/onedrive.aspx?id=%2Fpersonal%2Fpsicologia%5Fitc%5Fedu%5Fco%2FDocuments%2F2022%2FPLANEACI%C3%93N%2FSEGUNDO%20TRIMESTRE%2FSALUD%20MENTAL&amp;ga=1</t>
  </si>
  <si>
    <t>Proyecto "Yo me quiero, yo me cuido, yo decido bien"</t>
  </si>
  <si>
    <t>Proyecto ejecutado</t>
  </si>
  <si>
    <t>1. El lanzamiento del proyecto y socialización a la comunidad educativa, se realizará en el segundo semestre del año de esta actividad</t>
  </si>
  <si>
    <t>Seguimiento ACADEMICO estudiantes</t>
  </si>
  <si>
    <t xml:space="preserve">seguimiento académico a los estudiantes: 
1. Convenio SED
287 (se realiza a través de grupo de WhatsApp y correo electrónico)
2. EBRA
220 se realiza a través de la plataforma academusoft
- Estrategias diseñadas y compartidas por correo, se envían a todos los estudiantes matriculados de la ETITC, a través del correo electrónico, a la fecha se han diseñado y compartido 4, se realizan 2 por mes.
3. Monitorías
A la fecha 29 estudiantes han tomado el servicio a través de los 8 monitores que se encuentran activos.
</t>
  </si>
  <si>
    <t>seguimiento académico a los estudiantes: 
1. Convenio SED
287 (se realiza a través de grupo de WhatsApp y correo electrónico)
2. EBRA
220 se realiza a través de la plataforma academusoft
- Estrategias diseñadas y compartidas por correo, se envían a todos los estudiantes matriculados de la ETITC, a través del correo electrónico, a la fecha se han diseñado y compartido 4, se realizan 2 por mes.
3. Monitorías
A la fecha 29 estudiantes han tomado el servicio a través de los 8 monitores que se encuentran activos.</t>
  </si>
  <si>
    <t>https://itceduco-my.sharepoint.com/:f:/g/personal/psicologia_itc_edu_co/Eu-0aIegVYROt75_1FR2SYABjKwc84iikTtEad5H866Asw?e=KwyWna</t>
  </si>
  <si>
    <t>1. Acompañamiento individual;  atención en crisis, proceso de segumiento</t>
  </si>
  <si>
    <t>A la fecha se están atiendo 83 estudiantes de las sedes Centro, Tintal y Carvajal. Por ser información confidencial no se adjunto evidencia, el cargue se realiza en el sistema adviser.</t>
  </si>
  <si>
    <t>Durante el segundo trimestre se realizó acompañamiento a 56 personas entre estudiantes, docentes, administrativos de las sedes Centro, Tintal y Carvajal. Por ser información confidencial no se adjunto evidencia, el cargue se realiza en el sistema adviser.</t>
  </si>
  <si>
    <t>Ejecución
(ARTES)</t>
  </si>
  <si>
    <t>Proyecto La Cultura Somos Todos</t>
  </si>
  <si>
    <t>Se cuenta con 40 estudiantes 
15 en guitarra
10 Trabajo Vocal
3 Bajo eléctrico
1 Contrabajo
1 Violoncello
1 Contrabajo
2 Violín
10 Teclado
Docentes 3
2 guitarra
1 teclado
Administrativos 1
trabajo vocal</t>
  </si>
  <si>
    <t>https://itceduco-my.sharepoint.com/:f:/g/personal/musica_itc_edu_co/EipnNE1uGOpGish1xXBStYYBqcY_L-Nim3Whgku8SIM0Dw?e=NWMoFt</t>
  </si>
  <si>
    <t xml:space="preserve">e cuenta con 40 estudiantes 
15 en guitarra
10 Trabajo Vocal
3 Bajo eléctrico
1 Contrabajo
1 Violoncello
1 Contrabajo
2 Violín
10 Teclado
Docentes 3
2 guitarra
1 teclado
Administrativos 1
trabajo vocal
1. Video tik tok de difusión de actividades.
</t>
  </si>
  <si>
    <t>https://itceduco-my.sharepoint.com/:f:/g/personal/musica_itc_edu_co/Es_VkyHfeLhNoLZE7Vy58ScBJN-6kkeCtz5gqxKmDI1CuQ?e=6dhn9f   https://itceduco-my.sharepoint.com/:f:/g/personal/musica_itc_edu_co/EqnMrexJk2REmjx7JpHj2nIBjoxCZ7Z_VyD_YjykiBdiRQ?e=YAbDvD</t>
  </si>
  <si>
    <t>Apoyo actividades Institucionales</t>
  </si>
  <si>
    <t xml:space="preserve">2 eucaristias 
1 acompañamiento actividad imposición ceniza 
1 eucaristia bienvenida 
1 de febrero 
administrativos 20
sistemas 1
electromecànica 2
dibujo mecànico 1
ingenieria 1
total 25
2 de marzo 
estudiantes 710
docentes 40
administrativos 60
total 810 </t>
  </si>
  <si>
    <t>1. Apoyo acompañamiento musical ceremonia grados PES.
1000 participantes.
2. Apoyo actividad otras áreas reconciliación memoria, paz y justicia.
60 participantes. 
3. Acompañamiento musical SONÉTITC día del maestro.
302 Participantes.
4. Acompañamiento musical SONÉTIC iclusión mayo 
48 participantes.
5. Acompañamiento musical SONÉTITC inclusión junio.
110 participantes.
6. Eucaristia 
30 participantes. 
7. Actividades vacacionales
25 participantes.</t>
  </si>
  <si>
    <t>https://itceduco-my.sharepoint.com/:f:/g/personal/musica_itc_edu_co/Eub8R4lN5ZZOq-OquxdZlzwBNcNQueBCieEkprLW4k76og?e=Q4WBEw    https://itceduco-my.sharepoint.com/:f:/g/personal/musica_itc_edu_co/Es_VkyHfeLhNoLZE7Vy58ScBJN-6kkeCtz5gqxKmDI1CuQ?e=sNc7tc</t>
  </si>
  <si>
    <t>Gestión Cultural</t>
  </si>
  <si>
    <t>Gestiones realizadas</t>
  </si>
  <si>
    <t>4 agrupaciones musicales para la semana de la salud como eje transversal 
1 grupo danza urbana lunes  28 de marzo tintal
administrativos 5
docentes 4
estudiantes 150
total 159
1 grupo fusiòn llanera martes 29 de marzo carvajal
administrativos 6
docentes 6
estudiantes 60
total 72
1 grupo de teatro miercoles 30 marzo sede centro
administrativos 65
docentes 30
estudiantes 500
total 595
1 grupo danza y musica jueves 31 de marzo sede centro
administrativos 10
docentes 10
estudiantes 300
total 320</t>
  </si>
  <si>
    <t>https://itceduco-my.sharepoint.com/:f:/g/personal/musica_itc_edu_co/EseavQq2979Kq6wid0adFNcBphQdTGfxZCqKa0TlTZ6-1A?e=hZY9pV</t>
  </si>
  <si>
    <t xml:space="preserve">1. Gestión grupo danza urbana actividad alimenta tu bienestar.
450 Participantes. 
2. Gestión artistas formadores IDARTES actividades vacacionales.
2. Profesores en áreas artìsticas para talleres de 4 días de dos horas cada uno. 
2. Talleres artísticos para actividades vacacionales. 
     1. de artes plasticas
     1. de creación literaria 
</t>
  </si>
  <si>
    <t>https://itceduco-my.sharepoint.com/:f:/g/personal/musica_itc_edu_co/EoO0NEEyY9BIs_tq0LdgM-UBpb-C958nrqI3FEohINXShA?e=dLY7rg  https://itceduco-my.sharepoint.com/:f:/g/personal/musica_itc_edu_co/EnoXaxDZuRpIipXop_vqZ4IBD8Ft2PKT3B8xQsD_t4Vs2w?e=PWx2b9</t>
  </si>
  <si>
    <t>Ejecución
(TRABAJO SOCIAL)</t>
  </si>
  <si>
    <t>Proyecto Inclusión Educativa, Intercultural y de Género Para la Comunidad de Educación Superior de La ETITC “Inclúyeme" - Componente Diversidad Sexual y de género</t>
  </si>
  <si>
    <t xml:space="preserve">A la fecha se han llevado a cabo las siguientes acciones:
1. DIAGNÓSTICO PARTICIPATIVO DIVERSIDAD DE GÉNERO - 29-mar – 64 ESTUDIANTES PES
2. CONMEMORACIÓN DIA INTERNACIONAL DE LA MUJER - 8-mar – 141 ADMIN PES
3. CONMEMORACIÓN DIA DEL HOMBRE – 25-mar – 283 ADMIN PES
4. TALLER ID VIOLENCIAS Y RUTA DE ATENCIÓN DISTRITAL PARA CASOS VIOLENCIA CONTRA LA MUJER - 24-mar – 38 ADMINISTRATIVOS
5. ENCUENTRO VIRTUAL MUJERES ETITC - 4-mar -  4 DOCENTES ESTUDIANTES PES
</t>
  </si>
  <si>
    <t>https://itceduco-my.sharepoint.com/:f:/g/personal/bienestaruniversitario_itc_edu_co/Er9XSfgiSRdBuM8BurGbQWcB5hMTZ4CQF5nIhVSGOlzS7w?e=V7exz8</t>
  </si>
  <si>
    <t xml:space="preserve">A la fecha se han llevado a cabo las siguientes acciones:
• ZONA CENTRO - MUJERES EN LA INGENIERÍA -30-abr 58 participantes
• SOCIALIZACIÓN PROTOCOLO VBG - 19-abr al 4-may - 154 participantes
• INSTITUCIÓN AL DIA - FERIA DE SERVICIOS ETITC DIVERSA- 4-may -883 (REPRODUCCIONES)
• FERIA DE SERVICIOS ETITC DIVERSA - 12-may -  50 participantes
</t>
  </si>
  <si>
    <t>https://itceduco-my.sharepoint.com/:f:/g/personal/bienestaruniversitario_itc_edu_co/Eghz4lpwwPFAgyP1ZNuLjLgBVCjZ-punMQHXr_HjpQiNSw?e=kQSed1</t>
  </si>
  <si>
    <t>Proyecto Inclusión Educativa, Intercultural y de Género Para la Comunidad de Educación Superior de La ETITC “Inclúyeme" - Componente Discapacidad y Diversidad Intercultural</t>
  </si>
  <si>
    <t>A la fecha se han llevado a cabo las siguientes acciones:
1. CAPACITACIÒN ORUGA SALVAESCALERAS - 4-mar – 7 PARTICIPANTES ADMIN-ESTUDIANTES PES
2. CONSTRUCCIÓN POLÍTICA DE INCLUSIÓN</t>
  </si>
  <si>
    <t>A la fecha se han llevado a cabo las siguientes acciones:
• CAMPAÑA DE INCLUSIÓN PONTE EN MODO IN DISCAP MOTORA Y COGNITIVA - 24 may -  26 participantes
• GESTIÓN ALIANZA INCI - FENASCOL CAPACITACIÓN LENGUAJE INCLUYENTE.</t>
  </si>
  <si>
    <t>https://itceduco-my.sharepoint.com/:f:/g/personal/bienestaruniversitario_itc_edu_co/EpV5CWLqZ_NDhAOSE1h40bYBHAKIuXaBkbiAaffxBrb80w?e=C8pgHs</t>
  </si>
  <si>
    <t>Programa Apoyo y Promoción Socio económica</t>
  </si>
  <si>
    <t>levado a cabo las siguientes acciones:
1.	ENCUENTRO PRESENCIAL GENERACIÓN E - MEN - CHARLA DE EMPRENDIMIENTO - 25-feb – 165 ESTUDIANTES PES
2.	CARGUE INCENTIVO PERMANENCIA 2021-2 - 1-feb – 336 ESTUDIANTES PES
3.	RENOVACIÒN Y LEGALIZACIÒN DE CREDITOS ICETEX 2022-1 - 1-feb – 2 ESTUDIANTES PES
4.	RENOVACIONES BENEFICIARIOS GEN E 2022-1 - 1-feb – 292 ESTUDIANTES PES
5.	ENCUENTRO SOCIALIZACIÓN PROGRAMAS APOYO PROMOCIÓN SOCIO ECONÓMICA SEDE CARVAJAL - 23-mar – 61 ESTUDIANTES PES
6. ASESORÍAS INDIVIDUALES  JeA Y GEN E - FEB Y MARZO - 12 ESTUDIANTES PES</t>
  </si>
  <si>
    <t>A la fecha se han llevado a cabo las siguientes acciones:
• DEVOLUCIONES GEN E 10-mar 15-jun – 68 devoluciones
• ENCUENTRO BENEFICIARIOS GEN E 2022-1 - 18-may -  61 participantes
• CARGUE MATRICULA JeA 2022-1- 16-may a 18-may – 93 beneficiarios
• institución al día Jóvenes en Acción- 26-may -  906 REPRODUCCIONES
• Pre-registros JeA – 25 mayo – 30 junio – 17 estudiantes</t>
  </si>
  <si>
    <t>https://itceduco-my.sharepoint.com/:f:/g/personal/bienestaruniversitario_itc_edu_co/Eo6WliMigMBPlf_uBzkGiN8BG6HR8aB4xjVcCmBUNDq9GQ?e=nydzXG</t>
  </si>
  <si>
    <t>Proyecto Bienestar con Impacto social</t>
  </si>
  <si>
    <t xml:space="preserve">Llevado a cabo las siguientes acciones:
1. SOCIALIZACIÓN CARACTERIZACIÓN ESTUDIANTIL DOCENTES 2022-1 - 27-ene -  55 DOCENTES PES
2. RELACIÓN SECTOR EXTERNO - 22-mar – 8 PARTICIPANTES EMPRESA DECANOS PES
</t>
  </si>
  <si>
    <t>A la fecha se han llevado a cabo las siguientes acciones:
• UAT KENNEDY -8-abr- 28 participantes
• PROTOCOLO CONVIVENCIA UDPES TINTAL - 27-abr  5 participantes
• CONSULTA PROTOCOLO CONVIVENCIA UDPES TINTAL 10-may a  8-jun 19 participantes</t>
  </si>
  <si>
    <t>https://itceduco-my.sharepoint.com/:f:/g/personal/bienestaruniversitario_itc_edu_co/EiiCz1q757BDhqgu2llMxWoBRoY0XAglAEBcTG9tmHjrZw?e=Gd8Yqu</t>
  </si>
  <si>
    <t xml:space="preserve">PE-23- La catedra institucional de la Escuela </t>
  </si>
  <si>
    <t>ME-57- Diseñar e implementar  la catedra ETITC</t>
  </si>
  <si>
    <t xml:space="preserve">Diseñe e implementación </t>
  </si>
  <si>
    <t>Diseñar e implementar  la catedra ETITC</t>
  </si>
  <si>
    <t>% de diseño e implementación de la catedra ETITC alcanzado</t>
  </si>
  <si>
    <t>La catedra ETITC  diseñada e implementada</t>
  </si>
  <si>
    <t>1. El diseño se encuentra finalizado  y en la actualidad se está gestionando el lanzamiento de la catedra, prevista para el segundo semestre.</t>
  </si>
  <si>
    <t xml:space="preserve">Su ejecución continua a la espera de ser aprobada para su lanzamiento.
Se tiene estructuradas las electivas: Deportes y Artes. </t>
  </si>
  <si>
    <t>OE-1- Consolidar la calidad académica para la acreditación institucional de alta calidad respaldada fortalecimiento
de la gestión, la infraestructura tecnológica y física</t>
  </si>
  <si>
    <t>DESPACHO</t>
  </si>
  <si>
    <t>PE-3- Lenguas Extranjeras como oportunidad para la movilidad internacional</t>
  </si>
  <si>
    <t>ME-3- Desarrollar una política institucional de apropiación de una segunda lengua como parte activa de la gestión curricular, y condición para la titulación en el nivel de ingeniería, a partir del 2023.</t>
  </si>
  <si>
    <t>Adquisición de plataforma</t>
  </si>
  <si>
    <t>Adquirir una plataforma académica segundo idioma</t>
  </si>
  <si>
    <t>Porcentaje de programas de educación superior articulados a la política institucional de lengua extranjera</t>
  </si>
  <si>
    <t>Plataforma academica segundo idioma adquirida y puesta en marcha</t>
  </si>
  <si>
    <t xml:space="preserve">Se cuenta con los estudios previos, de igual manera se cuenta con el estudio de mercado.
Se han realizado 3 reuniones con los posibles oferentes de la plataforma (estudiantes docentes). También se han realizado reuniones con los usuarios de la plataforma una vez se adquiera, el aque se ha expresado la necesidad y la usabilidad del aplicativo. </t>
  </si>
  <si>
    <t>Estudios previos.</t>
  </si>
  <si>
    <t>Para la adquisición de la plataforma se cuenta con los estudios previos (avalados por la Oficina de Jurídica Contratación), se proyecta publicar el proceso en SECOP el 12 de julio, y se surtira un proceso por selección abreviada, se cuenta con el CDP 14722.</t>
  </si>
  <si>
    <t>Estudios previos y CDP aprobado.</t>
  </si>
  <si>
    <t>PE1. Acreditación Institucional de Alta Calidad</t>
  </si>
  <si>
    <t xml:space="preserve">Prestación de servicios profesionales </t>
  </si>
  <si>
    <t xml:space="preserve">Prestación servicios profesionales apoyo a la gestión. actividades del Despacho </t>
  </si>
  <si>
    <t>Ejecución contractual. Prestación de servicios en las actividades del Despacho de la Escuela Tecnológica Instituto Técnico Central</t>
  </si>
  <si>
    <t>Actualmente se ejecuta el Contrato 159 - 2022, vigente desde el 1° de marzo hasta el 15 de noviembre de 2022.</t>
  </si>
  <si>
    <t xml:space="preserve">El Cto 159 se continua ejecutando con normalidad. </t>
  </si>
  <si>
    <t xml:space="preserve">Acta de inicio
Plan de trabajo </t>
  </si>
  <si>
    <t>PE-4- Modelo de gestión académica curricular soportada en resultados de aprendizaje y competencias</t>
  </si>
  <si>
    <t>ME-4- Implementar el modelo de evaluación por resultados de aprendizaje y competencias, soportado en los lineamientos del MEN y el  sistema interno de aseguramiento de la calidad académica.</t>
  </si>
  <si>
    <t>Formulación e implementación</t>
  </si>
  <si>
    <t>Capacitación para profesores en resultados de aprendizaje, sus estrategias didacticas y su evaluación.</t>
  </si>
  <si>
    <t>Número de Syllabus actualizados</t>
  </si>
  <si>
    <t xml:space="preserve">Esta actividad se proyecta realizar durante el 3° trimestre de la vigencia. </t>
  </si>
  <si>
    <t xml:space="preserve">La jornadas pedagógicas se realizaran del 18 de julio al 29 de julio. </t>
  </si>
  <si>
    <t>Diseño y evaluación microcurricular soportada en resultados de aprendizaje y competencias</t>
  </si>
  <si>
    <t>Diseño  y evaluación microcurricular soportada en resultados de aprendizaje y competencias</t>
  </si>
  <si>
    <t>Porcentaje de programas de educación superior articulados al modelo de evaluación por resultados de aprendizaje y competencias</t>
  </si>
  <si>
    <t>Diseño y evaluación microcurricular realizada</t>
  </si>
  <si>
    <t xml:space="preserve">Actualmente se ejecuta el contrato 091 de 2022. Se realizo el estudio inspección de completitud de 425 Syllabus.
</t>
  </si>
  <si>
    <t xml:space="preserve">Matriz en construcción </t>
  </si>
  <si>
    <t>Documentos estructurados</t>
  </si>
  <si>
    <t xml:space="preserve">Actualmente se desarrolla el Contrato para la creación de estudios maestros para 3 especializaciones (Instrumentación industrial, manteimiento industrial y Gestión y construcción de redes de media tensión).
Desde la vigencia 2021 se cuenta con las especializaciones: Diseño y Gestión de Sistemas y Dispositivos para Internet de las Cosas, Seguridad y Salud en el Trabajo. </t>
  </si>
  <si>
    <t xml:space="preserve">Esta actividad se ha cumplido a cabalidad a la fecha. </t>
  </si>
  <si>
    <t>ME-30-  Lograr al 2024, que el 50% de los programas con registro calificado en la modalidad presencial  esten convertidos a modalidad semipresencial (blended).</t>
  </si>
  <si>
    <t>Esta actividad se aclarará durante el 2° semestre de la vigencia, de acuerdo a la directiva Ministerial  09 de 2021.</t>
  </si>
  <si>
    <t>El 14 de junio se presentó la consideración al Consejo Académico, este órgano recomendo hacer uso de las TIC para flexibilizar algunas asignaturas de los programas.</t>
  </si>
  <si>
    <t xml:space="preserve">Acta de reunión del Consejo Académico </t>
  </si>
  <si>
    <t>OE-3- Fortalecer el ecosistema de funcionalidades digitales para la gestión y el desarrollo de la actividad
misional mediante el uso de las TIC.</t>
  </si>
  <si>
    <t>FACULTAD DE ELECTROMECÁNICA</t>
  </si>
  <si>
    <t xml:space="preserve">2° Fase del proyecto aulas para alternancia </t>
  </si>
  <si>
    <t>Elementos adquiridos y con soporte técnico</t>
  </si>
  <si>
    <t xml:space="preserve">Para la vigencia 2022, se proyecta implementar nuevos equipos de vanguardia, para lo que se han adquirido entre febrero y marzo de la vigencia (2° fase del proyecto APA) 313 elementos e instrumentos. </t>
  </si>
  <si>
    <t>Contratos ejecutados</t>
  </si>
  <si>
    <t xml:space="preserve">Se aprobo adición al Cto 301 de 2021, por $ 335.000.000, en efecto se pretende adquirir juegos de pantallas para la alternancia. </t>
  </si>
  <si>
    <t xml:space="preserve">Adición al contrato </t>
  </si>
  <si>
    <t xml:space="preserve">Laboratorio de Inmotica y control industrial </t>
  </si>
  <si>
    <t xml:space="preserve">Con la empresa Schneider Electric de Colombia SAS, se adquirieron 2 laboratorios de inmódica y de control industrial, a través de los contratos 336 de 2021 y 351 de 2021; por $591.453.000. Actualmente ya se firmaron las pólizas de cumplimiento. </t>
  </si>
  <si>
    <t>Polízas Firmadas</t>
  </si>
  <si>
    <t xml:space="preserve">Se cuenta con los documentos necesarios para el pago de anticipo de los dos contratos, necesario para el desarrollo del proyecto. </t>
  </si>
  <si>
    <r>
      <rPr>
        <b/>
        <sz val="14"/>
        <color theme="1"/>
        <rFont val="Calibri"/>
        <family val="2"/>
        <scheme val="minor"/>
      </rPr>
      <t>ME-17- Adecuar las capacidades tecnológicas para atender las necesidades de los procesos misionales.</t>
    </r>
  </si>
  <si>
    <t>Solicitud de ofertas</t>
  </si>
  <si>
    <t>Certificar a docentes y estudiantes en nuevas tecnologías de software</t>
  </si>
  <si>
    <t>Docentes y estudintes certificados en nuevas tecnologias de software</t>
  </si>
  <si>
    <t>A través del Semillero Fabricación digital se efectúan licencias en Solidworks, para la formación de estudiantes (70) y docentes (7, en manejo de software en 24 módulos distintos</t>
  </si>
  <si>
    <t xml:space="preserve">Se ha brindado acompañamiento al área de Informáticas y comunicaciones para la renovación de las licencias. 
Se adelantaron los estudios previos para brindar a estudiantes y doncentes dos cursos diferentes, se esta a la espera del ajuste estos. </t>
  </si>
  <si>
    <t>EOE-11-Aumentar la cobertura mediante programas de educación superior diferenciados,
con alta pertinencia regional.</t>
  </si>
  <si>
    <t xml:space="preserve">PE-27-   Diseñar y ofertar nuevos programas de pregrado con alta pertinencia regional rural
</t>
  </si>
  <si>
    <t>ME-71-  Estructurar  y gestionar el registro de   Pregrado en Ingeniería de energías por ciclos.</t>
  </si>
  <si>
    <t>Diseño y construcción de los nuevos plan de estudios de a nivel de pregrado. Ingenieria en Energias.</t>
  </si>
  <si>
    <t>Porcentaje Registro del pregrado en Ingeniería de energías por ciclos alcanzado</t>
  </si>
  <si>
    <t xml:space="preserve">Actualmente la Facultad se encuentra en fase de investigación para elaborar un PEP sobre Ingenieria en Energias por ciclos propedeuticos. Esta actividad se proyecta consolidar durante el 4° trimestre de la vigencia. </t>
  </si>
  <si>
    <t>PE-1- Acreditación Institucional de Alta Calidad</t>
  </si>
  <si>
    <t>Documentos maestros y syllabus  actualizados</t>
  </si>
  <si>
    <t xml:space="preserve">El documento Maestro de Ingeniería (técnico, tecnología, profesional), no ha tenido cambios durante el 2022, debido a que no se han solicitado cambios desde la V. Académica.
Los Sylabus no han tenido modificaciones, ya que se evalúa una modificación en el formato de los mismos con el fin de integrar resultados de aprendizaje </t>
  </si>
  <si>
    <t xml:space="preserve">La actualización de los documentos maestros esta sujeto a los lineamientos del PEI, PLC, DOC. Orientador de programa y PEP 2016 y los lineamientos del Syllabus, en este sentido la actualización se encuentra en un 80%.
La actualización de los Syllabus se sujeta al cambio de los formatos respectivos integrando y modificando los aspectos necesarios. </t>
  </si>
  <si>
    <t xml:space="preserve">Borrador del Documento a actualizar </t>
  </si>
  <si>
    <t>Desarrollar las actividades del Plan de Mejoramiento 2021- 2022</t>
  </si>
  <si>
    <t>Actividades consolidadas</t>
  </si>
  <si>
    <t xml:space="preserve">Con relación al plan de mejoramiento, se ha estructurado un documento que integra los diferentes elementos que surgieron de temas como registro calificado y acreditación, se muestra las 16 actividades a desarrollar. </t>
  </si>
  <si>
    <t xml:space="preserve">Documento consolidado </t>
  </si>
  <si>
    <t xml:space="preserve">Las actividades del Plan de Mejoramiento 2021- 2022 se han adelantado según lo pactado, como evidencia se presenta la matriz de seguimiento a las acciones puntuales. </t>
  </si>
  <si>
    <t xml:space="preserve">Evidencia de las actividades ejecutadas </t>
  </si>
  <si>
    <t>PE-5- MIPG y Los sistemas de gestión para una gobernanza transparente</t>
  </si>
  <si>
    <t>Profesional de Apoyo Facultad para el apoyo de la gestión</t>
  </si>
  <si>
    <t xml:space="preserve"> Profesional de Apoyo Facultad para el apoyo de la gestión</t>
  </si>
  <si>
    <t>Actualmente se cuenta con el profesional, incorporado mediante el Cto- 076-2022</t>
  </si>
  <si>
    <t>Planificación</t>
  </si>
  <si>
    <t xml:space="preserve">Capacitación a docentes 
Formación en temas de resultado de aprendizaje.
</t>
  </si>
  <si>
    <t>Porcentaje de programas de educación superior articulados al modelo de evaluación por resultados de aprendizaje y competencias.</t>
  </si>
  <si>
    <t>Docentes capacitados</t>
  </si>
  <si>
    <t xml:space="preserve">1. Se llevaron a cabo 6 jornada de capacitación durante la semana de inducción 2022, a docentes.
El 24 de enero se realizó una capacitación sobre “Programa Educativo de Programa”, cuya temática fue: Aspecto Enfoque pedagógico, funciones sustantivas, participaron 40 docentes.
2. Con relación al Modelo de gestión académica soportado en resultados de aprendizaje y competencias y en miras de consolidad un nuevo PEP, se realizó un comparativo exhaustivo con diferentes universidades de carácter nacional e internacional, en diferentes temáticas académicas, competencias, con el fin de fortalecer la configuración del nuevo PEP.
La primera versión el PEP, fue remitido a la Vicerrectoría Académica para su revisión y ajuste. 
El Plan de estudios de ingeniería electromecánica por ciclos propedéuticos, se está actualizando según los análisis realizados por los diferentes docentes de la facultad a través de las diferentes mesas de trabajo
</t>
  </si>
  <si>
    <t>Listas de asistencia 
Borrador del documento PEP</t>
  </si>
  <si>
    <t>Para el 1° semestre de la vigencia se realizaron las capacitaciones propias del programa</t>
  </si>
  <si>
    <t xml:space="preserve">PE-6- Egresados como embajadores institucionales </t>
  </si>
  <si>
    <t>Apoyo en la implementación del SADE</t>
  </si>
  <si>
    <t>Porcentaje de implementación del SADE.</t>
  </si>
  <si>
    <t>Listados de asistencia, grabaciones de egresados y participación a reuniones y capacitaciones</t>
  </si>
  <si>
    <t xml:space="preserve">El 24 de febreros se realizó un Foro presencial con la temática “cables para el futuro”. Se contó con la participación de 5 instituciones.
19 de marzo. Con el apoyo del CONTE se realizó un encuentro presencial, con la temática “Normatividad y cultura de la legalidad”. Se contó con la participación de 5 instituciones.
</t>
  </si>
  <si>
    <t xml:space="preserve">Listas de Asistencia </t>
  </si>
  <si>
    <t>OE.4- Fortalecer la visibilidad de la escuela bajo en entorno de asertividad para el posicionamiento
nacional e internacional.</t>
  </si>
  <si>
    <t>PE12. Internacionalización para ampliar fronteras del conocimiento</t>
  </si>
  <si>
    <t xml:space="preserve">Planificación y ejecución </t>
  </si>
  <si>
    <t>Participación en eventos como: Encuentro RIEM 2022</t>
  </si>
  <si>
    <t>LIstados de asistencia y grabaciones al encuentro RIEM 2022</t>
  </si>
  <si>
    <t>Esta atividad aun no tiene avances, se proyecta para el 4° trimestre de la vigencia</t>
  </si>
  <si>
    <t>Movilidad de docentes y estudiantes (Académica)</t>
  </si>
  <si>
    <t>Movilidades Nacionales. Inscripiciones, pasajes,  y auxilio de viaje (estudiantes)</t>
  </si>
  <si>
    <t xml:space="preserve">Proecesos de movilidad ejecutados </t>
  </si>
  <si>
    <t xml:space="preserve">A través de convenios con la ECCI Universidad y la Uniminuto, los estudiantes que cumplen unas ciertas características (80% de sus materias académicas), tienen la oportunidad de  continuar sus estudios de posgrado en diferentes materias (iniciar estudios de posgrado).
</t>
  </si>
  <si>
    <t>Se cuenta con la solicitud de movilidad para una estudiante al evento ACOFI en Cartagena, con la ponencia energias alternativas, energia fotovolcaica (Tesis de Grado)</t>
  </si>
  <si>
    <t>OE-7- Implementar programas y acciones para asegurar la permanencia de los estudiantes.</t>
  </si>
  <si>
    <t>Visita a empresas del sector y actividades de acercamiento</t>
  </si>
  <si>
    <t>Grabaciones y listados de visita a empresas del sector y actividades realizadas</t>
  </si>
  <si>
    <t xml:space="preserve">El pasado enero de la vigencia, el Decano de la Facultad realizo una vista al SENA sede Cazucá, con fines de generar alianzas.
Desde la Decanatura se cuenta con 188 estudiantes inscritos a las ofertas de 10 empresas. A dichos estudiantes se les socializa las diferentes ofertas laborales. </t>
  </si>
  <si>
    <t>En compañía de 7 docentes se realizo una movilidad a la universidad los Libertadores (1 de abril), como temática: Vehiculos eléctricos, para evaluar un tunel de viento.</t>
  </si>
  <si>
    <t>Evidencias fotografica de la movilidad</t>
  </si>
  <si>
    <t xml:space="preserve">Estudiantes CREA </t>
  </si>
  <si>
    <t xml:space="preserve">Dentro del Proyecto CREA, se tiene 4 estudiantes incritos. </t>
  </si>
  <si>
    <t xml:space="preserve">Dentro del Proyecto CREA, se tiene 4 estudiantes incritos. 
En la materia Matematicas: Abril (9 estudiantes) 16 horas, mayo(12 estudiantes) - junio (14 estudiantes )17 horas de acompañamiento. </t>
  </si>
  <si>
    <t xml:space="preserve">Informe de gestión </t>
  </si>
  <si>
    <t>Vehiculo Eléctrico y documentación asociada, cotizaciones, facturas de compra, remisiones.</t>
  </si>
  <si>
    <t>Programa de fortalecimiento de grupos y de investigación implementado</t>
  </si>
  <si>
    <t>Proceso pre y contractual realizado</t>
  </si>
  <si>
    <t xml:space="preserve">El proyecto se encuentra en fase de diseño, al cual se integran 5 ingenieros, se han llevado a cabo 4 reuniones durante el 1° trimestre de la vigencia .  </t>
  </si>
  <si>
    <t xml:space="preserve">Se cuenta con los estudios previos terminados y verificados, de igual manera se estructuro el estudio de mercado. 
El proyecto tuvo una consultoría.  </t>
  </si>
  <si>
    <t>OE-9-La Extensión y la Proyección social como aporte al desarrollo de capacidades.</t>
  </si>
  <si>
    <t xml:space="preserve">ME-50- Consolidar y fortalecer el vínculo entre empresa, estado - academia ETITC
</t>
  </si>
  <si>
    <t>Número de empresas vinculadas por diferentes factores con la ETITC/ 40 *100</t>
  </si>
  <si>
    <t>FACULTAD DE MECATRÓNICA</t>
  </si>
  <si>
    <t>Actividades de movilidad e internacionalización</t>
  </si>
  <si>
    <t>Grabaciones, fotos soporte de las actividades de movilidad e internacionalización</t>
  </si>
  <si>
    <t>El Docente, Rafael Cepeda participo en el Congreso CICE en  Ecuador.</t>
  </si>
  <si>
    <t xml:space="preserve">Carta de asistencia </t>
  </si>
  <si>
    <t>Movilidades Nacionales. Inscripciones, pasajes, viáticos (Docentes)</t>
  </si>
  <si>
    <t>Esta actividad se proyecta para el 2° semestre del año</t>
  </si>
  <si>
    <t>Movilidades Internacionales (estudiantes)</t>
  </si>
  <si>
    <t>Movilidades Internacionales (docentes)</t>
  </si>
  <si>
    <t>El Docente, Rafael Cepeda participo en el Congreso CICE en   Ecuador.</t>
  </si>
  <si>
    <t>Movilidades (Asistencia Encuentro con redes Acofi, Congreso Acofi, asistencia a eventos nacionales e internacionals en representación de la ETITC) Decanos y Vicerrector Academico</t>
  </si>
  <si>
    <t>Esta actividad se realizara en el 2° trimestre de la vigencia</t>
  </si>
  <si>
    <t>Encuentro Nacional RIIMA - Red de Ingenieria Mecatronica (Decanos y Directores de programa)</t>
  </si>
  <si>
    <t>Esta actividad se realizara en el 2° Y 3° trimestre de la vigencia</t>
  </si>
  <si>
    <t>Infomatrix 2022</t>
  </si>
  <si>
    <t xml:space="preserve">OE-8-Fortalecer y fomentar la innovación institucional y
social, a través de un modelo de innovación y transferencia tecnológica que aporte a la visibilidad de la
producción científica y académica de la Institución, a
la gestión de la producción intelectual de investigadores y al establecimiento de alianzas con actores del
SNCTI, Estado, Empresa y Academia para actividades
de I+D+I. </t>
  </si>
  <si>
    <t>ME-47- Fortalecer las redes de innovación y alianzas estratégicas de cooperación con otros actores del Sistema Nacional de Ciencia Tecnología e Innovación – SNCTI, sector público, privado y academia para actividades de Investigación, Desarrollo e Innovación - I+D+i.</t>
  </si>
  <si>
    <t>Relaciones estratégicas con otros actores del SNCTI</t>
  </si>
  <si>
    <t>Participación en eventos</t>
  </si>
  <si>
    <t xml:space="preserve">Se tienen identificadas las temáticas y los actores que acompañaran en este evento. Se evaluara durante el 2° trimestre de la vigencia </t>
  </si>
  <si>
    <t>ME-11-Implementar el Sistema de Acompañamiento al desarrollo del Egresado - SADE., con responsabilidad social y académica.</t>
  </si>
  <si>
    <t xml:space="preserve">Seguimiento y consolidación </t>
  </si>
  <si>
    <t>Fortalecimiento comunidad egresados</t>
  </si>
  <si>
    <t>Evento fortalecimiento habilidades y competencias egresados facultad Mecatronica</t>
  </si>
  <si>
    <t xml:space="preserve">Se está realizando el diseño de la asociación de egresa de mecatrónica, apoyados por los egresados Nicolás Castiblanco y Jessi Castiblanco. Esta asociación busca que los estudiantes usen Software de tipo campus, para que los egresados los puedan utilizar, empresa IMPULSA COLOMBIA. </t>
  </si>
  <si>
    <t>Se proyecta realizar esta actividad con Bienestar Universitario en el Evento RIIMA</t>
  </si>
  <si>
    <t>PE5. MIPG y Los sistemas de gestión para una gobernanza transparente</t>
  </si>
  <si>
    <t xml:space="preserve">Perfeccionamiento el contrato </t>
  </si>
  <si>
    <t>La actividades son ejecutadas por la profesional Marcela Escobar, Hasta el 30 de noviembre 078-2022</t>
  </si>
  <si>
    <t xml:space="preserve">Auxiliar Administrativo Facultad </t>
  </si>
  <si>
    <t>La actividades son ejecutadas por Martha Rodriguez, hasta el 30 de noviembre 093-2022</t>
  </si>
  <si>
    <t>Fortalecimiento de competencias disciplinares de los profesores de la facultad.</t>
  </si>
  <si>
    <t>Procesos de capacitación ejecutados</t>
  </si>
  <si>
    <t xml:space="preserve">Se está realizando capacitaciones en: Matlab (96 entre estudiantes y docentes) y Labview (22 docentes). Se adelanta el proceso para 60 certificaciones.
Desde la facultad se capacitan docentes del IBTI ( 3 en LabView) </t>
  </si>
  <si>
    <t xml:space="preserve">Plan de capacitaciones </t>
  </si>
  <si>
    <t>FACULTAD DE PROCESOS INDUSTRIALES</t>
  </si>
  <si>
    <t xml:space="preserve">La ETITC realizo el respectivo aporte para participar en el V Encuentro de la Red de Programas de Ingeniería Industrial
Nodo Centro, 29 de abril de 2022 ($2.000.000).
Durante el mes de marzo se enviaron 7 resúmenes para participar en el evento EIEI en el mes de septiembre.
La ETITC partipará en el 10° congreso internacional "Nuevas tendencias  en la gestión del conocimiento en ingeniería", del 9 al 14 de mayo. En dicho encuentro participaran 10 universidades. 
</t>
  </si>
  <si>
    <t>https://itceduco-my.sharepoint.com/:f:/g/personal/procesos_itc_edu_co/EsrxrLcyDCVCk9SL-mWNID8BIP55yoHgN1Jckgvh8fTk8w?e=WM6qGu</t>
  </si>
  <si>
    <t xml:space="preserve">El 29 de abril se llevo a cabo el V Encuentro de la Red de programas de Ingeniería Industrial nodo Centro. Retos de la integración digital en las organizaciones, participaron 37 asistentes y 3 administrativos. 
Con relación al levento EIEI ACOFI 2022 participaran 4 estudiantes y 3 docentes, este se realizará del 13 al 16 de septiembre.
La ETITC partipará en el 10° congreso internacional "Nuevas tendencias  en la gestión del conocimiento en ingeniería", del 9 al 14 de mayo. En dicho encuentro participaran 10 universidades, cuyos temas fueron desglobalización y cadena de suministro, Transformación digital, Transformación energética. 
</t>
  </si>
  <si>
    <t>Listados de asistencia</t>
  </si>
  <si>
    <t>La Decana Luisa Goméz, participó en la reunión de la Asociación Colombiana de de Facultad de Ingenieria (Barranquilla- marzo 22)</t>
  </si>
  <si>
    <t xml:space="preserve">El Ingeniero carlos F. tuvo 2 ponencias en el  V Encuentro de la Red de programas de Ingeniería Industrial nodo Centro.
</t>
  </si>
  <si>
    <t>Tenemos el agrado de ofrecerles la participación de una beca al 100% que nos ha facilitado Ferris State University para participar del Programa "Global Engagement e-Certificate", para alumnos de Latino América a participar del programa no académico, co-curricular, con una duración de 10 semanas comenzando el día 7 de Febrero, 2022.</t>
  </si>
  <si>
    <t xml:space="preserve">Esta actividad se proyecta realizar durante el 2° semestre de la vigencia </t>
  </si>
  <si>
    <t>La Decana Luisa Goméz, participó en la reunión de la Asociación Colombiana de de Facultad de Ingenieria (Barranquilla- marzo 22)
Durante el mes de marzo se enviaron 7 resúmenes para participar en el evento EIEI en el mes de septiembre.</t>
  </si>
  <si>
    <t>Con relación al evento EIEI ACOFI 2022 participaran 4 estudiantes y 3 docentes, este se realizará del 13 al 16 de septiembre.
En el marco del evento anteriormente mencionado se realizará un evento con la red ACOFI.
Invitación  a la reunión de la Red de Programas de Ingeniería Industrial (REDIN) nodo centro, que se realizo el jueves 23 de junio de 10:00 horas a 16:00 horas, de forma presencial, en las instalaciones de la Corporación Universitaria del Meta (Carrera 32 # 35 – 19, Villavicencio, Meta).
Invitación Reunión de directores de Programa de Ingeniería Industrial, que se realizará el próximo 13 de septiembre en la ciudad de Cartagena de indias, entre las 14:00 horas y las 19:00 horas. Esta jornada es una actividad sin costo y tiene por objetivo fomentar el diálogo y la colaboración entre los directivos y académicos de los programas de Ingeniería Industriala nivel nacional, buscando articular estrategias interinstitucionales que aporten a la formación y al ejercicio profesional. Puede hacer su registro a través del siguiente enlace: https://www.acofi.edu.co/eventos/reunion-directores-de-programa-de-ingenieria-industrial/De la misma manera, nos permitimos invitarle al Encuentro Internacional en Educación en Ingeniería (EIEI ACOFI 2022). “Nuevas Realidades para la Educación en Ingeniería: Currículo, Tecnología, medio Ambiente y Desarrollo”. Todos los detalles los encuentra en https://www.acofi.edu.co/eiei2022/.</t>
  </si>
  <si>
    <t>Membresías</t>
  </si>
  <si>
    <t>Se cuenta con los estudios previos de para obtener la membresía con ACOSEND, sin embargo este proceso se surtira una vez finalice la Ley de garantías</t>
  </si>
  <si>
    <t xml:space="preserve">Alojamiento experto internacional en X Congreso Internacional en gestión del conocimiento en Ing. </t>
  </si>
  <si>
    <t>La ETITC partipará en el 10 ° congreso internacional "Nuevas tendencias  en la gestión del conocimiento en ingeniería", del 9 al 14 de mayo. En dicho encuentro participaran 10 universidades. Como invitado participará el docente Leonardo Casteras.</t>
  </si>
  <si>
    <t>El profesional Leonardo Casteras tuvo participación en el X Congreso Internacional en gestión del conocimiento en Ingenieria, con la temática "Diversificación de la matriz y nuevas tecnologías para la transición energética" del 9 al 13 de mayo.</t>
  </si>
  <si>
    <t>V Encuentro de la red de programa de ingeniería Industrial</t>
  </si>
  <si>
    <t>La ETITC realizo el respectivo aporte para participar en el V Encuentro de la Red de Programas de Ingeniería Industrial
Nodo Centro, 29 de abril de 2022 ($2.000.000).</t>
  </si>
  <si>
    <t xml:space="preserve">El 29 de abril se llevo a cabo el V Encuentro de la Red de programas de Ingeniería Industrial nodo Centro. Retos de la integración digital en las organizaciones, participaron 37 asistentes y 3 administrativos. 
</t>
  </si>
  <si>
    <t>Eventos con egresados</t>
  </si>
  <si>
    <t>Evento fortaleciemiento habilidades y competencias egresados facultad Procesos</t>
  </si>
  <si>
    <t xml:space="preserve">Se han extendido invitaciones a egresados para contar con su participación en los diferentes eventos que se realizan desde la Facultad y desde la Escuela.
También se ha realizado la actualización de base de datos, creación de grupos por correo electrónico y whatsapp Se construyo la encuesta "Percepción del egresado en porcesos de actualización e innovación". </t>
  </si>
  <si>
    <t xml:space="preserve">De manera permanente se envia información institucional a los egresados, entre estas se envió la encuesta en procesos de actualización e innovación. 
Se cuenta con un grupo a través de correo y de whatsapp, para dar continuidad a las relaciones con egresados. </t>
  </si>
  <si>
    <t>PE-4- Modelo de gestión académica curricular soportada en resultados de
aprendizaje y competencias</t>
  </si>
  <si>
    <t xml:space="preserve">Formulación e implementación </t>
  </si>
  <si>
    <t>Reunión docentes facultad para mejora curricular del programa</t>
  </si>
  <si>
    <t xml:space="preserve">Se realizo una reunión con docentes para definir los resultados de aprendizaje en el área de Procesos de manofactura y producción, contó con la participación de 20 profesores. 
Reunión de proyectos integradores con docentes (una reunión quincenal), participan en promedio 20 docentes. </t>
  </si>
  <si>
    <t xml:space="preserve">Para conseguir una mejora curricular, se llevo a cabo una encuesta "mejora currular en la Facultad de Procesos", se contó con 54 respuestas (34 docentes 20 estudiantes).
Se realiza seguimiento continuo a las actividades del proyecto integrador de esta manera se muestran las actividades, los compromisos y temáticas puntuales tratadas en las diferentes reuniones. </t>
  </si>
  <si>
    <t xml:space="preserve">Evidencia audiovisual del evento </t>
  </si>
  <si>
    <t xml:space="preserve">Actualización </t>
  </si>
  <si>
    <t xml:space="preserve">Perfeccionamiento del contrato y ejecución </t>
  </si>
  <si>
    <t>Apoyo a la gestión en la Decanatura de Procesos Industriales</t>
  </si>
  <si>
    <t>Ejecucióin contractual</t>
  </si>
  <si>
    <t xml:space="preserve">Actualmente se ejecuta el Cto - 079 de 2022. </t>
  </si>
  <si>
    <t>PE-9-  Tecnologías de información y comunicaciones al servicio de la academia y la ciencia</t>
  </si>
  <si>
    <t xml:space="preserve">Fortalecimiento tecnológico </t>
  </si>
  <si>
    <t>Renovación licencia FlexSim</t>
  </si>
  <si>
    <t xml:space="preserve">Se cuenta con los estudios previos , estos se encuentran en revisión por la Oficina de Jurídica Contratación. </t>
  </si>
  <si>
    <t xml:space="preserve">Borrador de estudios previso </t>
  </si>
  <si>
    <t>Capacitación en manejo de software especializado Flexsim (por 3 asistentes)</t>
  </si>
  <si>
    <t>Capacitación en manejo de software especializado Flexsim 2 (por 3 asistentes)</t>
  </si>
  <si>
    <t xml:space="preserve">esta aactividad no ha tenido avance. </t>
  </si>
  <si>
    <t xml:space="preserve"> PE-18- Fortalecimiento permanente en Competencias en investigación, ciencia, tecnología e innovación en la ETITC   </t>
  </si>
  <si>
    <t xml:space="preserve">ME-43- Diseñar  e implementar  un Programa de capacitación permanente para la Investigación, Ciencia, Tecnología e Innovación y de fortalecimiento de la investigación en la ETITC. </t>
  </si>
  <si>
    <t>Programa de capacitación permanente implementado</t>
  </si>
  <si>
    <t>Certificación Lean Mangement como opción de grado</t>
  </si>
  <si>
    <t xml:space="preserve">La certificación se encuentra vigente hasta el 30 de junio, por ende, esta actividad se proyecta realizar durante el 2° semestre de la vigencia. </t>
  </si>
  <si>
    <t xml:space="preserve">Con relación a la licencia de lean Management se cuenta con los estudios previos, estudio de mercado y CDP.  </t>
  </si>
  <si>
    <t xml:space="preserve">Estudios previos, estudio de mercado y CDP.  </t>
  </si>
  <si>
    <t xml:space="preserve">PE-21- Proyección Social más allá de las fronteras
</t>
  </si>
  <si>
    <r>
      <rPr>
        <b/>
        <sz val="14"/>
        <color theme="1"/>
        <rFont val="Calibri"/>
        <family val="2"/>
        <scheme val="minor"/>
      </rPr>
      <t>ME-54- Estructurar programa de oferta de servicios</t>
    </r>
    <r>
      <rPr>
        <b/>
        <sz val="14"/>
        <color rgb="FFFF0000"/>
        <rFont val="Calibri"/>
        <family val="2"/>
        <scheme val="minor"/>
      </rPr>
      <t xml:space="preserve"> </t>
    </r>
    <r>
      <rPr>
        <b/>
        <sz val="14"/>
        <color theme="1"/>
        <rFont val="Calibri"/>
        <family val="2"/>
        <scheme val="minor"/>
      </rPr>
      <t>proyección social</t>
    </r>
  </si>
  <si>
    <t>Fortalecimiento curricular</t>
  </si>
  <si>
    <t>Oferta de cursos, propuestos por la facultad a la Oficina de extension. e-learning FlexSim</t>
  </si>
  <si>
    <t>Programas de proyección social estructurados</t>
  </si>
  <si>
    <t>Se reallizo una capacitación en Sofware FlexSim, epsecificamente en el modilo estadístico, participaron 10 docentes (19, 20 y 24 de enero).</t>
  </si>
  <si>
    <t>ME-70-  Estructurar  y gestionar el registro de   Pregrado en Ingeniería Ambiental por ciclos.</t>
  </si>
  <si>
    <t>Diseño y formulación</t>
  </si>
  <si>
    <t>Diseño y construcción de los nuevos plan de estudios a nivel de pregrado. Ingenieria Ambiental.
(Estructuración de documento maestro para la o Pregrado)</t>
  </si>
  <si>
    <t>Porcentaje Registro del pregrado en Ingeniería Ambiental por ciclos alcanzado</t>
  </si>
  <si>
    <t>Diseño y construcción del nuevo programa 
(PFC)</t>
  </si>
  <si>
    <t xml:space="preserve">Esta actividad se proyecta realizar durante el 2° semestre de la vigencia. </t>
  </si>
  <si>
    <t xml:space="preserve">Se cuenta con los Estudios previos, mismos que se encuetran en evaluación por la Oficina de Juridica Contratación. 
Se recibio una propuesta por parte de la señora  Maria Cristina Corrales, esta cuenta con 7 etapas 
1. Estudio de factibilidad
2. Identificación   de   sello   distintivo   y   rasgos   diferenciales.
3. Estudio  de  tendencias  asociadas  a  los  objetos  de  estudio  del programa  académicod
4. Construcción de condiciones de calidad.
5. Construcción de Proyecto Educativo del Programa –PEP
6. Apoyo en la construcción de syllabus.
7. Elaboración de documentos síntesis </t>
  </si>
  <si>
    <t xml:space="preserve">Propuesta </t>
  </si>
  <si>
    <t>FACULTAD DE MECÁNICA</t>
  </si>
  <si>
    <t>PE- 12- Internacionalización para ampliar fronteras del conocimiento</t>
  </si>
  <si>
    <t>Movilidades Nacionales. Inscripiciones, pasajes,  y auxilio de viaje,(estudiantes y/o profesores)</t>
  </si>
  <si>
    <t>Porcentaje de implementación de la politica Institucional de internacionalización y coperación nacional e internacional</t>
  </si>
  <si>
    <t>Participación en eventos de movilidad académica</t>
  </si>
  <si>
    <t xml:space="preserve">Desde los Proyectos Integradores con estudiantes y docentes se esta realizando el rediseño de los vehiculos de tracción eléctrica y humano a nivel académico. </t>
  </si>
  <si>
    <t xml:space="preserve">Desde los Proyectos Integradores con estudiantes y docentes, se está realizando el rediseño de los vehiculos de tracción eléctrica y humano a nivel académico. </t>
  </si>
  <si>
    <t>Desde la Facultad no se ha participado en eventos durante el 1° trimestre.</t>
  </si>
  <si>
    <t>ME-69- Estructurar y gestionar el registro de Pregrado en Ingeniería Agrícola por ciclos</t>
  </si>
  <si>
    <t xml:space="preserve">Proceso de calidad </t>
  </si>
  <si>
    <t xml:space="preserve">Surtir el proceso para solicitar el registro calificado del pregrado en ingenieria Agricola por ciclos </t>
  </si>
  <si>
    <t>Porcentaje Registro del pregrado en Ingeniería Agrícola por ciclos alcanzado</t>
  </si>
  <si>
    <t xml:space="preserve">Los documentos maestros para el pregrado en ingenieria Agricola por ciclos se encuentran elaborados, paso siguiente se surtirá un proceso de tipo institucional para verificar la viabilidad de este programa en la ETITC. 
Desde Autoevaluación </t>
  </si>
  <si>
    <t xml:space="preserve">Documentación en evaluación institucional </t>
  </si>
  <si>
    <t>FACULTAD DE SISTEMAS</t>
  </si>
  <si>
    <t>Perfeccionamiento y desarrollo del contrato</t>
  </si>
  <si>
    <t>Actualmente se ejecuta el Cto- 080 2022, por un valor $33.960.500</t>
  </si>
  <si>
    <t xml:space="preserve">El Cto 080 se continua ejecutando con normalidad. 
</t>
  </si>
  <si>
    <t>Convocatoria y desarrollo de las sesiones</t>
  </si>
  <si>
    <t>Reunión Gestión Curricular</t>
  </si>
  <si>
    <t>Sesiones realizadas</t>
  </si>
  <si>
    <t>En Enero se instauró el Comité Curricular de Facultad. El 14 de febrero se realizo la 1° sesión del Comité (declaración del Comité), y el 31 de marzo la segunda sesión (resultados de aprendizaje del programa)</t>
  </si>
  <si>
    <t xml:space="preserve">Actas del Comité Curricular de Facultad. </t>
  </si>
  <si>
    <t xml:space="preserve">Reuniones </t>
  </si>
  <si>
    <t>Actualizar el PEP de la facultad</t>
  </si>
  <si>
    <t>PEP de la Facultad de Sistemas actualizados</t>
  </si>
  <si>
    <t>Para el 1° trimestre de la vigencia la actualización del PEP se encuentra en un 40%. Matriz de resultados de aprendizaje actualizada</t>
  </si>
  <si>
    <t>Matriz de resultados de aprendizaje actualizada</t>
  </si>
  <si>
    <t>La actualización del PEP esta sujeto a las directrices consignadas en borrador el PEI, el documento se encuentra en un avance del 65%.</t>
  </si>
  <si>
    <t xml:space="preserve">Documento en elaboración </t>
  </si>
  <si>
    <t xml:space="preserve">Formación y capacitación </t>
  </si>
  <si>
    <t xml:space="preserve">Proceso de formación realizado </t>
  </si>
  <si>
    <t xml:space="preserve">Se hizó el lanzamiento de las iniciativas:
Competencias en Google Cloud (16 participantes )
SEC-COUNCIL (27 participantes). Sin embargo se extendió la invitación a los 52 docentes de la Facultad. </t>
  </si>
  <si>
    <t>Correos electrónicos</t>
  </si>
  <si>
    <t xml:space="preserve">Actualmente se adelanta un proceso con el SEC-COUNCIL, este tieen como fin validar la certificación CTT.
El respectivo entrenamiento se realizo desde abril hasta junio.
Se llevo a cabo un acercamiento con la Universidad de Bostón. 
Se participó en el evento la Marcha de Sombreros Blancos, en el que participaron: 1 docente, 1 egresado y un estudiante.
</t>
  </si>
  <si>
    <t xml:space="preserve">Certificación del docente </t>
  </si>
  <si>
    <t>Formación complementaria - profesores de la facultad.</t>
  </si>
  <si>
    <t>Proceso de capacitación realizado</t>
  </si>
  <si>
    <t>Bienestar universitario</t>
  </si>
  <si>
    <t>Se realizaron actividades: 
Día del docentes. Actividades lúdicas.</t>
  </si>
  <si>
    <t>Listado de asistencia</t>
  </si>
  <si>
    <t>Proyecto Articulador</t>
  </si>
  <si>
    <t>Proyecto Articulador diseñado e implementado</t>
  </si>
  <si>
    <t xml:space="preserve">Para el 1° trimestre de la vigencia se realizo difusión masiva  a estudiantes y docentes para su incripción, así mismo se dio claridad acerca del espacio en el que se realizará el seguimiento al proyecto articulador </t>
  </si>
  <si>
    <t xml:space="preserve">Con respecto a proyecto PACS, el 27 de mayo y 1° de junio se llearon a cabo los evento  de sustentación de 12 proyectos, a través de estas sesiones se  reconocieron lecciones aprendidas en el desarrollo de la estrategia. </t>
  </si>
  <si>
    <t>Listas de asistencia a los eventos realizados</t>
  </si>
  <si>
    <t>Seminario de ingeniería de Sistemas</t>
  </si>
  <si>
    <t>Actividad realizada</t>
  </si>
  <si>
    <t xml:space="preserve">Esta actividad se proyecta realizar durante el 2° trimestre de la vigencia. </t>
  </si>
  <si>
    <t>Para esta actividad durante el mes de mayo se realizaron 3 sesiones con la tematica de ética en la investigación, " Formando la personalidad empre de los fururos profesionales de la ingenieÍia a partir de las habilidades blandas"</t>
  </si>
  <si>
    <t>Evento, fortaleciemiento habilidades y competencias egresados facultad</t>
  </si>
  <si>
    <t>Evento realizado</t>
  </si>
  <si>
    <t xml:space="preserve">Con relación a la iniciativa SEC-COUNCIL un egresado inscribio la certificación en Ethical hacking.
Con la compañia CEED, se realizo la formación en DRUPAL 
 desde 22 de enero hasta 2 de marzo, participaron 3 egresados. </t>
  </si>
  <si>
    <t xml:space="preserve">Evidencias de las clases realizadas
Listados de incripción </t>
  </si>
  <si>
    <t xml:space="preserve">Se llevo a cabo un acercamiento con la Universidad de Bostón.
Se socializo con todos los egresados indformación acerca de la iniciativa de MinTic Haling Sugurudad.  </t>
  </si>
  <si>
    <t xml:space="preserve">Poster informativo </t>
  </si>
  <si>
    <t>PE-12- Internacionalización para ampliar fronteras del conocimiento</t>
  </si>
  <si>
    <t>Movilidades Nacionales. Inscripiciones, pasajes,  y viaticos</t>
  </si>
  <si>
    <t>Encuetro Nacional REDIS - Redde decanos y directores de Ingeniería de Sistemas</t>
  </si>
  <si>
    <t>Grabación de eventos, y documentos que verifiquen la participación en eventos de movilidad académica</t>
  </si>
  <si>
    <t xml:space="preserve">Se participo en el evento RED-FI en los meses de abril y mayo, con la temática: Tendencias en la comisión para la ingieneria.
Se participo en los encuentros plenarias de REDIS durante los meses abril, mayo, junio. </t>
  </si>
  <si>
    <t xml:space="preserve">Se realizo la socialización en el sitio web intitucional para recibir los respectivos proyectos, la cual se proyecta realizar a finales del mes de mayo. </t>
  </si>
  <si>
    <t xml:space="preserve">Información en sitio web </t>
  </si>
  <si>
    <t xml:space="preserve">La actividad fue realizada en el mes de mayo (21), se contó con la presencia de 100 participación.   </t>
  </si>
  <si>
    <t>Inscripción de equipos Maratón nacional de programación</t>
  </si>
  <si>
    <t xml:space="preserve">Se proyecta participar con 3 equipos, y se encuentra a la espera de fechas para el respesctivo evento  </t>
  </si>
  <si>
    <t xml:space="preserve">La ETITC interactuó en 3 diferentes sesiones (24 de febrero, 3 y 10 de marzo) con estudiantes y docentes de la Universidad San Marcos de Costa Rica. "Potenciando humanidad a través de la comunicación"  </t>
  </si>
  <si>
    <t>Evidencias de las sesiones realizadas</t>
  </si>
  <si>
    <t xml:space="preserve">La ETITC interactuo en 3 diferentes sesiones (24 de febrero, 3 y 10 de marzo) con estudiantes y docentes (Jackeline Prieto) de la Universidad San Marcos de Costa Rica. "Potenciando humanidad a través de la comunicación " 
 </t>
  </si>
  <si>
    <t xml:space="preserve">Se participo en un evento de la Universidad de Boston los días 1° y 2° de junio. 
</t>
  </si>
  <si>
    <t xml:space="preserve">En el marco de la Asamble nacional de ACOFI, el Decano de la Facultad participó en la sesión realizada en Barranquilla (17 y 18 de marzo)
Desde el 28 de marzo se contó con la movilidad del Decano de la Facultad de la Universidad Técnica de Bulgaria. </t>
  </si>
  <si>
    <t>Certificados de asistencia</t>
  </si>
  <si>
    <t xml:space="preserve">Se participo en el evento de la universidad de Sofia del 27 de mayo al 4 de junio </t>
  </si>
  <si>
    <t>Renovación</t>
  </si>
  <si>
    <t>Renovación licencia Enterprise Archictect</t>
  </si>
  <si>
    <t>Renovación adquirida</t>
  </si>
  <si>
    <t>Se envio la solicitud al personal de Mesa de ayuda para la renovación del Software.</t>
  </si>
  <si>
    <t>Correo eléctronico</t>
  </si>
  <si>
    <t>Kits de informática forense (3) y formación</t>
  </si>
  <si>
    <t>Instrumento adquirido</t>
  </si>
  <si>
    <t xml:space="preserve">Se realizo una solicitud de cotización con la empresa MSAB, para determinar el valor de la herramienta en mención. </t>
  </si>
  <si>
    <t>PE-14- Nuevos programas  de pregrado y posgrado</t>
  </si>
  <si>
    <t>ME-29-  Lograr  al 2023 el Registro Calificado de 1 Especialización Profesional, 1 Especialización Tecnológica, al 2024, 1 carrera profesional por ciclos y 1 Maestría.</t>
  </si>
  <si>
    <t>Desarrollo contractual</t>
  </si>
  <si>
    <t>Diseño y construcción del programa de Maestría relacionada con Seguridad Informática (Estudio de Factibilidad)</t>
  </si>
  <si>
    <t>Documento elaborados
(PFC)</t>
  </si>
  <si>
    <t>Con corte a 30 de marzo se cuenta con el informe de avance (estudio de viabilidad y factibilidad)</t>
  </si>
  <si>
    <t xml:space="preserve">Desde la vigencia 2021 se ejecutó el contrato 327, a la fecha se cuenta con los estudios de factibilidad, desde la Facultad de Sistemas se realizará un analisis para determinar la necesidad de correcciones a los estudios previos, posteriormente se realizará una socialización ante el Vicerrector Acádemico, paso siguiente si se determina la oportunidad se realizará la respectiva presentación ante el Concejo Acádemico.
Se encuentran en elaboración los estudios previos para la contratacióin de los 
anexos técnicos   </t>
  </si>
  <si>
    <t>Convocatoria, perfeccionamiento y desarrollo contractual</t>
  </si>
  <si>
    <t>Diseño y construcción del programa de Maestría relacionada con Seguirdad Informática (Documento mestro y anexos)</t>
  </si>
  <si>
    <t>Documento elaborados</t>
  </si>
  <si>
    <t>FACULTAD DE ESPECIALIZACIONES</t>
  </si>
  <si>
    <t>Diseño y construcción de todos los documentos y anexos necesarios para las tres (3) nuevas especializaciones (cambio de caracter académico)</t>
  </si>
  <si>
    <t>Documentos diseñados y estructurados</t>
  </si>
  <si>
    <t>Con la ayuda de un grupo de asesores externos se está elaborando los respectivos documentos para la estructuración de las 3 especializaciones, estos se entregaran el 31 de agosto. ($120.000.000)</t>
  </si>
  <si>
    <t xml:space="preserve">Documentos maestros </t>
  </si>
  <si>
    <t>El pasado 21 de junio se realizo un Consejo académico extraordinario, en el cual y a través  del procedimiento GDA- PC- 02 procedimiento de registro calificado (y para las 3 especializaciones), se mostró la consolidación de los 3 primeros pasos del procedimiento en mención: 1. Necesidad académica. 2. Análisis de oportunidad y pertinencia. 3. Aprobación de factibilidad y /o Viabilidad del programa. El 4° paso "Elaboración del documentos maestros" se surtira a más tardar en agosto de la presente vigencia.  
Los  contratos 315, 317 y 325 de 2022 finalizan en el mes de agosto.</t>
  </si>
  <si>
    <t xml:space="preserve">Acta de reunión </t>
  </si>
  <si>
    <t>OE-10-Establecer un nuevo acuerdo ambiental mediante una
política institucional ambiental y la catedra institucional
en la ETITC.</t>
  </si>
  <si>
    <t>PE-26- Actualización de la infraestructura física, cumpliendo normativas aplicables y generando espacios adecuados para el desarrollo de actividades académicas y de bienestar en un el marco de la sostenibilidad</t>
  </si>
  <si>
    <t>ME-68- Gestionar las dotaciones de las instalaciones y sede principal para la permanencia y aumento de la oferta</t>
  </si>
  <si>
    <t>Ambiente especializado de aprendizaje y ensayos de Lubricación: Compra de elementos laboratorio, Formación docentes, Adecuación espacios</t>
  </si>
  <si>
    <t xml:space="preserve">Dos Luxometros y 2 Sonómetros con sus respectivas bases </t>
  </si>
  <si>
    <t>Porcentaje de las dotaciones nuevas instaladas y mantenimiento de las dotaciones existentes</t>
  </si>
  <si>
    <t>Equipos instalados y entregados</t>
  </si>
  <si>
    <t>Desde la vigencia 2021 se cuenta con los estudios previos, se proyecta realziar durante el 2 trimestre de la vigencia. Se espera el concepto desde la Oficina de Contratación para reactivar el proyecto.</t>
  </si>
  <si>
    <t xml:space="preserve">El viernes 24 de junio se hizo una reunión con la Oficina de Juridica Contratación, en este espacio se realizó una evaluación acerca de la factibilidad en las diferentes 3 propuestas, se esta a la espera de que se tome la desición acerca del oferente más óptimo. </t>
  </si>
  <si>
    <t xml:space="preserve">2. Diseño de estructuración, implementación y seguimiento del laboratorio </t>
  </si>
  <si>
    <t>Organizar el espacio adecuado para el "Laboratorio de Metrología"</t>
  </si>
  <si>
    <t>Espacios adecuados 
(PFC)</t>
  </si>
  <si>
    <t xml:space="preserve">Se envio corros a 8 proveedores de los cuales 3 han dado respuesta. Este proyecto cuenta con 7 fases. 
Se proyecta para el 21 de abril una reunión con e Instituto Nacional de Metrología </t>
  </si>
  <si>
    <t xml:space="preserve">Solicitudes y cotizaciones enviadas </t>
  </si>
  <si>
    <t xml:space="preserve">Se realizó una reunión (7 de junio) con la Oficina de Planeación en la que se determino que este proyecto se estructurará en 7 fases, la primera de ellas será el diagnóstico, este tendrá un valor de $6.000.000 MTE ; se tiene pendiente la elaboración del estudio previo por parte del Profesional Enrique C. de la Oficina de Jurídica Contratación. </t>
  </si>
  <si>
    <t>Documentos de presentación oferentes</t>
  </si>
  <si>
    <t>BIBLIOTECA Y MEDIOS EDUCATIVOS</t>
  </si>
  <si>
    <t>Actualización y mejoramiento</t>
  </si>
  <si>
    <t>Prestación de servicios para el correcto funcionamiento del área</t>
  </si>
  <si>
    <t>Actualmente se cuenta con 2 contratistas en el área Cto 106- 20222 y Cto-105 de 2022. $ 40.162.500.</t>
  </si>
  <si>
    <t xml:space="preserve">Los Ctos 105 y 106 de 2022, se ejecutan con normalidad. </t>
  </si>
  <si>
    <t xml:space="preserve">Actas de inicio y plan de trabajo mensual </t>
  </si>
  <si>
    <t>Renovación ejecutada</t>
  </si>
  <si>
    <t>El contrato de la vigencia 2021 continua hasta septiembre de la vigencia 2022, en dado caso de necesitar actualizar los recursos bibliograficos se surtira el debido proceso.</t>
  </si>
  <si>
    <t>A través del contrato 253 de 2021 se realiza la actualización de contenidos para la biblioteca digital, se proyecta su renovación durantel el mes de septiembre</t>
  </si>
  <si>
    <t xml:space="preserve">Renovación de contenidos y servicios   para la Biblioteca Digital E-Books 7-24, como apoyo a las actividades académicas e investigación de la comunidad en general durante doce (12).  Editorial mc. Graw Hill </t>
  </si>
  <si>
    <t xml:space="preserve">Con las diferentes decanaturas y el IBTI, se esta recopilando la información acerca de los recursos bibliográficos que son necesarios de actualizar para la vigencia.  </t>
  </si>
  <si>
    <t xml:space="preserve">Se proyecta realizar la reactivación del proceso durante el mes de septiembre. </t>
  </si>
  <si>
    <t>Renovación Servicio Especializado de Metabiblioteca (servidor en internet modalidad cloud services) de los Sistemas Koha, OJS, Dspace y la implementacion del sistema Metaproxy, Soportes Digitales de Información.</t>
  </si>
  <si>
    <t>El contrato de la vigencia 2021 continua hasta septiembre de la vigencia 2022, en dado caso de ncesitar actualizar los recursos bibliograficos se surtira el debido proceso.</t>
  </si>
  <si>
    <t>Digitalización Proyectos de Grado para Repositorio Institucional</t>
  </si>
  <si>
    <t>Digitalización realizada</t>
  </si>
  <si>
    <t xml:space="preserve">El área se encuentra en comunicación constante con los autores de lo Proyectos de grado, con el fin de solicitar la autorización de digitalizar dichos documentos. </t>
  </si>
  <si>
    <t xml:space="preserve">Avance de Trabajos de grado adelantados </t>
  </si>
  <si>
    <t>Actualización de material bibliográfico impreso</t>
  </si>
  <si>
    <t>Elementos bibliograficos adquiridos</t>
  </si>
  <si>
    <t>Los Institucional: La transformación cultural de la ETITC</t>
  </si>
  <si>
    <t>TALLERES Y LABORATORIOS</t>
  </si>
  <si>
    <t>PE-9 Tecnologías de información y comunicaciones al servicio de la academia y la ciencia</t>
  </si>
  <si>
    <t>ME-17 Adecuar las capacidades tecnológicas para atender las necesidades de los procesos misionales.</t>
  </si>
  <si>
    <t>3. Mantenimiento de laboratorios  ETITC</t>
  </si>
  <si>
    <t>Mantenimiento de horno de inducción y mexcladora de rulos (Fundición)</t>
  </si>
  <si>
    <t xml:space="preserve">Mantenimiento realizado </t>
  </si>
  <si>
    <t>El CTO 158  de 2022, se encuentra publicado y se esta a la espera de la contratación.</t>
  </si>
  <si>
    <t>SECOP ll</t>
  </si>
  <si>
    <t>SUMINISTRO DE GASES INDUSTRIALES PARA LOS TALLERES DE METALISTERIA, FUNDICIÓN, TRATAMIENTOS TÉRMICOS, MODELERÍA Y MOTORES, MEDIANTE LA FORMA DE MONTO AGOTABLE, DE LA ESCUELA TECNOLÓGICA INSTITUTO TÉCNICO CENTRAL</t>
  </si>
  <si>
    <t xml:space="preserve">Esta actividad se esta desarrollando a través del proceso IP017- 2022. Se ejecutará a lo largo de la vigencia ($20.515.600). </t>
  </si>
  <si>
    <t>Proceso contractual 
 IP017- 2022</t>
  </si>
  <si>
    <t xml:space="preserve">El Cto 169 de 2022 se ejecuta con normalidad, a través de este se realiza el sumistro de los gases necesarios para el funcionamiento de los talleres y laboratorios. </t>
  </si>
  <si>
    <t xml:space="preserve">Ejecución Contractual </t>
  </si>
  <si>
    <t>Adquisición de materiales para los laboratorios de quimica y fisica</t>
  </si>
  <si>
    <t>Estan en elaboración los estudios previos y estudio de mercado.</t>
  </si>
  <si>
    <t>A través del Cto 182 de 2022, con la empresa Norquimicos LTDA,  se adquirió la totalidad de los insumos.</t>
  </si>
  <si>
    <t>Mantenimiento de las impresoras del taller de diseño</t>
  </si>
  <si>
    <t>Los estudios previos se encuentran en corrección por parte de la  Oficina de Contratación; de la mano de la profesional Claudia se ajusta el documento, posteriormente se realizará la publicación del mismo.
Se cuenta con el CDP N° 13422.</t>
  </si>
  <si>
    <t>Mantenimiento preventivo, correctivo y calibración de los equipos del taller de electrónica.</t>
  </si>
  <si>
    <t>Los estudios previos se encuentran en corrección por parte de la  Oficina de Contratación; de la mano de la profesional Enrique Cardoso, se ajusta el documento, posteriormente se realizará la publicación del mismo.</t>
  </si>
  <si>
    <t>Mantenimiento preventivo, correctivo de equipos y maquinaria del taller de Metalisteria</t>
  </si>
  <si>
    <t xml:space="preserve">Se cuenta con el borrador de los estudios previos, se esta a la espera de la designación de padrino por parte de la Oficina de Contratación. </t>
  </si>
  <si>
    <t>CDP Y borrador de los EP</t>
  </si>
  <si>
    <t>Mantenimiento y calibración para los equipos del taller de Motores, para el desarrollo de las clases teorico-practicas en apoyo a IBTI, PES y extensión y desarrollo</t>
  </si>
  <si>
    <t xml:space="preserve">Mantenimiento y calibración de: Motores monofasicos, trifasicos, transformadores monofasicos y trifasicos, torrecilla para medidas y máquinas electrícas DL 1013M3, multimetros, osciloscopios, módulos inductivos, capacitivos y resistivos DL Lorenzo, cámara termográfica, analizador de redes, variacs. </t>
  </si>
  <si>
    <t>Se cuenta con el CDP N° 10622, se cuenta con la estructuración adecuada de los estudios previos</t>
  </si>
  <si>
    <t xml:space="preserve">CDP aprobado </t>
  </si>
  <si>
    <t>Mantenimiento preventivo y correctivo y calibración de los equipos:
1. Taller de Mecánica
2. Taller de Automatización industrial
3.Taller de FAB LAB
4. Taller de insustria 4.0
5.Taller instalaciones eléctricas B.T.
6.Taller de domótica
7. taller de tratamientos térmicos.</t>
  </si>
  <si>
    <t>Se realiza el mantenimiento preventivo al taller de Mecánica (1 semestre 2022), Cto 368- 2021 (valor de prorroga 57.500.000).</t>
  </si>
  <si>
    <t xml:space="preserve">Ejecución del contrato Cto 368- 2021 </t>
  </si>
  <si>
    <r>
      <rPr>
        <b/>
        <sz val="14"/>
        <rFont val="Calibri"/>
        <family val="2"/>
        <scheme val="minor"/>
      </rPr>
      <t>Taller de Mecánica:</t>
    </r>
    <r>
      <rPr>
        <sz val="14"/>
        <rFont val="Calibri"/>
        <family val="2"/>
        <scheme val="minor"/>
      </rPr>
      <t xml:space="preserve"> Se cuenta con el CDP N° 
</t>
    </r>
  </si>
  <si>
    <t>4. Adquisición de elementos e insumos para los laboratorios ETITC</t>
  </si>
  <si>
    <t>Adquisición de insumos para: 
1. Taller de fundición
2. Taller de diseño</t>
  </si>
  <si>
    <t>La adquisición de insumos para el taller de Diseño se realizará a través del proceso: IP 020 de 2022. CDP 10222. $29.190.861</t>
  </si>
  <si>
    <t>Proceso contractual 
 IP020- 2022</t>
  </si>
  <si>
    <r>
      <rPr>
        <b/>
        <sz val="14"/>
        <rFont val="Calibri"/>
        <family val="2"/>
        <scheme val="minor"/>
      </rPr>
      <t>Taller de diseño</t>
    </r>
    <r>
      <rPr>
        <sz val="14"/>
        <rFont val="Calibri"/>
        <family val="2"/>
        <scheme val="minor"/>
      </rPr>
      <t xml:space="preserve">: se ejecuto con normalidad el Cto 175 de 2022.
</t>
    </r>
    <r>
      <rPr>
        <b/>
        <sz val="14"/>
        <rFont val="Calibri"/>
        <family val="2"/>
        <scheme val="minor"/>
      </rPr>
      <t xml:space="preserve">Taller proseso: </t>
    </r>
    <r>
      <rPr>
        <sz val="14"/>
        <rFont val="Calibri"/>
        <family val="2"/>
        <scheme val="minor"/>
      </rPr>
      <t>Se encuentra en proceso la</t>
    </r>
    <r>
      <rPr>
        <b/>
        <sz val="14"/>
        <rFont val="Calibri"/>
        <family val="2"/>
        <scheme val="minor"/>
      </rPr>
      <t xml:space="preserve"> </t>
    </r>
    <r>
      <rPr>
        <sz val="14"/>
        <rFont val="Calibri"/>
        <family val="2"/>
        <scheme val="minor"/>
      </rPr>
      <t>SIE 022,  se encuentra en proceso de adjudicación (75.811.543).</t>
    </r>
  </si>
  <si>
    <t>Se esta la etapa pre contractual (solicitud de cotizaciones, estudios previos, estudios de mercado).</t>
  </si>
  <si>
    <r>
      <rPr>
        <b/>
        <sz val="14"/>
        <rFont val="Calibri"/>
        <family val="2"/>
        <scheme val="minor"/>
      </rPr>
      <t>Con relación al Taller de Mecánica:</t>
    </r>
    <r>
      <rPr>
        <sz val="14"/>
        <rFont val="Calibri"/>
        <family val="2"/>
        <scheme val="minor"/>
      </rPr>
      <t xml:space="preserve"> Se cuenta con el CDP aprobado  14522, por un valor  150.065.409.
</t>
    </r>
    <r>
      <rPr>
        <b/>
        <sz val="14"/>
        <rFont val="Calibri"/>
        <family val="2"/>
        <scheme val="minor"/>
      </rPr>
      <t xml:space="preserve">Con relación al Taller de modelería: </t>
    </r>
    <r>
      <rPr>
        <sz val="14"/>
        <rFont val="Calibri"/>
        <family val="2"/>
        <scheme val="minor"/>
      </rPr>
      <t xml:space="preserve">Se cuenta con el  CDP 14122 por  $82.000.000
</t>
    </r>
    <r>
      <rPr>
        <b/>
        <sz val="14"/>
        <rFont val="Calibri"/>
        <family val="2"/>
        <scheme val="minor"/>
      </rPr>
      <t xml:space="preserve">Con relación al taller de Automatización industrial: </t>
    </r>
    <r>
      <rPr>
        <sz val="14"/>
        <rFont val="Calibri"/>
        <family val="2"/>
        <scheme val="minor"/>
      </rPr>
      <t>Los estudios previos se encuentran en revisión por la Oficina de Contratación.
Se solicitaron las cotizaciones de los talleres de Tratamientos térmicos y Domótica.</t>
    </r>
  </si>
  <si>
    <t xml:space="preserve">Mantenimiento de equipos de laboratorio quimica y fisica </t>
  </si>
  <si>
    <t>Se revisara la factibilidad para la ejecución de esta actividad.</t>
  </si>
  <si>
    <t>Compra de equipos de instrumentación como apoyo a las actividades académicas para los estudiantes de IBTI y PES de talleres y Laboratorios del taller de electrónica.</t>
  </si>
  <si>
    <t>Se encuentra en la etapa pre contractual (solicitud de cotizaciones, estudios previos, estudios de mercado).
Se esta realizando el diagnóstico de elementos requeridos en el taller respectivo.</t>
  </si>
  <si>
    <t xml:space="preserve">Se radicaron los estudios previos, y se esta a la espera de la aprobación de los estudios previos. </t>
  </si>
  <si>
    <t>Suministro de insumos para el desarrollo de las actividades academico tecnicas  de los PES, IBTI y Programas de extension del taller de Metalisteria</t>
  </si>
  <si>
    <t xml:space="preserve">Se esta la etapa pre contractual (solicitud de cotizaciones, estudios previos, estudios de mercado).
</t>
  </si>
  <si>
    <t>Se cuenta con el CDP 13922 por $27.761.200</t>
  </si>
  <si>
    <t>Presentación digital de los talleres y laboratorios</t>
  </si>
  <si>
    <t>ESTA ACTIVIDAD NO ESTA APROBADA NI PRIORIZADA.</t>
  </si>
  <si>
    <t xml:space="preserve">Se cuenta con los borradores de 13 talleres, estos se enviaron a Conmunicaciones. Quedan faltando 3 talleres. </t>
  </si>
  <si>
    <t xml:space="preserve">5. Diseño, estructuración, implementación  y seguimiento del laboratorio </t>
  </si>
  <si>
    <t>Haciendo uso de los estudios previos realizados con anterioridad por parte de los profesionales del área, se plantea una reunión para el mes de agosto, con el fin de estructurar EP con factibilidad y viabilidad</t>
  </si>
  <si>
    <t xml:space="preserve">implementaciòn </t>
  </si>
  <si>
    <t>Contratación Laboratoristas</t>
  </si>
  <si>
    <t xml:space="preserve">Los Contratos: 061, 062,063, 064, 065, 066, 067, 068,069, 070, 071, 072, 073, 074, 075, 104 y 143 de 2022 se ejecutan con normalidad y tienen vigencia hasta el 30 de noviembre. </t>
  </si>
  <si>
    <t xml:space="preserve">OE-5- Consolidar la infraestructura física de la Escuela para el desarrollo de la academia y la consolidación
de las nuevas apuestas institucionales. </t>
  </si>
  <si>
    <t>INSTALACIONES KENNEDY</t>
  </si>
  <si>
    <t>PE-13- Gestión integral de inmuebles</t>
  </si>
  <si>
    <t>ME-26 Formular el plan de administración e intervención  de las instalaciones en comodato Localidad Kennedy</t>
  </si>
  <si>
    <t xml:space="preserve">Diagnóstico, implemnetación y ejecución </t>
  </si>
  <si>
    <t>Diagnóstico de necesidades de mantenimiento de la infraestructura eléctrica de las instalaciones del Tintal y Carvajal -  Contratación de un profesional que brinde el apoyo en el mantenimiento del sistema eléctrico del Tintal y Carvajal.</t>
  </si>
  <si>
    <t>Porcentaje de formulación del Plan de administración e intervención de las instalaciones en comodato.</t>
  </si>
  <si>
    <t>Diagnóstico realizado</t>
  </si>
  <si>
    <t>El diagnóstico de necesidades de mantenimiento de la infraestructura eléctrica de las instalaciones del Tintal y Carvajal fue realizado durante el mes de febrero, con base en lo anterior se realizo un plan de trabajo el cual será desarrollado a través de la vigencia. 
Actualmente se desarrolla el Cto-  con normalidad.</t>
  </si>
  <si>
    <t>Plan de trabajo Planta Física . Infraestructura Eléctrica</t>
  </si>
  <si>
    <t>Mantener las instalaciones de Kennedy en óptimas condiciones.</t>
  </si>
  <si>
    <t xml:space="preserve">Diagnóstico de necesidadedes para el  desarrollo de las actividades misionales de las instalaciones Tintal y Carvajal -  Contratación de cuatro profesionales que brinden el  servicio en el área de enfermeria Carvajal , psicología, tallerista medios audiovisuales, apoyo talleres y laboratorios  y biblioteca. </t>
  </si>
  <si>
    <t xml:space="preserve">Se surtieron los procesos contractuales en la sede Tintal para la Enfermeria, psicología. 
Se cuenta con personal de planta en el enfermeria de la Sede Carvajal, apoyo de medios audiovisuales y sistemas en la Sede Tintal. 
Se proyecta surtir los respectivos procesos para los talleristas y bibliotecologos una vez se reciban los espacios en adecuado funcionamiento. </t>
  </si>
  <si>
    <t xml:space="preserve">Actas de incio. </t>
  </si>
  <si>
    <t>Porcentaje de ejecución del Plan de administración e intervención de las instalaciones en comodato.</t>
  </si>
  <si>
    <t>Dotar los talleres y laboratorios de las instalaciones Kennedy</t>
  </si>
  <si>
    <t xml:space="preserve">Esta actividad se proyecta para el 2° semestre de la vigencia. </t>
  </si>
  <si>
    <t>Diagnóstico de la necesidad estratégica,implementación - estudio de mercado. Ejecución- compra de los elementos y reclutamiento de un profesional para soporte tecnológico.</t>
  </si>
  <si>
    <t xml:space="preserve">Para el tema de conectividad se realizaron compras e instalaciones necesarias. </t>
  </si>
  <si>
    <t>VICERRECTORIA ACADÉMICA</t>
  </si>
  <si>
    <t>VICERRECTORIA DE INVESTIGACIÓN EXTENSIÓN Y TRANSFERENCIA</t>
  </si>
  <si>
    <t>Los social: Un acuerdo para lo fundamenta</t>
  </si>
  <si>
    <t>OBJETIVO ESTRATÉGICO
OE-8
Fortalecer y fomentar la innovación institucional y social, a través de un modelo de innovación y transferencia
tecnológica que aporte a la visibilidad de la producción científica y académica de la Institución, a la gestión de la producción intelectual de investigadores
y al establecimiento de alianzas con actores del SNCTI, Estado, Empresa y Academia para actividades
de I+D+I.</t>
  </si>
  <si>
    <t>INVESTIGACIÓN</t>
  </si>
  <si>
    <t>PE. 17 Centro de Pensamiento y Desarrollo Tecnológico</t>
  </si>
  <si>
    <t xml:space="preserve">ME-38- Elaborar los estudios de prefactibilidad, justificación técnica, el diagnóstico de Recursos Humanos, Financieros y Disponibilidad de Infraestructura y Tecnologías de la Información, vinculadas a las actividades de investigación, desarrollo e Innovación del Centro de Pensamiento y Desarrollo Tecnológico. </t>
  </si>
  <si>
    <t>Actividades de  prefactibilidad</t>
  </si>
  <si>
    <t>Estudios de prefactibilidad</t>
  </si>
  <si>
    <t xml:space="preserve">Informes realizados (PFC) </t>
  </si>
  <si>
    <t xml:space="preserve">Durante el 1° trimestre de la vigencia,  en torno al diagnóstico del Centro de Pensamiento y Desarrollo Tecnológico, se han desarrollorrado 8 reuniones con las diferentes Facultades, a  través de estos escuentros se han recogido conclusiones, con el fin de que el proyecto sea de conocimiento para la comunidad educativa. 
Se muestra como evidencias la matriz que integra los componentes: Direccionamiento estratégico, Interrelaciones, Recursos, Actividades. 
Estos componentes responden a las requerimientos del MinCiencias, con el fin de que el CPDT tenga la capacidad autoevaluarse. </t>
  </si>
  <si>
    <t>Guia del CPDT</t>
  </si>
  <si>
    <t xml:space="preserve">Convocatoria Jovenes Talentosos </t>
  </si>
  <si>
    <t>Convocatoria realizada (PFC)</t>
  </si>
  <si>
    <t>Esta actividad no ha tenido avamce en el 1° trimestre de la vigencia</t>
  </si>
  <si>
    <t xml:space="preserve">Congreso de Ingeniería, Desarrollo Humano y Sostenibilidad Global. </t>
  </si>
  <si>
    <t>Congreso eralizado  (PFC)</t>
  </si>
  <si>
    <t>Diseño y desarrollo de proyectos de investigación</t>
  </si>
  <si>
    <t>Proyectos de Investigación desarrollados (PFC)</t>
  </si>
  <si>
    <t xml:space="preserve">Capacitación en Investigación </t>
  </si>
  <si>
    <t>Capacitación realizada (PFC)</t>
  </si>
  <si>
    <t>ME-40 Establecer la red institucional y de alianzas estratégicas del Centro con los respectivos sosportes que los respalde</t>
  </si>
  <si>
    <t>Actividades de red institucional</t>
  </si>
  <si>
    <t xml:space="preserve">Lineas de investigación y focos estratégicos definidos </t>
  </si>
  <si>
    <t xml:space="preserve">Informes realizados </t>
  </si>
  <si>
    <t xml:space="preserve">En esta actividad no se muestra avances, sin embargo, se tiene previsto para el 2° trimestre de la vigencia. </t>
  </si>
  <si>
    <t>PE. 18. Fortalecimiento Permanente en Competencias en Investigación, Ciencia, Tecnología e Innovación en la ETITC</t>
  </si>
  <si>
    <t>ME-43- Diseñar  e implementar  un Programa de capacitación permanente para la Investigación, Ciencia, Tecnología e Innovación y de fortalecimiento de la investigación en la ETITC.</t>
  </si>
  <si>
    <t>Formación en Actividades Ciencia, Tecnología e Innovación  (vigilancia, proyectos, redacción, emprendimiento)</t>
  </si>
  <si>
    <t>Programa de capacitaciones permanente implementado</t>
  </si>
  <si>
    <t>Informe de capacitación</t>
  </si>
  <si>
    <t>Esta actividas se proyecta realizar durante el 2° semestre de la vigencia</t>
  </si>
  <si>
    <t>Renovación  y capacitación en  base de datos  Web Of Science ( vigente 30 de abril)</t>
  </si>
  <si>
    <t>Resolucion renovación
Informe</t>
  </si>
  <si>
    <t xml:space="preserve">Actualmente se cuenta con los estudios previos, fueron radicados y aprobados ante la Oficina de Contratación el 15 de marzo. </t>
  </si>
  <si>
    <t xml:space="preserve">Renovación y capacitación de la herramienta Turnitin </t>
  </si>
  <si>
    <t>Informe</t>
  </si>
  <si>
    <t>Esta actividad se proyecta realizar el 1° de septiembre de la vigencia.</t>
  </si>
  <si>
    <t xml:space="preserve">ME. 44. Diseñar  e implementar  un Programa de fortalecimiento de grupos de investigación y ampliación de las modalidades de investigación. </t>
  </si>
  <si>
    <t>Actividades de gestión de investigación estudiantil  (Contrato Prestación de servicios)</t>
  </si>
  <si>
    <t xml:space="preserve">Programa de fortalecimiento de grupos y de investigación implementado </t>
  </si>
  <si>
    <t xml:space="preserve">Actualmente se ejecutan los contratos: 051, 052, 053, 054 y 055. Todos vigentes hasta en 17 de diciembre de 2022. </t>
  </si>
  <si>
    <t xml:space="preserve">Contratos e ejecución </t>
  </si>
  <si>
    <t xml:space="preserve">Convocatorias 09 -2021 y 10-2022  Financiación  proyectos de investigación para grupos  </t>
  </si>
  <si>
    <t>Proyectos de investigación</t>
  </si>
  <si>
    <t xml:space="preserve">Con la convocatoria 07 de 2019, se aprobó el proyecto: Proyectos de Investigación VIRTUS, Se cuenta con el estudio previo, con el fin de realizar la contratación para desarrollo del Software para apoyar las zonas turisticas de Bogotá. 
Apoyo de investigación para el grupo GEA, en el marco del día de la tierra. 
Se realizó una solicitud a la Oficina de Comunicaciones para la visibilidad de las actividades del la Jornada de la Tierra. 
Evaluación de 4 propuestas realizadas en el marco de la convocatoria 09 de 2021 con evaluadores de pares externos. Estudios previos 12 de enero. El informe final fue presentado el 17 de marzo.  
Gestión de Convenio con la Universidad Nacional de Colombia para dar inicio al proyecto aprobado en la convocatoria 890  de MinCinecias. El documento borrador fue aprobado por la Oficina Jurídica y envIado a revisión por la UN.
Con relación a la convocatoria 10 de 2022 se cuenta con el documento borrador para la revisión y aprobación del Vicerrector de Investigación. </t>
  </si>
  <si>
    <t xml:space="preserve">Solicitud de servicio Oficina de Comunicaciones 
Borrador de Convenio </t>
  </si>
  <si>
    <t xml:space="preserve">Convocatoria 02   Proyectos Disciplinares </t>
  </si>
  <si>
    <t>Proyectos disciplinares</t>
  </si>
  <si>
    <t>II Encuentro Institucional Docentes investigadores</t>
  </si>
  <si>
    <t xml:space="preserve">Participantes </t>
  </si>
  <si>
    <t>Se cuenta con los estudios previos y el CDP 9622 por $28.000.000 (actualización de autoevaluación 5.000.000 y  Campamento de investigación 18.000.000)</t>
  </si>
  <si>
    <t>Estudios previos y CDP</t>
  </si>
  <si>
    <t xml:space="preserve">Jornada actualización y fomento acreditación </t>
  </si>
  <si>
    <t>Jornada realziada</t>
  </si>
  <si>
    <t xml:space="preserve">Conmemoración dia del investigador </t>
  </si>
  <si>
    <t>informe</t>
  </si>
  <si>
    <t>Afiliación a Redcolsi</t>
  </si>
  <si>
    <t>Resolución Membresía</t>
  </si>
  <si>
    <t>Actualmente se cuenta con la Resolución de pago N 128 del 3 de marzo del 2022.</t>
  </si>
  <si>
    <t xml:space="preserve">Resolución de pago </t>
  </si>
  <si>
    <t>IX Campamento de Semilleros de Investigación</t>
  </si>
  <si>
    <t>CDP 9622</t>
  </si>
  <si>
    <t>Encuentro Nodo Bogotá RedColsi</t>
  </si>
  <si>
    <t>Encuentro Nacional RedColsi</t>
  </si>
  <si>
    <t>Encuentro Internacional Redcolsi</t>
  </si>
  <si>
    <t>XI Encuentro Institucional de Semilleros de Investigación</t>
  </si>
  <si>
    <t>INNOVACIÓN</t>
  </si>
  <si>
    <t>ME-45 Implementar programa de transferencia de conocimiento ( fortalecer la visibilidad e impacto del conocimiento según los resultados de investigación generado por la activida científica, tecnológica, académica, social e industrial de la ETITC</t>
  </si>
  <si>
    <t>II Convocatoria Acompañamiento emprendimientos de Base Tecnológica</t>
  </si>
  <si>
    <t>Programa de transfarencias de conocimiento implementado</t>
  </si>
  <si>
    <t xml:space="preserve">Se programó y realizó un Comité de Propiedad Intelectual el 16 de marzo de 2022 para socializar las políticas y actividades que gestiona la Vicerrectoría en materia de propiedad intelectual, dentro del cual se socializó la I Convocatoria de Propiedad Intelectual (2021) con el fin de recibir retroalimentación e insumos para la construcción de la II Convocatoria de Propiedad Intelectual (2022), proyectada para el 2 trimestre. </t>
  </si>
  <si>
    <t>https://itceduco-my.sharepoint.com/:f:/g/personal/asesorinnovacion_itc_edu_co/ErGKbo_D46VOitI5W-6v8oUB1Gk-WUbXEGrPOUXsurC7AQ?e=Kjr2rD</t>
  </si>
  <si>
    <t xml:space="preserve">ME-46- Implementar el programa Incubadora tecnológica: Identificación y proyección de productos de investigación con potencial tecnológico y empresarial (spin-off, star-up, patentes...).  </t>
  </si>
  <si>
    <t xml:space="preserve"> II Convocatoria de Propiedad Intelectual</t>
  </si>
  <si>
    <t xml:space="preserve">Esta actividad se proyecta realziar para el 2° semestre. </t>
  </si>
  <si>
    <t>ME. 47. Fortalecer las redes de innovación y alianzas estratégicas de cooperación con otros actores del Sistema Nacional de Ciencia Tecnología e Innovación – SNCTI, sector público, privado y academia para actividades de Investigación, Desarrollo e Innovación - I+D+i.</t>
  </si>
  <si>
    <t xml:space="preserve">1. Se llevó a cabo el Comité de Instalación de la Red de Investigación e Innovación en Ciencia y Tecnología para el Desarrollo Sostenible (31 de marzo de 2022) en donde se presentó la propuesta del I Encuentro de la Red. Se propuso realizar como I Encuentro un Congreso, organizado por la Red y el Centro de Pensamiento y Desarrollo Tecnológico de la ETITC. Así mismo, la propuesta fue socializada con el Rector (25 de marzo de 2022), Decanos e investigadores de la ETITC. 2. Se actualizó el sitio web de la Red de Investigación. Se incluyó: el video de presentación de la Red, el registro fotográfico del evento de lanzamiento de la Red, las Instituciones participantes y los miembros del Comité de Dirección.  </t>
  </si>
  <si>
    <t>1. https://itceduco-my.sharepoint.com/:f:/g/personal/asesorinnovacion_itc_edu_co/EtBfbkAvelROizK7Nu_gDCgBRWKVnuLNc5yba50imqtOOQ?e=fFuzyY 
2. https://etitc.edu.co/es/page/investigacion&amp;red</t>
  </si>
  <si>
    <t>Mantenimiento y comercialización de Patente Prensa de Alacrán con Tensor de Trinquete en la SIC</t>
  </si>
  <si>
    <t>1. Se realizó el pago de la anualidad de la patente correspondiente al año 2022 ante la Superintendencia de Industria y Comercio, CDP 10922 (548.000) . 
2. Se creó el site de la patente en la página web de la ETITC con el fin de visibilizar la invención y los avances en su transferencia 3. Se gestiona la fabricación del prototipo de la patente Prensa de Alacrán con Tensor de Trinquete de la mano del Centro de Pensamiento y Desarrollo Tecnológico de la ETITC, para lo cual se ha llevado a cabo: reunión con el ing. John Rincón, inventor de la patente (22 de marzo de 2022); elaboración de Estudios previos y solicitud de CDP para la "Elaboración de planos y fabricación del prototipo de la patente".</t>
  </si>
  <si>
    <t xml:space="preserve">1. https://itceduco-my.sharepoint.com/:f:/g/personal/asesorinnovacion_itc_edu_co/EqNQw7iI4L9EqMsyv1aJxAgBsO4P-s2DZFC4COUcWzCQYQ?e=Qj6M8D
2. https://etitc.edu.co/es/page/investigacion
3. https://itceduco-my.sharepoint.com/:f:/g/personal/asesorinnovacion_itc_edu_co/Eq4q8fUz5tJOpwKLzPbath4BV6cQV4I2Ys1I5WwAkgcXig?e=CP7fKI
</t>
  </si>
  <si>
    <t>ME. 48. Diseñar y estructurar el Observatorio Tecnológico y de Innovación de la ETITC</t>
  </si>
  <si>
    <t xml:space="preserve">Estudio de analisis Cienciometrico </t>
  </si>
  <si>
    <t>Inventario productos</t>
  </si>
  <si>
    <t>Se realizo el respectivo informe Bililiometrico en las 4 lineas de investigación con el Grupo GEA. Se evidencia el informe respectivo, Así mismo se proyecta realizar este análisis con los demás grupos de investigación.</t>
  </si>
  <si>
    <t>ME-49 Gestionar y crear el proyecto editorial de la Escuela Tecnológica Instituto  Técnico Central</t>
  </si>
  <si>
    <t>III Convocatoria Cuadernos ETITC</t>
  </si>
  <si>
    <t>Adquision ISBN</t>
  </si>
  <si>
    <t xml:space="preserve">Esta actividad se proyecta realziar durante el 2° semestre </t>
  </si>
  <si>
    <t>Boletines  ETITC</t>
  </si>
  <si>
    <t>Adquision DOI</t>
  </si>
  <si>
    <t xml:space="preserve">Esta actividad se proyecta realizar durante el 2° trimestre de la vigencia </t>
  </si>
  <si>
    <t>EXTENSIÓN</t>
  </si>
  <si>
    <t>PE-21- Proyección Social más allá de las fronteras</t>
  </si>
  <si>
    <t>ME-55- Realizar convenios que permitan la participación en convocatorias que den respuesta a comunidades vulnerables.</t>
  </si>
  <si>
    <t>Realizar convenios que permitan la participación en convocatorias que den respuesta a comunidades vulnerables.</t>
  </si>
  <si>
    <t>Convenios reaiizados con comunidades vulnerables</t>
  </si>
  <si>
    <t>Convenios suscritos</t>
  </si>
  <si>
    <t xml:space="preserve">Por confirmar </t>
  </si>
  <si>
    <t>Se han realizado acercamiento con empresa: FESTO (suministro de 11 cursos, acuerdo marco), SENA, SIEMENS, CONECTEC</t>
  </si>
  <si>
    <t>Actualmente se cuenta con el convenio FESTO (Vigente hasta el 2023).
Certificación como opción de grado y automatización industrial. 
Convenio adicional al convenio marco con el cual se ejecutaron 6 modulos de capacitación a 95 instructores del SENA (31 de mayo- 18 de junio)
Se recibió un total de 60.000.000. de los cuales 
$31.200.000. por servicios de capacitación (ingresaron por caja de la Escuela) y
28.800.000 de contratación docente.</t>
  </si>
  <si>
    <t>PE-20- Centro de Capacitación Industrial  como espacio de cualificación  para la empleabilidad a inmediato plazo.</t>
  </si>
  <si>
    <t xml:space="preserve">Crear vinculos estrategicos con empresas del sector </t>
  </si>
  <si>
    <t xml:space="preserve">Vinculos creados </t>
  </si>
  <si>
    <t xml:space="preserve">Con Bienestar Universitario se analizan las conclusiones del trabajo de reconocimientos del entorno, para identificar la oportunidad de ofertar cursos con las sedes de Mártires y Kennedy. </t>
  </si>
  <si>
    <t xml:space="preserve">Se han creado vinculos con las siguientes empresas:  Industrias licuadoras Super SAS, Syntofarma, Konecta, Mitsubishi, Electric de Colombia, Eurofarma, Corona, TRIO, Azorty, Lafayette, Imocom, Instituto Britanico
A cada una de estas empresas se les ha extendido invitación a la bolsa de empleo, oferta de servicios de capacitación, oferta de programas académicos de la ETITC. 
</t>
  </si>
  <si>
    <t xml:space="preserve">Incripciones a capacitaciones y eventos nacionales e internacionales </t>
  </si>
  <si>
    <t>Inscripciones realizadas</t>
  </si>
  <si>
    <t>Esta actividad se proyecta realizar durante el 2° trimestre de la vigencia 
La ETITC, participo en un Webinar dirigido por la Universidad de Colombia “Taller mujeres en la Ciencia”.</t>
  </si>
  <si>
    <t>Esta actividad se tiene proyectada para el 3° trimestre de la vigencia.</t>
  </si>
  <si>
    <t>Visitar instituciones oficiales</t>
  </si>
  <si>
    <t xml:space="preserve">visitas realziadas </t>
  </si>
  <si>
    <t>Esta actividad se proyecta realizar durante el 2° trimestre de la vigencia, sin embargo, se cuenta con la planeación para las visitas respectivas.</t>
  </si>
  <si>
    <t xml:space="preserve">Se han realizado visitas a: 
Secretaria de la Mujer (18 de junio).
Secretaria de Integración social. 
</t>
  </si>
  <si>
    <t xml:space="preserve">Participación en ferias institucionales y eventos académicos
</t>
  </si>
  <si>
    <t>Certificados de participación</t>
  </si>
  <si>
    <t>Esta actividad se proyecta realizar durante el 2° trimestre de la vigencia. sin embargo, se cuenta con la planeación para las visitas respectivas.</t>
  </si>
  <si>
    <t>ME-51.- Gestionar la oferta de asignaturas para procesos de cualificación como herramienta al mundo laboral y/o homologación e inserción en la educación Superior</t>
  </si>
  <si>
    <t xml:space="preserve">Aumentar las ofertas de asignaturas a los estudiantes PES.
</t>
  </si>
  <si>
    <t>Número asignaturas ofertadas para procesos de cualificación</t>
  </si>
  <si>
    <t>Asignaturas diseñadas y ofertadas</t>
  </si>
  <si>
    <t>Esta ctividad se plante consolidad durante el 2° trimestre de la vigencia.</t>
  </si>
  <si>
    <t>Desarrollar la asignatura de comunicación oral y escrita (54 horas) en el curso pre ingeniero durante el primer semestre de 2022.</t>
  </si>
  <si>
    <t>Ejecucción Contractual</t>
  </si>
  <si>
    <t xml:space="preserve">La actividad se ejecuta a través del contrato 099 de 2022 </t>
  </si>
  <si>
    <t xml:space="preserve">Esta actividad se realizo durante el 1° semestre. </t>
  </si>
  <si>
    <t>Desarrllar la asignatura de dibujo técnico (54 horas) en el curso pre ingeniero durante el primer semestre de 2022</t>
  </si>
  <si>
    <t xml:space="preserve">La actividad se ejecuta a través del contrato 100 de 2022 </t>
  </si>
  <si>
    <t>Desarrollar la asignatura de matemáticas básicas (108 horas) en el curso pre ingeniero durante el primer semestre de 2022</t>
  </si>
  <si>
    <t xml:space="preserve">La actividad se ejecuta a través del contrato 101 de 2022 </t>
  </si>
  <si>
    <t>Desarrollar la asignatura de principios de física (108 horas) en el curso pre ingeniero durante el primer semestre de 2022</t>
  </si>
  <si>
    <t xml:space="preserve">La actividad se ejecuta a través del contrato 103 de 2022 </t>
  </si>
  <si>
    <t>Desarrollar la asignatura de Orientación profesional (36 horas) en el curso pre ingeniero durante el primer semestre de 2022</t>
  </si>
  <si>
    <t xml:space="preserve">La actividad se ejecuta a través del contrato 102 de 2022 </t>
  </si>
  <si>
    <t>Desarrollando la asignatura de dibujo técnico (54 horas) en el curso pre ingeniero durante el segundo semestre de 2022.</t>
  </si>
  <si>
    <t xml:space="preserve">Esta actividad se ejecutará durante el 2° semestre, se proyecta a partir del 7 de julio la realziación de los cursos.  </t>
  </si>
  <si>
    <t>Desarrollar la asignatura de comunicación oral y escrita (54 horas) en el curso pre ingeniero durante el segundo semestre de 2022.</t>
  </si>
  <si>
    <t>Desarrollar la asignatura de matemáticas básicas (108 horas) en el curso pre ingeniero durante el segundo semestre de 2022</t>
  </si>
  <si>
    <t>Desarrollar la asignatura de principios de física (108 horas) en el curso pre ingeniero durante el segundo semestre de 2022</t>
  </si>
  <si>
    <t xml:space="preserve">Desarrollar la certificación automatización industrial 120 horas primer semestre
</t>
  </si>
  <si>
    <t xml:space="preserve">
El proceso para desarrollar esta actividad se efectúa a través de la Oficina de Contratación 
</t>
  </si>
  <si>
    <t>La certificación finalizó el 25 de junio (24 personas certificadas)</t>
  </si>
  <si>
    <t>Desarrollar la certificación automatización industrial intersementral</t>
  </si>
  <si>
    <t>Esta actividad inicio el 21 de junio y se proyecta su finalización el 23 de julio (21 estudiantes inscritos)</t>
  </si>
  <si>
    <t xml:space="preserve">Desarrollar la certificación automatización industrial 120 horas segundo semestre
</t>
  </si>
  <si>
    <t xml:space="preserve">La respectiva convocatoria se proyecta realizar a mediados de agosto. </t>
  </si>
  <si>
    <t>Desarrollar la certificación en instalaciones eléctricas primer semestre</t>
  </si>
  <si>
    <t xml:space="preserve">Esta actividad se desarrollara durante el 2° trimestre de la vigencia, sin embargo, ya se cuenta con el proceso de inscripciones, matriculas. 
</t>
  </si>
  <si>
    <t xml:space="preserve">Inscripciones de estudiantes </t>
  </si>
  <si>
    <t xml:space="preserve">Esta certificación inicio el 21 de junio con 15 estudiantes, finaliza el 23 de julio </t>
  </si>
  <si>
    <t>Desarrollar la certificación en lean management primer semestre</t>
  </si>
  <si>
    <t xml:space="preserve">Esta actividad se desarrolla desde 4 marzo, cuenta con 18 estudiantes </t>
  </si>
  <si>
    <t xml:space="preserve">Inscripciones de estudiantes y registros de sesiones realizadas </t>
  </si>
  <si>
    <t>Desarrollar la certificación en lean management segundo semestre</t>
  </si>
  <si>
    <t>Adquisición de equipos: Impresora a laser, computadores de mesa,  portatiles y pantallas inteligentes hibridos</t>
  </si>
  <si>
    <t>La impresora 3D, se esta adquiriendo a través de CT0 164 de 2022 (4.165.000) IP 008 DE 2022. CDP 7022</t>
  </si>
  <si>
    <t xml:space="preserve">Acta de incio y de adquisición </t>
  </si>
  <si>
    <t>ME-52- Diseñar y estructurar oferta de articulación</t>
  </si>
  <si>
    <t>Realizar acciones estrategicas para suscribir acuerdos con colegios</t>
  </si>
  <si>
    <t>Acuerdos suscritos</t>
  </si>
  <si>
    <t>ME-53- Identificar capacidades institucionales</t>
  </si>
  <si>
    <t>Llevar a cabo las actividades para la prestación del servicio educativos desde GITEPS</t>
  </si>
  <si>
    <t>Porcentaje de cumplimiento del plan anual de promoción de servicios</t>
  </si>
  <si>
    <t xml:space="preserve">Durante el 1° trimestre de la vigencia se han promovido: 
15 cursos (intensidad horaria entre 20 y 60 horas), 5 diplomados (intensidad horaria entre 80 a 120 horas), 4 certificaciones ( intensidad 120 horas)  . 
</t>
  </si>
  <si>
    <t>https://etitc.edu.co/es/</t>
  </si>
  <si>
    <t>Realizar actividades de Gestión de visibilidad institucional y oferta de servicios a nivel oficial, privado en el programa servimos de la función publica y en la liquidación del programa “reto a la u".</t>
  </si>
  <si>
    <t xml:space="preserve">Estrategias de visibilidad institucional realizadas </t>
  </si>
  <si>
    <t>Esta actividad se plante consolidad durante el 2° trimestre de la vigencia.</t>
  </si>
  <si>
    <t>En el marco del Convenio entre la ETITC y el programa “SERVIMOS” de la Función Pública, se estableció comunicación y socializó la oferta de educación continuada, del Centro de lenguas y de los Programas de Educación Superior con las oficinas de talento humano de 8 entidades públicas.
Se concreto la liquidación del convenio RetoAlaU</t>
  </si>
  <si>
    <t xml:space="preserve">Informe de actividades </t>
  </si>
  <si>
    <t>Desarrollar actividades de marketing del grupo interno de trabajo extensión y proyección social.</t>
  </si>
  <si>
    <t xml:space="preserve">Actividades de marketing realziadas </t>
  </si>
  <si>
    <t xml:space="preserve">Se han realizado actividades como publicidad a través de FACEBOOK institucional y correos masivos, de igual manera se actualizo la imagen de los cursos, diplomados, certificaciones a ofertar.  </t>
  </si>
  <si>
    <t>Imágenes publicitarias en redes sociales</t>
  </si>
  <si>
    <t>En el banner principal y Faccebook de la ETITC se hace publicidad a la oferta institucional.</t>
  </si>
  <si>
    <t>ME-54- Estructurar programa de oferta de servicios proyección social</t>
  </si>
  <si>
    <t xml:space="preserve"> Estructurar programa de oferta de servicios proyección social</t>
  </si>
  <si>
    <t>Proyecto estructurado</t>
  </si>
  <si>
    <t xml:space="preserve">Actualmente de identifica lo componentes necesarios para estructurar el programa de oferta.
Se oferta el curso de habilidades blandas. 
</t>
  </si>
  <si>
    <t>Con respecto a la actividad: Presentar propuesta de cursos gratuitos para poblaciones vulnerables;  se han realizado 2 cursos (1 terminado y completado) y (1 en 
proceso de inscripciones) estructurados de Proyección Social estructurados para 
las comunidad interna y externa de la institución.
El primer curso es: Habilidades Blandas para Entornos Dinámicos 1 que tuvo una 
inscripción plena de 26 de personas (particulares de la zona, egresados, 
estudiantes y docentes), de los cuales se certificaron 18 personas.
El segundo curso es Habilidades Blandas para Entornos Dinámicos 2.0 el cual se 
encuentra en fase de inscripciones con proyección a abrirse el 20 de junio</t>
  </si>
  <si>
    <t>CENTRO DE LENGUAS</t>
  </si>
  <si>
    <t>PE-3 Lenguas Extranjeras como oportunidad para la movilidad internacional</t>
  </si>
  <si>
    <t>ME-3 Desarrollar una política institucional de apropiación de una segunda lengua como parte activa de la gestión curricular y condición para la titulación en el nivel de ingeniería a partir del 2023.</t>
  </si>
  <si>
    <t>Prestación de servicios profesionales para el apoyo de los cursos de idiomas como técnico de apoyo a la gestión del área del centro de lenguas DEL GITEPS</t>
  </si>
  <si>
    <t>Esta actividad se ejecuta a través del contrato 128 de 2022</t>
  </si>
  <si>
    <t>Acta de incio</t>
  </si>
  <si>
    <t xml:space="preserve">Esta actividad se ejecuto durante el 1° semestre de la vigencia </t>
  </si>
  <si>
    <t>Prestación de servicios profesionalescomo instructor para curso de inglés nivel A2 de 120 horas para primer semestre.</t>
  </si>
  <si>
    <t>Esta actividad se ejecuta a través del contrato 129 de 2022</t>
  </si>
  <si>
    <t>Prestación de servicios profesionalescomo instructor curso de inglés nivel B1a de 100 horas para primer semestre.</t>
  </si>
  <si>
    <t>Esta actividad se ejecuta a través del contrato 130 de 2022</t>
  </si>
  <si>
    <t>Prestación de servicios profesionalescomo instructor curso de inglés nivel B1b de 100 horas para primer semestre.</t>
  </si>
  <si>
    <t>Esta actividad se ejecuta a través del contrato 127 de 2022</t>
  </si>
  <si>
    <t>Esta actividad se ejecuta a través del contrato 131 de 2022</t>
  </si>
  <si>
    <t>Prestación de servicios profesionalescomo instructor curso de inglés nivel B2b de 100 horas para primer semestre.</t>
  </si>
  <si>
    <t>Esta actividad se ejecuta a través del contrato 126 de 2022</t>
  </si>
  <si>
    <t>Prestación de servicios profesionalescomo instructor curso de inglés nivel A1 de 100 horas para segundo semestre.</t>
  </si>
  <si>
    <t>Esta actividad se realizará en el segundo semestre a partir del 5 de julio.</t>
  </si>
  <si>
    <t>Prestación de servicios profesionalescomo instructor para curso de inglés nivel A2 de 120 horas para segundo semestre.</t>
  </si>
  <si>
    <t>Prestación de servicios profesionalescomo instructor curso de inglés nivel B1a de 100 horas para segundo semestre.</t>
  </si>
  <si>
    <t>Prestación de servicios profesionalescomo instructor curso de inglés nivel B1b de 100 horas para segundo semestre.</t>
  </si>
  <si>
    <t>Prestación de servicios profesionalescomo instructor curso de inglés nivel B2a de 100 horas para segundo semestre.</t>
  </si>
  <si>
    <t>Prestación de servicios profesionalescomo instructor curso de inglés nivel B2b de 100 horas para segundo semestre.</t>
  </si>
  <si>
    <t xml:space="preserve">Esta actividad aun no se ha ejecutado </t>
  </si>
  <si>
    <t>Adquisición de 500 licencias, plataforma virtual bilingüe</t>
  </si>
  <si>
    <t xml:space="preserve">Licencias adquiridas </t>
  </si>
  <si>
    <t>Esta actividad se encuentra en un avance del 50%.
Se cuenta con estudios previos y estudio de mercado.</t>
  </si>
  <si>
    <t>Adquisición de licencia certificación internaciónal niveles MCE</t>
  </si>
  <si>
    <t>EGRESADOS</t>
  </si>
  <si>
    <t>Desarrollar las actividades propias para la inclusión de egresados (seguimiento, acompañamiento, eventos etc.)</t>
  </si>
  <si>
    <t xml:space="preserve">Se han realizado Invitaciones de manera internas y externas (7), para que la comunidad académica participe. </t>
  </si>
  <si>
    <t xml:space="preserve">Se han realizado 2 conversatorios (5 sesiones), se han desarrollado talleres de capacitación: 27 de mayo - Manejo de las finanzas (12 participantes) 10 de junio "quiero emprender" (16 participantes).
Invitaciones a los egresados: Cine club, cursos en habilidades blandas (25 de abril - 12 de mayo).
Invitación a participar en:
Curso Alemán sin costo, ocurso virtual.
Taller de PYTHON básico modalidad sincrónico.
Taller de emprendimiento digital MinTic.
</t>
  </si>
  <si>
    <t>Elementos adquiridos</t>
  </si>
  <si>
    <t xml:space="preserve">Se encuentra a la espera de la entrega de equipos actualizados por parte del área de Informática y Comunicaciones </t>
  </si>
  <si>
    <t xml:space="preserve">Se adquirio un equipo, para las actividades de área. </t>
  </si>
  <si>
    <t>Mantenimiento bolsa de empleo</t>
  </si>
  <si>
    <t>Se cuentan con los estudios previos.</t>
  </si>
  <si>
    <t xml:space="preserve">Se cuentan con los estudios previos.
Esta actividad se realiza con apoyo del Informática y Comunicaciones. </t>
  </si>
  <si>
    <t>VICERRECTORÍA DE INVESTIGACIÓN, EXTENSIÓN Y TRANSFERENCIA</t>
  </si>
  <si>
    <t>CLASIF. DE CONFIDENCIALIDAD</t>
  </si>
  <si>
    <t>CLASIF. DE INTEGRIDAD</t>
  </si>
  <si>
    <t>A</t>
  </si>
  <si>
    <t>CLASIF. DE DISPONIBILIDAD</t>
  </si>
  <si>
    <t xml:space="preserve">AVANCE GENERAL VIGENCIA 2022 - ETITC
METAS PDI 2022 
</t>
  </si>
  <si>
    <t xml:space="preserve">AVANCE GENERAL VIGENCIA 2022 - ETITC 
PLAN DE ACCIÓN 2022
</t>
  </si>
  <si>
    <t>DEPENDECIA</t>
  </si>
  <si>
    <t>AVANCE GENERAL VIGENCIA 2022 - ETITC 
PLAN DE ACCIÓN 2022 POR ÁREA</t>
  </si>
  <si>
    <t>DEPENDENCIA</t>
  </si>
  <si>
    <t xml:space="preserve">AVANCE TOTAL </t>
  </si>
  <si>
    <t xml:space="preserve">N° DE METAS A CARGO </t>
  </si>
  <si>
    <t xml:space="preserve">AVANCE GENERAL VIGENCIA 2022 - ETITC 
</t>
  </si>
  <si>
    <t>N°  ACTIVIDADES</t>
  </si>
  <si>
    <t xml:space="preserve">% DE AVANCE </t>
  </si>
  <si>
    <t>Rectoría</t>
  </si>
  <si>
    <t xml:space="preserve">AVANCE GENERAL </t>
  </si>
  <si>
    <t xml:space="preserve">PROYECTOS ESTRATÉGICOS </t>
  </si>
  <si>
    <t>EJE ESTRATÉGICO</t>
  </si>
  <si>
    <t xml:space="preserve">METAS ESTRATÉGICAS </t>
  </si>
  <si>
    <t xml:space="preserve">RECTORIA </t>
  </si>
  <si>
    <t>Vicerrectoría Administrativa y Financiera</t>
  </si>
  <si>
    <t xml:space="preserve">Lo Intitucional </t>
  </si>
  <si>
    <t>Vicerrectoría Académica</t>
  </si>
  <si>
    <t xml:space="preserve">Lo Social </t>
  </si>
  <si>
    <t>Vicerrectoría de Investigación, Extensión y Transferencia</t>
  </si>
  <si>
    <t xml:space="preserve">Lo ambiental </t>
  </si>
  <si>
    <t>Metas sin obligatorio avance para la vigencia 2022</t>
  </si>
  <si>
    <t>Sin obligatorio avance 2022</t>
  </si>
  <si>
    <t>TOTAL</t>
  </si>
  <si>
    <t>Porcentajes</t>
  </si>
  <si>
    <t>escalsa</t>
  </si>
  <si>
    <t xml:space="preserve">VICERRECTORÍA ADMINISTRATIVA Y FINANCIERA </t>
  </si>
  <si>
    <t>grados</t>
  </si>
  <si>
    <t>x</t>
  </si>
  <si>
    <t>y</t>
  </si>
  <si>
    <t>pi</t>
  </si>
  <si>
    <t>pf</t>
  </si>
  <si>
    <t>VICERRECTORIA DE INVESTIGACIÓN</t>
  </si>
  <si>
    <t>PDI 2021- 2024</t>
  </si>
  <si>
    <t>https://etitc.edu.co/archives/pdi2021-2024.pdf</t>
  </si>
  <si>
    <t>Nuevo Acuerdo Institucional, Social y Ambiental para la Consolidación de la Escuela</t>
  </si>
  <si>
    <t>E1-  LO INSTITUCIONAL: TRANSFORMACIÓN CULTURA DE LA ETITC</t>
  </si>
  <si>
    <t>1° TRIMESTRE ENERO - MARZO</t>
  </si>
  <si>
    <t>2° TRIMESTRE ABRIL - JUNIO</t>
  </si>
  <si>
    <t>3° TRIMESTRE JULIO - SEPTIEMBRE</t>
  </si>
  <si>
    <t>4° TRIMESTRE OCTUBRE- DICIEMBRE</t>
  </si>
  <si>
    <t>E1- LO INSTITUCIONAL: LA TRANSFORMACIÓN CULTURAL DE LA ETITC</t>
  </si>
  <si>
    <t>Item</t>
  </si>
  <si>
    <t>Sin Avance &gt;40%</t>
  </si>
  <si>
    <t>Con Avance =&lt;40%</t>
  </si>
  <si>
    <t>ÁREA RESPONSABLE</t>
  </si>
  <si>
    <t>PROYECTOS</t>
  </si>
  <si>
    <t>METAS</t>
  </si>
  <si>
    <t>INDICADORES</t>
  </si>
  <si>
    <t>LINEA BASE</t>
  </si>
  <si>
    <t>META  2021</t>
  </si>
  <si>
    <t>AVANCE 2021</t>
  </si>
  <si>
    <t>META 2022</t>
  </si>
  <si>
    <t>CUATRIENIO</t>
  </si>
  <si>
    <t>AVANCE</t>
  </si>
  <si>
    <t>AVANCES VS META</t>
  </si>
  <si>
    <t>SEGUIMIENTO (DESCRIPCIÓN)</t>
  </si>
  <si>
    <t>Aseguramiento de la calidad</t>
  </si>
  <si>
    <t xml:space="preserve">1. Con relación a la Articular el modelo de autoevaluación institucional con el modelo de autoevaluación de programa,
Se creo una matriz de identificación en la cual se determinaron las responsabilidades y evidencias, se consolido la matriz de evaluación en la cual se determinaron los criterios mínimos a calificar, cruzando con esto el modelo de autoevaluación institucional y el proyecto de modelo de programas (400 aspectos en promedio).
Se realizó la articulación de las condiciones institucionales y las condiciones de programa. (Avance del 80%)
2. Se definieron los compromisos del equipo técnico de autoevaluación para las Facultades de Sistemas, procesos industriales y Mecatrónica, con un desarrollo del 50% para la técnica de recolección documental.
Se inicio la recolección documental de áreas tranversales como: Financiera, Egresados, Bienestar, Extensión, ORII (avance 13%).
3. Frente a Concluir el proceso de condiciones institucionales ante el Ministerio de Educación Naciona, se consolido el proceso a nivel interno finalizando visita de marzo durante los días 8, 9 y 10 de marzo.
4. Frente a la actividad Concluir el proceso de renovación de registro calificado del programa de Ingeniería Mecánica articulada por ciclos propedéuticos con los niveles Técnico Profesional y Tecnología ante el Ministerio de Educación Nacional. El proceso de renovación acepto las fechas propuestas por el MEN, radicadas el pasado 24 de marzo. Se iniciaron 2  simulacros: 1°, 23 de marzo, 2. 24 de marzo. </t>
  </si>
  <si>
    <t>Esta meta es un trabajo mancomunado de las Vicerrectoría Académica y Administrativa y Financiaera. Desde la Vicerrectoría Académica se aclara que actualmente los Programas de Educación superior se desarrollan por creditos, pero se ha realizado un plan de trabajo que permita realizar un "modelo integral de gestión academico-administrativa por Sistema de Créditos Académicos"</t>
  </si>
  <si>
    <t>Despacho</t>
  </si>
  <si>
    <t>Desde la Facultad de Sistemas, respeto a la gestión curricular: En Enero se instauró el Comité Curricular de Facultad. El 14 de febrero se realizo la 1° sesión del Comité (declaración del Comité), y el 31 de marzo la segunda sesión (resultados de aprendizaje del programa). Por otra parte, para el 1° trimestre de la vigencia la actualización del PEP se encuentra en un 40%. Matriz de resultados de aprendizaje actualizada
Desde la Facultad de Procesos industriales para mejora curricular del programa, se realizo una reunión con docentes para definir los resultados de aprendizaje en el área de Procesos de manofactura y producción, sontó con la participación de 20 profesores. 
Reunión de proyectos integradores con docentes (una reunión quincenal), participan en promedio 20 docentes. 
Por su parte la Facultad de Electromecánica 1. Se llevaron a cabo 6 jornada de capacitación durante la semana de inducción 2022, a docentes.
El 24 de enero se realizó una capacitación sobre “Programa Educativo de Programa”, cuya temática fue: Aspecto Enfoque pedagógico, funciones sustantivas, participaron 40 docentes.
2. Con relación al Modelo de gestión académica soportado en resultados de aprendizaje y competencias y en miras de consolidad un nuevo PEP, se realizó un comparativo exhaustivo con diferentes universidades de carácter nacional e internacional, en diferentes temáticas académicas, competencias, con el fin de fortalecer la configuración del nuevo PEP.
La primera versión el PEP, fue remitido a la Vicerrectoría Académica para su revisión y ajuste. 
El Plan de estudios de ingeniería electromecánica por ciclos propedéuticos, se está actualizando según los análisis realizados por los diferentes docentes de la facultad a través de las diferentes mesas de trabajo</t>
  </si>
  <si>
    <t>Oficina Asesora de Planeación</t>
  </si>
  <si>
    <t>Esta actividad no ha tenido avance en el 1° trimestre de la vigencia</t>
  </si>
  <si>
    <t>Oficina de Comunicaciones</t>
  </si>
  <si>
    <t>Desde la oficina de Comunicaciones 
Se identifican los aspectos necesarios a integrar dentro de la política de Comunicaciones de la Escuela. A través de reuniones dentro de la Oficina de Comunicaciones, se han postulado diferentes características puntuales, según las dinámicas institucionales:
Autoevaluación y Acreditación – 04, 08 y 23 de febrero 
Planeación – 09 de febrero  
Bienestar Laboral de Talento Humano – 10 de febrero 
Vicerrectoría de investigación – 21 de febrero 
Dirección del IBTI – 14 de febrero 
Seguridad de la Información – 23 de febrero 
Planta Física – 24 de febrero 
Consejo de Redacción de marzo 
En este setido, actualmente a partir de las reuniones realizadas se han estructurado 3 parrillas de contenido, así mismo se hace unos el formato de solicitud de apoyo al área.</t>
  </si>
  <si>
    <t xml:space="preserve">Talento Humano </t>
  </si>
  <si>
    <t xml:space="preserve">ME-8- Revisión de la  Estructura Organizacional que soporte las nuevas apuestas institucionales  
</t>
  </si>
  <si>
    <t>Propuesta de nueva estructura organizacional presentadas ante las entidades competentes.</t>
  </si>
  <si>
    <t xml:space="preserve">Desde la vigencia 2021 se pago un valor por 185.500.000 (Resolución 4114 de 2021), para 44 cargos externos y 9 cargos internos de ascenso.
Elo docuemnto técnico se encuenta publicado en la página intitucional y se entrego al nivel directivo, para su análisis y posteriores decisiones. 
Con la Resolución 373 de 2021 se realizo una modificación al manual de funciones, especificamente para los cargos que estarán en concursos durante la vigencia 2022. 
</t>
  </si>
  <si>
    <t>Índice de clima laboral</t>
  </si>
  <si>
    <t>Vicerrectoría de Investigación Extensión y Transferencia</t>
  </si>
  <si>
    <t>Egresados</t>
  </si>
  <si>
    <t xml:space="preserve">PE-7- Consolidación y aseguramiento del Talento Humano para el mejoramiento de las capacidades en las plantas administrativas y  docentes </t>
  </si>
  <si>
    <t xml:space="preserve">Vicerrectoría Administrativa y Financiera </t>
  </si>
  <si>
    <t>ME-13- Presentar ante la instancia competente la solicitud y cumplimiento de requisitos para el desarrollo de los procesos meritocráticos de la planta administrativa.</t>
  </si>
  <si>
    <t xml:space="preserve">Desde la vigencia 2021 se pago un valor por 185.500.000 (Resolución 4114 de 2021), para 44 cargos externos y 9 cargos internos de ascenso.
Elo docuemnto técnico se encuenta publicado en la página intitucional y se entrego al nivel directivo, para su análisis y posteriores decisiones. 
Con la Resolución 373 de 2021 se realizo una modificación al manual de funciones, especificamente para los cargos que estarán en concursos durante la vigencia 2022. 
</t>
  </si>
  <si>
    <t>ME-14- Adelantar los procesos meritocráticos de la planta docente.</t>
  </si>
  <si>
    <t>PE-8- Estructuración de la Carrera Docente</t>
  </si>
  <si>
    <t>ME-15- Organizar e implementar el sistema de plan de carrera de los profesores.</t>
  </si>
  <si>
    <t>Porcentaje de sistema de carrera docente implementado</t>
  </si>
  <si>
    <t xml:space="preserve"> IBTI</t>
  </si>
  <si>
    <t>Durante el 1° trimestre de la vigencia se consolidaron las actividades que se desarrollaran al interior del proyecto Centro de atención al docente del IBTI:
1. Diagnóstico de las principales necesidades laborales, familiares, emocionales y sociales presentan los docentes del IBTI.
2. Identificación de aquellas necesidades más comunes y repetitivas manifestada por los docentes.
3. Tabulación y organización de la información suministrada.
4. Análisis de la información.
5. Presentación teórica.
6. Estrategias y herramientas para la implementación del Centro de Atención al Docente (CAD).
Dicha informacións será relevante para desarrollar los siguientes puntos con relación al proyecto: 
1. Antecedentes.
2. Problemática.
3. Marco Referencial.
4. Metodología de Investigación.
5. Futurización.
6. Proyección y planeación. ´
7. Gestión de recursos.
Se proyecta para le 26 de abril se proyecta presentar el proyecto ante el Consejo Académico del IBTI.</t>
  </si>
  <si>
    <t xml:space="preserve">Informática y comunicaciones </t>
  </si>
  <si>
    <t xml:space="preserve">La cosecución de esta actividad esta dada por la interacción de diferentes áreas y procesos entre los cuales se encuentra: 
Gestión Informática y Comunicaciones: Desde el proceso se realiza el soporte a los sistemas de conexión para los televisores, wifi, sistemas de iluminación, puesta a tierra, maquinas equipos, UPS, Planta de energía eléctrica, Aires Acondicionados, reguladores de voltaje, sistema de iluminación greenmax, sistema de apantallamiento sistema de puesta a tierra
La información de estos soportes se verifica a través de la plataforma Mantum, sin embargo, se adelantan los estudios necesarios para adelantar el proceso contractual, con el fin de adquirir prestaciones de servicio en temas de mantenimiento. 
Por otra parte desde las Facultades: 
Electromecánica: A través del Semillero Fabricación digital se efectúan licencias en Solidworks, para la formación de estudiantes (70) y docentes (7, en manejo de software en diferentes 24 módulos distintos.
Talleres y laboratorios: Se desarrolla el suministro de gases industriales para los talleres de metalistería, fundición, tratamientos térmicos, modelaría y motores, mediante la forma de monto agotable. Se realiza el mantenimiento preventivo al taller de Mecánica.
En el área, a la fecha se han adquirid insumos para el taller de Diseño, por otra parte, los procesos de adquisición y mantenimiento de los demás talleres se encuentran en una etapa pre- contractual. </t>
  </si>
  <si>
    <t>Vicerrectoría Administrativa</t>
  </si>
  <si>
    <t>A través del Cto 344 de 2021, se actualiza la infraestructura del WIFI institucional. Dicho contrato presenta una adición por $ 308.245.757.12
A través Cto 350 de 2021 se realiza la actualización de la infraestructura LAN. Finaliza el 22 de mayo de la vigencia. $ 414.102.014.
Los diferentes procesos de adquisición, mantenimiento  y renovación de sofftware, se encuentran en etapas precontractuales en las que se evidencian estudios previos.</t>
  </si>
  <si>
    <t>Se cuentan con los estudios previos y estudios de mercado. Se proyecta obtener la aprobación del Comité de Infraestructura Tecnológica en su próxima sesión.</t>
  </si>
  <si>
    <t xml:space="preserve">Como resultado del Índice de Desempeño Institucional vigencia 2020, La ETITC, se consolido con un 98% de avance en la Política de Gobiergo Digital. Se esta a la espera de la lectura FURAG 2021, a mendiados del mes de Mayo.  </t>
  </si>
  <si>
    <t>PE-11- Internacionalización para ampliar fronteras de conocimiento</t>
  </si>
  <si>
    <t xml:space="preserve">Actalmente se identifican los aspectos necesarios a integrar dentro de la política de Comunicaciones de la Escuela. A través de reuniones dentro de la Oficina de Comunicaciones, se han postulado diferentes características puntuales, según las dinámicas institucionales:
Autoevaluación y Acreditación – 04, 08 y 23 de febrero 
Planeación – 09 de febrero  
Bienestar Laboral de Talento Humano – 10 de febrero 
Vicerrectoría de investigación – 21 de febrero 
Dirección del IBTI – 14 de febrero 
Seguridad de la Información – 23 de febrero 
Planta Física – 24 de febrero 
Consejo de Redacción de marzo 
A partir de las reuniones realizadas se han estructurado 3 parrillas de contenido, así mismo se hace unos el formato de solicitud de apoyo al área.
</t>
  </si>
  <si>
    <t>Gestión Documental</t>
  </si>
  <si>
    <t xml:space="preserve">Para el 1° trimestre de la vigencia se revizó y actualizó los programas del PGD (4 de 8 programas), una vez finalizado dicho proceso será expuesto ante las instancias necesarias para su aprobación y posterior ejecución (CIGD o CIA). 
Por otra parte se indentifican actividades como: Actualización del Sistema Información de Atención al Ciudadano SIAC, sin embargo, desarrollarán durante en 2° semestre de la vigencia  </t>
  </si>
  <si>
    <t xml:space="preserve">ORII </t>
  </si>
  <si>
    <t xml:space="preserve">PE-12- Dar continuidad al Talento Humano integral en las plantas de personal </t>
  </si>
  <si>
    <r>
      <t xml:space="preserve">La cosecución de esta actividad esta dada por la interacción de diferentes áreas y procesos entre los cuales se encuentra:
ORII:  En paso 16 de marzo, se realizo el 2° taller de Internacionalización con metodologia open space entre las 9 am y las 12 pm. Se contó con la participación de: ETITC, Universidad la Gran Colombia, Alianza Colombo Búlgar.
En paso 16 de marzo, se realizo el 2° taller de Internacionalización con metodologia open space entre las 9 am y las 12 pm. Se contó con la participación de: ETITC, Universidad la Gran Colombia, Alianza Colombo Búlgar,
Desde </t>
    </r>
    <r>
      <rPr>
        <b/>
        <sz val="12"/>
        <rFont val="Calibri Light"/>
        <family val="2"/>
      </rPr>
      <t xml:space="preserve">la Facultad de procesios Industriales: </t>
    </r>
    <r>
      <rPr>
        <sz val="12"/>
        <rFont val="Calibri Light"/>
        <family val="2"/>
      </rPr>
      <t xml:space="preserve">Se reporto que, la ETITC realizo el respectivo aporte para participar en el V Encuentro de la Red de Programas de Ingeniería Industrial
Nodo Centro, 29 de abril de 2022 ($2.000.000).
La Decana Luisa Goméz, participó en la reunión de la Asociación Colombiana de de Facultad de Ingenieria (Barranquilla- marzo 22).
</t>
    </r>
    <r>
      <rPr>
        <b/>
        <sz val="12"/>
        <rFont val="Calibri Light"/>
        <family val="2"/>
      </rPr>
      <t>Desde la Facultad de Sistemas</t>
    </r>
    <r>
      <rPr>
        <sz val="12"/>
        <rFont val="Calibri Light"/>
        <family val="2"/>
      </rPr>
      <t>: La ETITC interactuó en 3 diferentes sesiones (24 de febrero, 3 y 10 de marzo) con estudiantes y docentes de la Universidad San Marcos de Costa Rica. "Potenciando humanidad a través de la comunicación"
En el marco de la Asamble nacional de ACOFI, el Decano de la Facultad participó en la sesión realizada en Barranquilla (17 y 18 de marzo)</t>
    </r>
  </si>
  <si>
    <t xml:space="preserve">PE-13- Gestión integral de inmuebles
</t>
  </si>
  <si>
    <t>ME-24- Englobar todos predios que integran la sede central.</t>
  </si>
  <si>
    <t>Porcentaje de englobe de los predios que integran la sede central.</t>
  </si>
  <si>
    <t>Actualmente se ejecuta el contrato 009 de 2022. Este profesional tiene como objetivo apoyar la solicitud de los trámites necesarios que se deben adelantar ante las entidades quecorrespondan para obtener los permisos, licencias, y resoluciones que permitan realizar obrasciviles en las edificaciones de la institución, en la sede principal calle 13, instalaciones deCarvajal, instalaciones de El Tintal, sede calle 18.</t>
  </si>
  <si>
    <t>ME-25- Determinar el aprovechamiento del inmueble calle 18 a partir del POT aprobado.</t>
  </si>
  <si>
    <t>Porcentaje de ejecución de las intervenciones físicas.</t>
  </si>
  <si>
    <t>Se han realizado las siguientes actividades de mantenimiento locativo:
1. Cambio de llave de la poceta del baño de mujeres en el primer piso de la sece Central
2. Cambio de Chapa del cuarto debajo de las estacaleras del segundo piso.
3. Ajuste de puerta de la casa hacia el exterior.
4. Mantenimiento de los lavamanos portatiles (2)</t>
  </si>
  <si>
    <t xml:space="preserve">Los estudios previos, para determinar el aprovechamiento del inmueble calle 18, se encuentran elaborados, cuentan con la respectiva revisión por parte del área de Contratación (Número de CDP 9922, $128.192.750). </t>
  </si>
  <si>
    <t>ME-26- Formular el Plan de administración e intervención de las instalaciones en comodato (localidad Kennedy).</t>
  </si>
  <si>
    <t>El documento base se encuentra finalizado desde la vigencia 2021; según las necesidades se actualiza dicho planeación.
Para el 1° trimestre de la vigencia y en concordancia con el Plan de administración e intervención, se ha realizado el diagnóstico de necesidades de mantenimiento de la infraestructura eléctrica de las instalaciones del Tintal y Carvajal, de igual manera las personas contratadas para el mantenimiento locativo ejecutan sus actividades con normalidad, quienes realizaron los mantenimientos de todas las zonas verdes,(febrero - marzo), así mismo de los 2 edificios en las instalaciones Kennedy.</t>
  </si>
  <si>
    <t>La Intalaciones en Comodato de Kennedy se encuentran bajo la supervisión del Asesor de Rectoría.
Desde Planta Física se han realizado diseños y proyectos para mejorar las intalaciones de Comodato: Reja para el acceso peatonal de la Sede Tintal. Diseño de la papeleria para la Sede Tintal.
Actividades de mantenimiento locativo: 
1. Adecuación de la Oficina de Control Interno de la Sede Carvajal.
2. Impermeabilización, resane y pintura de todos los salones de la Sede Carvajal.
Adicionalmente, para el 1° trimestre de la vigencia y en concordancia con el Plan de administración e intervención, se ha realizado el diagnóstico de necesidades de mantenimiento de la infraestructura eléctrica de las instalaciones del Tintal y Carvajal, de igual manera las personas contratadas para el mantenimiento locativo ejecutan sus actividades con normalidad, quienes realizaron los mantenimientos de todas las zonas verdes,(febrero - marzo), así mismo de los 2 edificios en las instalaciones Kennedy.</t>
  </si>
  <si>
    <t>ME-27- Formular e implementar el modelo operativo de administración de inmuebles.</t>
  </si>
  <si>
    <t>ME-28 - Gestionar la consecución de un nuevo Campus para la Escuela.</t>
  </si>
  <si>
    <t>Esta meta estraetgica no ha tenido avance</t>
  </si>
  <si>
    <t>E2- LO SOCIAL : EDUCACIÓN SOCIALMENTE RESPONSABLE Y PERTINENTE</t>
  </si>
  <si>
    <t>SEGUIMIENTO PD1 2021 - 2024, 
VIGENCIA 2021</t>
  </si>
  <si>
    <t>Dependencia</t>
  </si>
  <si>
    <t>META 2021</t>
  </si>
  <si>
    <t xml:space="preserve">Vicerrectoría Académica </t>
  </si>
  <si>
    <r>
      <rPr>
        <b/>
        <sz val="12"/>
        <color theme="1"/>
        <rFont val="Calibri Light"/>
        <family val="2"/>
        <scheme val="major"/>
      </rPr>
      <t xml:space="preserve">PE-14- </t>
    </r>
    <r>
      <rPr>
        <sz val="12"/>
        <color theme="1"/>
        <rFont val="Calibri Light"/>
        <family val="2"/>
        <scheme val="major"/>
      </rPr>
      <t>Nuevos programas de pregrado y posgrado</t>
    </r>
  </si>
  <si>
    <t xml:space="preserve">ME-29-  Lograr  al 2023 el Registro Calificado de 1 Especialización Profesional, 1 Especialización Tecnológica, al 2024, 1 carrera profesional por ciclos y 1 Maestría.
</t>
  </si>
  <si>
    <t xml:space="preserve">ME-30-  Lograr al 2024, que el 50% de los programas con registro calificado en la modalidad presencial  esten convertidos a modalidad semipresencial (blended).
</t>
  </si>
  <si>
    <t>IBTI</t>
  </si>
  <si>
    <r>
      <t>PE-15-</t>
    </r>
    <r>
      <rPr>
        <sz val="12"/>
        <rFont val="Calibri Light"/>
        <family val="2"/>
        <scheme val="major"/>
      </rPr>
      <t xml:space="preserve">El IBTI y su papel significativo en la consolidación de la Escuela </t>
    </r>
  </si>
  <si>
    <t xml:space="preserve">Actualmente la ETITC participa en el programa " Jovenes a la U", donde partipan 125 estudiantes. </t>
  </si>
  <si>
    <t xml:space="preserve">ME-32 - Fortalecer el modelo educativo del bachillerato que permita aumentar cobertura, favorecer la permanencia y continuidad en la institución </t>
  </si>
  <si>
    <t>Para fortalecer la formación docente en evaluación para los aprendizajes y el diseño de preguntas tipo Saber, se realizó una capacitación con la entidad TRES EDITORES, con el fin de mejorar en la presentación de las pruebas externas; el Taller Habilidade de pensamiento fue realizado el 19 de enero, contó con la participación de 94 docentes.
Se cuenta con un cronograma de capacitaciones.
Por otra parte, en un ejercicio comparativo se analiza un aumento de 1042 estudiantes en el 2021 a 1134 estudiantes en el 2022 (aumento del 8%).</t>
  </si>
  <si>
    <t>ME-33- Promover la estrategia de articulación  "de tu escuela a mi escuela y a mi universidad".</t>
  </si>
  <si>
    <t>1088</t>
  </si>
  <si>
    <t xml:space="preserve">Realizando un compartivo del ingreso de los estudiantes durante las vigencia 2022 (273) y 2021 (200), lo cual nos permite ver un aumento en el número de los estudiantes. 
Por otra parte, en un ejercicio comparativo se analiza un aumento de 1042 estudiantes en el 2021 a 1134 estudiantes en el 2022 (aumento del 8%). </t>
  </si>
  <si>
    <t>Bienestar Universitario</t>
  </si>
  <si>
    <r>
      <rPr>
        <b/>
        <sz val="12"/>
        <color theme="1"/>
        <rFont val="Calibri Light"/>
        <family val="2"/>
        <scheme val="major"/>
      </rPr>
      <t xml:space="preserve">PE-16- </t>
    </r>
    <r>
      <rPr>
        <sz val="12"/>
        <color theme="1"/>
        <rFont val="Calibri Light"/>
        <family val="2"/>
        <scheme val="major"/>
      </rPr>
      <t xml:space="preserve"> Desarrollo integral y transformación social de la comunidad: bienestar comprometido con la permanencia</t>
    </r>
  </si>
  <si>
    <t>ME-34- Fortalecer el Programa de Atención Básica Ampliada.</t>
  </si>
  <si>
    <t>ME-35-Formular e implementar el Sistema de Registro Único de Seguimiento de Información y Acompañamiento (RUSIA) de la comunidad educativa de la Institución.</t>
  </si>
  <si>
    <r>
      <t xml:space="preserve">Se han desarrollado las siguientes etapas del proyecto: 
</t>
    </r>
    <r>
      <rPr>
        <b/>
        <sz val="12"/>
        <color theme="1"/>
        <rFont val="Calibri Light"/>
        <family val="2"/>
        <scheme val="major"/>
      </rPr>
      <t>Caracterización Estudiantil PES</t>
    </r>
    <r>
      <rPr>
        <sz val="12"/>
        <color theme="1"/>
        <rFont val="Calibri Light"/>
        <family val="2"/>
        <scheme val="major"/>
      </rPr>
      <t xml:space="preserve">: Se han realizado 675 caracterizaciones que incluyen estudiantes nuevos y antiguos de los PES y especializaciones activos para el periodo 2022-1.
</t>
    </r>
    <r>
      <rPr>
        <b/>
        <sz val="12"/>
        <color theme="1"/>
        <rFont val="Calibri Light"/>
        <family val="2"/>
        <scheme val="major"/>
      </rPr>
      <t xml:space="preserve">Identificación alertas tempranas - riesgos asociados a la deserción: </t>
    </r>
    <r>
      <rPr>
        <sz val="12"/>
        <color theme="1"/>
        <rFont val="Calibri Light"/>
        <family val="2"/>
        <scheme val="major"/>
      </rPr>
      <t xml:space="preserve">A la fecha se han actualizado las 675 alertas asociadas tempranas asociadas a la caracterización estudiantil aplicada a los 675 estudiantes PES
3. </t>
    </r>
    <r>
      <rPr>
        <b/>
        <sz val="12"/>
        <color theme="1"/>
        <rFont val="Calibri Light"/>
        <family val="2"/>
        <scheme val="major"/>
      </rPr>
      <t xml:space="preserve">identificación alertas académicas (primer, segundo y tercer corte): </t>
    </r>
    <r>
      <rPr>
        <sz val="12"/>
        <color theme="1"/>
        <rFont val="Calibri Light"/>
        <family val="2"/>
        <scheme val="major"/>
      </rPr>
      <t>A la fecha se reportan 2413 estudiantes con alertas académicas para primer corte (7-11 marzo)</t>
    </r>
  </si>
  <si>
    <t xml:space="preserve">33%
</t>
  </si>
  <si>
    <t>Innovación</t>
  </si>
  <si>
    <r>
      <rPr>
        <b/>
        <sz val="12"/>
        <color theme="1"/>
        <rFont val="Calibri Light"/>
        <family val="2"/>
        <scheme val="major"/>
      </rPr>
      <t xml:space="preserve">PE-17- </t>
    </r>
    <r>
      <rPr>
        <sz val="12"/>
        <color theme="1"/>
        <rFont val="Calibri Light"/>
        <family val="2"/>
        <scheme val="major"/>
      </rPr>
      <t xml:space="preserve"> Centro de Pensamiento y Desarrollo Tecnológico</t>
    </r>
  </si>
  <si>
    <t xml:space="preserve">Estudio de prefactibilidad </t>
  </si>
  <si>
    <t xml:space="preserve">Durante el 1° trimestre de la vigencia,  en torno al diagnóstico del Centro de Pensamiento y Desarrollo Tecnológico, se han desarrollorrado 8 reuniones con las diferentes Facultades. A través de estos escuentros se han recogido conclusiones, con el fin de que le proyecto sea de conocimiento para la comunidad educativa. 
Se muestra como evidencias la matriz que integra los componentes: Direccionamiento estratégico, Interrelaciones, Recursos, Actividades. 
Estos componentes responden a las requerimientos del MinCiencias, con el fin de que el CPDT tenga la capacidad autoevaluarse. </t>
  </si>
  <si>
    <t xml:space="preserve">ME-39- Definir  las líneas de investigación y focos estratégicos y de acción del Centro. </t>
  </si>
  <si>
    <t>Líneas de investigación y focos estratégicos definidos</t>
  </si>
  <si>
    <t>ME-40- Establecer la red institucional y de alianzas estrategicas del centro con los respectivos soportes que la respalden</t>
  </si>
  <si>
    <t>Red institucional definida</t>
  </si>
  <si>
    <t xml:space="preserve">ME-41- Formular el plan de mejoramiento de acuerdo a los crirterios de MinCiencias con sus respectivos informes y análisis. </t>
  </si>
  <si>
    <t>Plan de mejoramiento formulado</t>
  </si>
  <si>
    <r>
      <t>ME-42- Radicar la solicitud para el reconocimiento del Centro de Pensamiento y Desarrollo Tecnológico por parte de Minciencias.</t>
    </r>
    <r>
      <rPr>
        <i/>
        <sz val="12"/>
        <color rgb="FFFF0000"/>
        <rFont val="Calibri Light"/>
        <family val="2"/>
        <scheme val="major"/>
      </rPr>
      <t xml:space="preserve">  </t>
    </r>
  </si>
  <si>
    <t>Solicitud del reconocimiento</t>
  </si>
  <si>
    <t xml:space="preserve">Investigación </t>
  </si>
  <si>
    <r>
      <t xml:space="preserve"> </t>
    </r>
    <r>
      <rPr>
        <b/>
        <sz val="12"/>
        <color theme="1"/>
        <rFont val="Calibri Light"/>
        <family val="2"/>
        <scheme val="major"/>
      </rPr>
      <t xml:space="preserve">PE-18- </t>
    </r>
    <r>
      <rPr>
        <sz val="12"/>
        <color theme="1"/>
        <rFont val="Calibri Light"/>
        <family val="2"/>
        <scheme val="major"/>
      </rPr>
      <t xml:space="preserve">Fortalecimiento permanente en Competencias en investigación, ciencia, tecnología e innovación en la ETITC   </t>
    </r>
  </si>
  <si>
    <t xml:space="preserve">Para la Renovación  y capacitación en  base de datos  Web Of Science, actualmente se cuenta con los estudios previos, fueron radicados y aprobados ante la Oficina de Contratación el 15 de marzo. 
La demás actividades se encuentran previstas para el 2° semestre de la vigencia </t>
  </si>
  <si>
    <t>ME-44- Diseñar  e implementar  un Programa de fortalecimiento de grupos de investigación y ampliación de las modalidades de investigación.</t>
  </si>
  <si>
    <t xml:space="preserve">Con la convocatoria 07 de 2019, se aprobó el proyecto: Proyectos de Investigación VIRTUS, Se cuenta con el estudio previo, con el fin de realizar la contratación para desarrollo del Software para apoyar las zonas turisticas de Bogotá. 
Apoyo de investigación para el grupo GEA, en el marco del día de la tierra. 
Se realizó una solicitud a la Oficina de Comunicaciones para la visibilidad de las actividades del la Jornada de la Tierra. 
Evaluación de 4 propuestas realizadas en el marco de la convocatoria 09 de 2021 con evaluadores de pares externos. Estudios previos 12 de enero. El informe final fue presentado el 17 de marzo.  
Gestión de Convenio con la Universidad Nacional de Colombia para dar inicio al proyecto aprobado en la convocatoria 890  de MinCinecias. El documento borrador fue aprobado por la Oficina Jurídica y envIado a revisión por la UN.
Con relación a la convocatoria 10 de 2022 se cuenta con el documento borrador para la revisión y aprobación del Vicerrector de Investigación. </t>
  </si>
  <si>
    <r>
      <rPr>
        <b/>
        <sz val="12"/>
        <color theme="1"/>
        <rFont val="Calibri Light"/>
        <family val="2"/>
        <scheme val="major"/>
      </rPr>
      <t xml:space="preserve"> PE-19</t>
    </r>
    <r>
      <rPr>
        <sz val="12"/>
        <color theme="1"/>
        <rFont val="Calibri Light"/>
        <family val="2"/>
        <scheme val="major"/>
      </rPr>
      <t xml:space="preserve">- Innovación para el </t>
    </r>
    <r>
      <rPr>
        <sz val="12"/>
        <color rgb="FFFF0000"/>
        <rFont val="Calibri Light"/>
        <family val="2"/>
        <scheme val="major"/>
      </rPr>
      <t xml:space="preserve"> </t>
    </r>
    <r>
      <rPr>
        <sz val="12"/>
        <color theme="1"/>
        <rFont val="Calibri Light"/>
        <family val="2"/>
        <scheme val="major"/>
      </rPr>
      <t>Fortalecimiento Institucional y el Desarrollo Social.</t>
    </r>
  </si>
  <si>
    <t>ME-45 -  Implementar programa de transferencia de conocimiento (Fortalecer la visibilidad e impacto del conocimiento según los resultados de investigación generado por la actividad científica, tecnológica, académica, social e industrial de la ETITC).</t>
  </si>
  <si>
    <t>Programa Incubadora tecnológica</t>
  </si>
  <si>
    <t xml:space="preserve">ME-48- Diseñar y estructurar el Observatorio Tecnológico y de Innovación de la ETITC. </t>
  </si>
  <si>
    <t xml:space="preserve">Observatorio Tecnológico y de Innovación de la ETITC. </t>
  </si>
  <si>
    <r>
      <rPr>
        <b/>
        <sz val="12"/>
        <rFont val="Calibri Light"/>
        <family val="2"/>
        <scheme val="major"/>
      </rPr>
      <t>ME-49-</t>
    </r>
    <r>
      <rPr>
        <sz val="12"/>
        <rFont val="Calibri Light"/>
        <family val="2"/>
        <scheme val="major"/>
      </rPr>
      <t xml:space="preserve"> Gestionar  y crear el Proyecto Editorial de la Escuela Tecnológica Instituto Técnico Central</t>
    </r>
  </si>
  <si>
    <t>Proyecto editorial creado</t>
  </si>
  <si>
    <t>Se tiene proyecta la convocatoria N° 1 de 2022, El plazo de inscripción se dio durante el mes de marzo del 01/03/2022 al 31/03/2022. Se contó con un Inscrito. El proceso de capacitación se realizará durante el 2° semestre de la vigencia. 
Se tienen previstas 7 documento (autores), sin embargo, los mismos no han enviado las respectivas correcciones a lugar.</t>
  </si>
  <si>
    <t>Centro de Extensión</t>
  </si>
  <si>
    <r>
      <rPr>
        <b/>
        <sz val="12"/>
        <rFont val="Calibri Light"/>
        <family val="2"/>
        <scheme val="major"/>
      </rPr>
      <t xml:space="preserve">PE-20- </t>
    </r>
    <r>
      <rPr>
        <sz val="12"/>
        <rFont val="Calibri Light"/>
        <family val="2"/>
        <scheme val="major"/>
      </rPr>
      <t xml:space="preserve">Centro de Capacitación Industrial </t>
    </r>
    <r>
      <rPr>
        <strike/>
        <sz val="12"/>
        <rFont val="Calibri Light"/>
        <family val="2"/>
        <scheme val="major"/>
      </rPr>
      <t xml:space="preserve"> </t>
    </r>
    <r>
      <rPr>
        <sz val="12"/>
        <rFont val="Calibri Light"/>
        <family val="2"/>
        <scheme val="major"/>
      </rPr>
      <t>como espacio de cualificación  para la empleabilidad a inmediato plazo.</t>
    </r>
  </si>
  <si>
    <t>20 empresas</t>
  </si>
  <si>
    <t>Con Bienestar Universitario se analizan las conclusiones del trabajo de reconocimientos del entorno, para identificar la oportunidad de ofertar cursos con las sedes de Mártires y Kennedy.</t>
  </si>
  <si>
    <t>Para el 1° trimetre de la vigencia se realizan los cursos en: 1. comunicación oral y escrita. 2, Dibujo Técnico. 3. matemáticas básica. 4. principios de física. 5. Orientación profesional. 6. 6. CNC. Y se desarrollan la certificaciones en instalaciones eléctricas y lean management primer semestre</t>
  </si>
  <si>
    <t>Número de acuerdos suscritos con colegios</t>
  </si>
  <si>
    <t xml:space="preserve">Durante el 1° trimestre de la vigencia se han promovido: 
15 cursos (intencidad horaria entre 20 y 60 horas), 5 diplomados (intencidad horaria entre 80 a 120 horas), 4 certificaciones ( intencidad 120 horas).
Se han realizado actividades como publicidad a través de FACEBOOK institucional y correos masivos, de igual manera se actualizo la imagen de los cursos, diplomados, certificaciones a ofertar.   </t>
  </si>
  <si>
    <r>
      <rPr>
        <b/>
        <sz val="12"/>
        <rFont val="Calibri Light"/>
        <family val="2"/>
        <scheme val="major"/>
      </rPr>
      <t xml:space="preserve">PE-21- </t>
    </r>
    <r>
      <rPr>
        <sz val="12"/>
        <rFont val="Calibri Light"/>
        <family val="2"/>
        <scheme val="major"/>
      </rPr>
      <t>Proyección Social más allá de las fronteras</t>
    </r>
  </si>
  <si>
    <t xml:space="preserve">25%
</t>
  </si>
  <si>
    <t>Convenios realizados con comunidades vulnerables</t>
  </si>
  <si>
    <t>Se han realizado acercamiento con empresa: FESTO (suministro de 11 cursos, acuerdo marco), SENA, SIEMENS, CONECTEL</t>
  </si>
  <si>
    <t>AVANCE 1° TRIMESTRE</t>
  </si>
  <si>
    <t>AVANCE 2° TRIMESTRE</t>
  </si>
  <si>
    <t>AVANCE 3° TRIMESTRE</t>
  </si>
  <si>
    <t>AVANCE 4° TRIMESTRE</t>
  </si>
  <si>
    <t>Vicerrectoría de Investigación Extemsión y Transferencia</t>
  </si>
  <si>
    <t>E3-  LO AMBIENTAL: UN ACUERDO POR LA VIDA Y PARA LA VIDA EN CONTEXTO AMBIENTAL</t>
  </si>
  <si>
    <t>SEGUIMIENTO PDI 2021 - 2024, 
VIGENCIA 2021</t>
  </si>
  <si>
    <t>Avance &gt;40%</t>
  </si>
  <si>
    <t>Avance =&lt;40%</t>
  </si>
  <si>
    <t>Gestión ambiental</t>
  </si>
  <si>
    <t xml:space="preserve">PE-22 Política institucional ambiental en la ETITC alineada al Sistema de Gestión Ambiental </t>
  </si>
  <si>
    <t>ME-56- Implementar una  política ambiental bajo consideraciones de sostenibilidad.</t>
  </si>
  <si>
    <t xml:space="preserve">Las actividades desarrolladas durtante el primer trimestre de la vigencia estan a cordes a la política ambiental institucioal, ene ste sentido se han desarrollado en sus primeras etapas los 9 proyectos a cargo del proceso Gestión ambiental, alcanzando un avance del 17%. </t>
  </si>
  <si>
    <t>Porcentaje de diseño e implementación de la catedra ETITC alcanzado</t>
  </si>
  <si>
    <t xml:space="preserve">Gestión ambiental </t>
  </si>
  <si>
    <t xml:space="preserve">PE-24- Optimización en el consumo de energía eléctrica y uso de energías alternativas. 
</t>
  </si>
  <si>
    <t xml:space="preserve">ME-58- Lograr el Diez por ciento (10%) de ahorro energético.
</t>
  </si>
  <si>
    <t>2.5%</t>
  </si>
  <si>
    <t xml:space="preserve">Se han realizado dos reuniones con Infraestructura eléctrica (14 y 30 de marzo), mediante las cuales se revisaron las recomendaciones hechas por el DNP "Evaluación del potencial de la disminucion del consumo de energia", se determino que se va a ejecutar 1° el proyecto de medición de la calidad energetica, posteriormete se instalaran medidore de consumo por sectores.
En enero de 2022 el DNP  através de informe dio a conocer a la ETITC, las diferente matrices de consumo de energía. Se proyecta realizar un proyecto entorno a estos resultados y análisis realizados. </t>
  </si>
  <si>
    <t xml:space="preserve">Rectoría </t>
  </si>
  <si>
    <t xml:space="preserve">Gestión Documental / Gestión ambiental </t>
  </si>
  <si>
    <t xml:space="preserve">ME-59 Implementar el programa de racionalización de consumo de papel
</t>
  </si>
  <si>
    <t>ME-60- Realizar la adecuada disposición de todos los residuos producidos en el área de infraestructura, talleres y laboratorios.</t>
  </si>
  <si>
    <t>Respecto al estudios previos para contratar el proveedor de elementos para el manejo de aceite lubricante usado, El proceso se encuentra en proceso de indagar acerca de los proveedores que puedan suministrar los elementos de necesidad institucional (estibas, embudos, etc)</t>
  </si>
  <si>
    <t xml:space="preserve">PE-25- Diseño e Implementación de espacios de “Concepto verde” que mejoren la vida académica en las sedes de la ETITC.
</t>
  </si>
  <si>
    <t>ME-61- Adecuar espaciós verdes verticales y horizontales.</t>
  </si>
  <si>
    <t>Porcentaje de elaboración del programa de mantenimiento e intervención de los espacios verdes verticales y horizontales</t>
  </si>
  <si>
    <t xml:space="preserve">A través del Cto- 148 de 2021, se realizo la propuesta de diseño paisajístico de las jardineras en la Sede central.
A través del Contrato 154 de 2022 ($15,750,000), se plantea llevar a cabo las adecuación respectivas. 
Se han realziado actividades de jardineria como: Abono de tierra, clasificación de plantas existentes ($13.490.974).
</t>
  </si>
  <si>
    <t>Vicerrectoría administrativa y Financiera</t>
  </si>
  <si>
    <t>Porcentaje de ejecución del programa de mantenimiento e intervención de los espacios verdes verticales y horizontales</t>
  </si>
  <si>
    <t>Se han realizado las siguientes actividades de jardineria con el Cto 154 de 2022: 1- Organización y poda del  invernadero y espacio de piscicultura de la sede central de la ETITC. 
Se encuentra en fase de diseño el nuevo modulo para el invernadero a través del Cto- 090 de 2022.</t>
  </si>
  <si>
    <t xml:space="preserve">PE-26- Actualización de la infraestructura física, cumpliendo normativas aplicables y generando espacios adecuados para el desarrollo de actividades académicas y de bienestar en un el marco  de la sostenibilidad
</t>
  </si>
  <si>
    <t>ME-62- Adelantar el 50% del reforzamiento estructural de la sede principal.</t>
  </si>
  <si>
    <t xml:space="preserve">A través del Cto 008 de 2022 se han realizado las siguientes actividades: Apoyo a la supervisión de obra de mantenimiento para la preservación del inmueble BIC.
2. Elaboración de socilitudes ante el MinCultura.
Seguimiento a la ejecución de los proyectos aprobados por el MinCultura: Mantenimiento y limpieza de la claraboya, intervención del local de transformación, desinfección y fumigación general, reparación de filtraciones de agua por cubierta.
Se encuentra en ejecución el Cto - 090 de 2022.
1. Elaboración de diseño Arquitectonico de: Sala de informática MAC, oficina para la reubicación temporal de dependencias, nuevo modulo apra el invernadero, diseño para el rincón del docente y administrativo.
2. Apoyo en la elaboración de los formatos  técnicos de baja del mobiliario almaqcenado en la Sede Central y Sede calle 18.
Apoyo en la organización del mobiliario y elementos adquiridos en ordenes de compra. 
</t>
  </si>
  <si>
    <t>ME-63- Construir espacios adecuados para la ubicación del gimnasio y áreas para desarrollo de actividades de bienestar estudiantil. (Administrativos y docentes)</t>
  </si>
  <si>
    <t>Contratación</t>
  </si>
  <si>
    <t>ME-64- Contar con un sistema control de acceso para la sede principal.</t>
  </si>
  <si>
    <t>ME-65- Adecuación completa de la sede de la calle 18.</t>
  </si>
  <si>
    <t>Porcentaje de adecuación alcanzado</t>
  </si>
  <si>
    <t>Se han realizado las siguientes actividades de mantenimiento locativo:
1. Cambio de llave de la poceta del balo de mujeres en el primer piso
2. Cambio de Chapa del cuarto debajo de las estacaleras del segundo piso.
3. Ajuste de puerta de la casa hacia el exterior.
4. Mantenimiento de los lavamanos portatiles (2)</t>
  </si>
  <si>
    <t>ME-66- Adaptación progresiva de la planta física para implementar la normativa de movilidad reducida.</t>
  </si>
  <si>
    <t xml:space="preserve">Porcentaje de gestión para la implementación de la normatividad de movilidad reducida  </t>
  </si>
  <si>
    <t>Porcentaje de ejecución de la intervenciones necesarias para la implementación de la normatividad de movilidad reducida.</t>
  </si>
  <si>
    <t>Para el 1° trimestre de la vigencia, se cuenta con la asistencia a una capacitación (4 de marzo)
realización del diseño para guardar la silla salva escaleras tipo oruga.
La cabina se fabricará a través del Cto 359 de 2021.</t>
  </si>
  <si>
    <t>ME-67- Optimización de la oferta de parqueaderos en la sede central.</t>
  </si>
  <si>
    <t>ME -68 - Gestionar las Dotaciones de las instalaciones y sede principal para  la permanencia y aumento de la oferta.</t>
  </si>
  <si>
    <t xml:space="preserve">Durante el 1° triemstre de la vigencia, Se envió a Almacen del formato de baja de 714 unidades de moviliario entre sillas, pupitres, mesas y archivadores que se encuentran almacenados en la sede Centra.
Por otro lado se realizo la organización del mobiliario adquirido de las ordenes de compra 83651, 83653, 83654 y 83650 para los siguientes proyectos: 1. Salas de profesores de 2° y 3° piso, 2. Rincón del docente y administrativo, 3° Oficinas de Autoevaluación, 4° Oficinas de Gestión de Informática y telecomunicaciones, 5° Comedor interior y exterior. </t>
  </si>
  <si>
    <t>ME-69- Estructurar y gestionar el registro de Pregrado en Ingeniería Agrícola por ciclos.</t>
  </si>
  <si>
    <t xml:space="preserve">Los documentos maestros para el pregrado en ingenieria Agricola por ciclos se encuentran elaborados, paso siguiente se surtirá un proceso de tipo institucional para verificar la viabilidad de este programa en la ETITC. 
Desde Autoevaluación, se revisaron los 3 documentos maestros entregados. Se espera su presentación ante el Consejo académico y Consejo directivo para dar continuidad al prámite. </t>
  </si>
  <si>
    <t>ME-71-  Estructurar  y gestionar el registro de   Pregrado en Ingeniería de energías por ciclos</t>
  </si>
  <si>
    <t>Para el periodo de reporte se han adelantado actualizaciones normativas en los siguientes aspectos:
- Constitución del Comité Editorial Científico (Resolución 153-2022)
- Comité de Capacitación, Bienestar y Estímulos (La Resolución 317-2022 se encuentra en elaboración con el área de Talento Humano)
- Reestructuración del Comité de Conciliación (Resolución 288-2022)
Adicionalmente, desde Secretaría General se ha realizado acompañamiento a todos los actos administrativos que son firmados por Rectoría, con corte a 30 de junio se han expedido 353 Resoluciones.
Por parte del Consejo Directivo se han expedido cuatro Acuerdos, se resalta el Acuerdo 04 de 18 de mayo de 2022 - Por el cual se expide y aprueba la actualización del Proyecto Educativo Institucional de la Escuela Tecnológica Instituto Técnico Central.
Desde el Consejo Académico se han expedido cinco Acuerdos, se resaltan los siguientes:
- Acuerdo 05 de 9 de mayo de 2022 - Por el cual se reglamenta la modalidad de Trabajo de Grado “Estudios Coterminales o de Postgrado” de la Escuela Tecnológica Instituto Técnico Central
- Acuerdo 02 de 22 de abril de 2022 - Por el cual se expide y adopta el Reglamento de Trabajos de Grado para los programas del nivel Profesional Universitario de la Escuela Tecnológica Instituto Técnico Central</t>
  </si>
  <si>
    <r>
      <t xml:space="preserve">https://etitc.edu.co/es/page/nosotros&amp;normatividad&amp;resoluciones
</t>
    </r>
    <r>
      <rPr>
        <b/>
        <sz val="10"/>
        <rFont val="Arial"/>
        <family val="2"/>
      </rPr>
      <t>Acuerdos Consejos:
https://etitc.edu.co/es/page/nosotros&amp;normatividad&amp;acuerdos
Borrador Resolución Comité de Capacitación, Bienestar y Estímulos:
https://itceduco-my.sharepoint.com/:w:/r/personal/asuntosdisciplinarios_itc_edu_co/_layouts/15/Doc.aspx?sourcedoc=%7B9B7E93A4-D5D8-4230-A3ED-607DEDC48F94%7D&amp;file=RESOLUCION%20COMITE%20DE%20CAPACITACION%20Y%20ESTIMULOS%20(1).docx&amp;action=default&amp;mobileredirect=true</t>
    </r>
  </si>
  <si>
    <t>La plataforma Ekogui se actualiza en la medida en que los procesos judiciales tienen actuaciones que se deben reportar, en ese sentido, se actualizó a 30 de junio, a la fecha se cuenta con 19 procesos activos en la plataforma.
Adicionalmente la Secretaría General apoyó la elaboración del informe de empalme entre Gobierno Nacional, enviando la información solicitada por la Oficina Asesora de Planeación, y realizando los ajustes solicitados.
Finalmente, la Secretaría General actualiza el numeral 4.9. Informe sobre defensa pública y prevención del daño antijurídico del botón de transparencia y acceso a la información, con informes trimestrales.</t>
  </si>
  <si>
    <t>Informe Ekogui reportado por correo electrónico
https://etitc.edu.co/archives/informempalme22.pdf
https://etitc.edu.co/es/page/leytransparencia</t>
  </si>
  <si>
    <t>Se cuenta con dos bases, se actualizan cada vez que hay una actuación procesal, una de las bases con la radicación de los actos administrativos, se cuenta con la asignación numérica, la otra base cuenta con los procesos, radicados, nombres, actuaciones, observaciones y términos para prescripción, a la fecha, las bases se encuentran actualizadas con 23 casos.
El acceso a las dos bases está restringido únicamente para el Secretario General y el Profesional de Asuntos Disciplinarios.</t>
  </si>
  <si>
    <t>https://itceduco-my.sharepoint.com/:w:/r/personal/asuntosdisciplinarios_itc_edu_co/_layouts/15/Doc.aspx?sourcedoc=%7B942F1D1D-5033-4093-B06F-97D7FE929C6C%7D&amp;file=PROCESOS%20DISCIPLINARIOS%20BASE.docx&amp;action=default&amp;mobileredirect=true</t>
  </si>
  <si>
    <t>El 22 de junio se impartió una capacitación a docentes del IBTI sobre los deberes del servidor público, nuevo Código General Disciplinario y Protocolos de Atención, se contó con la participación aproximada de 40 docentes.</t>
  </si>
  <si>
    <t>https://itceduco-my.sharepoint.com/:p:/r/personal/asuntosdisciplinarios_itc_edu_co/_layouts/15/Doc.aspx?sourcedoc=%7B55CFDF4B-A7A2-4ED5-978A-168E9F7E21CB%7D&amp;file=Presentaci%C3%B3n%20Disciplinario%20y%20Protocolos%20docentes%20IBTI.pptx&amp;action=edit&amp;mobileredirect=true</t>
  </si>
  <si>
    <t>El 28 de abril se llevó a cabo la ceremonia de grados, celebrada adecuadamente, se contó con 330 graduandos.
Actualmente se realiza la preparación para las próximas ceremonias de grado, dispuestas a realizarse en las fechas: 28 de octubre para PES, y 07 de diciembre para IBTI.</t>
  </si>
  <si>
    <t>Transmisión en facebook live institucional</t>
  </si>
  <si>
    <t>https://www.etitc.edu.co/archives/segesparyrdc22.xlsx</t>
  </si>
  <si>
    <t xml:space="preserve">Se realizo el seguimiento al PPC 1° trimestre.
Se definió el cronograma de seguimiento al Plan de Participación Ciudadana para la 3° semana de julio. </t>
  </si>
  <si>
    <t>https://www.etitc.edu.co/archives/seguimientopdi2022.xlsx</t>
  </si>
  <si>
    <t xml:space="preserve">Se realizo el 1° seguimiento al PAAC 2022, para ello se realizaron diferentes reuniones con los responsables de cada área.
Se realizo el 1° seguimiento al Plan de Acción Institucional (instrumento de seguimiento e informe de seguimiento)
Se realizo el 1° seguimiento a las Metas estrategicas PDI 1° Trimestre. 
Se definieron cronogramas para la realización del 2° seguimiento al PAI Y PAAC.
Se llevo a cabo la actualización del espacio Participa, de forma que los dos botones dispuestos se articulen.
</t>
  </si>
  <si>
    <t xml:space="preserve">Se apoyaron las siguientes áreas en la correcta implementación del las políticas MIPG: 
Gestión Documental, Talento Humano, Jurídoca Contratación  
Se realizaron los autodiagnosticos de las políticas: Atención al Ciudadano, Rendición de Cunetas, Integridad. 
</t>
  </si>
  <si>
    <t>Documentos elaborados</t>
  </si>
  <si>
    <t>Esta actividad se tiene proyectada para el 2° semestre de la vigencia. Si embargo, se realiza monitoreo constante desde la OAP a publicado en la Página Institucional para dar cumplimeinto a los lineamientos normativos, resolución 1519 de 2020, Ley 1712 de 2014.</t>
  </si>
  <si>
    <t>Esta actividad se tiene proyectada para el 2° semestre de la vigencia. Si embargo se realiza monitoreo constante desde la OAP a publicado en la Página Institucional para dar cumplimeinto a los lineamientos normativos, resolución 1519 d 2020, Ley 1712 de 2014.</t>
  </si>
  <si>
    <t xml:space="preserve">Se ha realizado el reporte del 1° trimestre del Plan de Acción Sectorial. Para ello se solicitaron evidencias y planes de trabajo a: Informátiva y Comunicaciones, Talento Humano, Jurídica Contratación y Presupuesto. </t>
  </si>
  <si>
    <t>https://www.etitc.edu.co/archives/pas22.xlsx</t>
  </si>
  <si>
    <t xml:space="preserve">Se construyeron los indicadores transformacionales para la vigencia 2022 (10 en total).
Se realizo seguimiento a los 3 proyectos e inversión, especificamente con corte a marzo y junio. </t>
  </si>
  <si>
    <t>https://www.etitc.edu.co/archives/indicadorgestionmar22.xlsx
https://www.etitc.edu.co/archives/seguimientopimar2022.xlsx
https://www.etitc.edu.co/archives/seguimientopijun2022.xlsx</t>
  </si>
  <si>
    <t xml:space="preserve">Esta actividad no ha tenido avance durante el 2° trimestre </t>
  </si>
  <si>
    <t>Durtante el 1° trimestre de la vigencia desde la Oficina Asesora de Planeación se realizaron reuniones con el MEN, como parte de la estrategia para mejorar los resultados frente al reporte FURAG 2021. En este sentido s erealizaron reunines con los diferentes líderes de las políticas de desarrollo administrativo, para recolectar evidencias y realizar el reporte en el aplicativo dispuesto para tal fin durante la 2° y 3° semana de marzxo, el certificado de diligenciamiento se recibio el pasado 22 de marzo con un diligenciamiento al 100%</t>
  </si>
  <si>
    <t>Documento elaborado y socializado</t>
  </si>
  <si>
    <t>En el mes de abril, la profesional de Aseguramiento de la Calidad entregó los informes a las facultades pendientes (Sistemas y Mecatrónica), actualmente se encuentran en revisión, ajuste y aprobación por parte de los decanos, y finalicen los documentos.</t>
  </si>
  <si>
    <t>Esta actividad esta programada para el 2° semestre de la vigencia, toda vez que la actividad requiere los planes de mejoramiento formulados por parte del área de Autoevaluación, los cuales serán suministrados en septiembre.</t>
  </si>
  <si>
    <t>En abril de 2022 se publicó la Edición 1 del SIACET 2022 en la página web, y desde el área de Comunicaciones se socializó con la comunidad educativa de la ETITC el 12 de mayo de 2022.</t>
  </si>
  <si>
    <t>https://etitc.edu.co/archives/siacet2.pdf</t>
  </si>
  <si>
    <t>Se elaboró la matriz de articulación del SIACET que contiene la articulación de los objetivos del Plan de Desarrollo Institucional, Decreto 1330 de 2019 (condiciones de calidad, tanto institucional como de programa), Acuerdo 02 de 2020 (factores, tanto institucionales como de programa), Políticas del MIPG, sistema de gestión en procesos (ítems de la NTC 9001), y evidencias.</t>
  </si>
  <si>
    <t>La metodología para la definición del modelo de autoevaluación con fines de acreditación de programas se probó por el Comité del Sistema de Gestión del PDI y Autoevaluación con fines de Acreditación Institucional, de igual modo, el taller para la ponderación de factores y características del modelo se llevó a cabo los días 24 y 25 de mayo, y el 1 y 2 de junio con la facultad de Sistemas.
Se realizó la ponderación y se presentó el resultado de la misma con las justificaciones de cada factor al Comité del Sistema de Gestión del PDI y Autoevaluación con fines de Acreditación Institucional en sesión del 23 de junio, quien aprobó las respectivas ponderaciones, quedando pendiente la aprobación de las justificaciones de cada factor para el 8 de julio, una vez surtida esta aprobación, se generará el documento del modelo.</t>
  </si>
  <si>
    <t>En el Acuerdo 04 del 18 de mayo del Consejo Directivo se expidió y aprobó la actualización del Proyecto Educativo Institucional de la ETITC, y en este documento se encuentran las políticas definidas en el Decreto 1330 de 2019.
Se encuentra pendiente la Política de Talento Humano para que sea aprobada en el Comité Institucional de Gestión y Desempeño y posteriormente por el Consejo Directivo, se plantea la presentación para aprobación del Consejo Directivo a más tardar en el mes de agosto.</t>
  </si>
  <si>
    <t>Se presentó la estrategia ante el Comité de Gestión del PDI y Acreditación, y ante el Consejo Directivo (el 15 de junio) la definición de equipos de trabajo que liderarán la Acreditación Institucional, los equipos se componen de líderes misionales o estratégicos, y líderes técnicos, adicionalmente se definieron los mecanismos para la cultura de autoevaluación.
Se está elaborando el documento "Mecanismo para el fortalecimiento de la cultura de autoevaluación", dicho documento busca orientar a los equipos conformados para la acreditación institucional.
Como tercera acción, se cuenta con el acompañamiento para acreditación institucional, se recibirá visita amiga del CNA, dicha visita se llevará a cabo los días 13 y 14 de julio.
Finalmente, se dispuso un repositorio documental en One Drive, donde cada líder tiene acceso, y se clasifican los alcances de los líderes, en la primera semana de junio, el equipo técnico de autoevaluación se reunió con los líderes, para explicar el alcance del rol de los líderes en el proceso de acreditación institucional.</t>
  </si>
  <si>
    <t xml:space="preserve">Documentos elaborados y entregados </t>
  </si>
  <si>
    <t xml:space="preserve">Matriz elaboradas </t>
  </si>
  <si>
    <t xml:space="preserve">Propuesta en elaboración </t>
  </si>
  <si>
    <t xml:space="preserve">Acuerdo 04 del 18 de mayo del Consejo Directivo
Política de Talelnto humano </t>
  </si>
  <si>
    <t>Procesos de socialización y borrador del documento 
"Mecanismo para el fortalecimiento de la cultura de autoevaluación"</t>
  </si>
  <si>
    <t>Se elaboró una matriz de identificación (modelo de programas) donde se asignaron responsabilidades, y el equipo técnico de autoevaluación se reunió con los líderes con el fin de reflexionar sobre la asignación del aspecto, y establecer grados de responsabilidad, las reuniones iniciaron la última semana de marzo, y finalizaron el 16 de mayo.
Adicionalmente se hizo identificación de similitud entre aspectos de los dos modelos (programas e institucional).
Posteriormente, se elaboró la verificación de similitud.
Actualmente se encuentra en proceso de diseño la actividad mediante la cual el líder del factor valida e implementa la verificación de similitud elaborada por el equipo técnico de autoevaluación.</t>
  </si>
  <si>
    <r>
      <t xml:space="preserve">Actualmente se están autoevaluando quince programas, con las siguientes fases:
</t>
    </r>
    <r>
      <rPr>
        <b/>
        <sz val="14"/>
        <rFont val="Calibri"/>
        <family val="2"/>
        <scheme val="minor"/>
      </rPr>
      <t xml:space="preserve">1) Recolección documental: </t>
    </r>
    <r>
      <rPr>
        <sz val="14"/>
        <rFont val="Calibri"/>
        <family val="2"/>
        <scheme val="minor"/>
      </rPr>
      <t xml:space="preserve">75% de cumplimiento
</t>
    </r>
    <r>
      <rPr>
        <b/>
        <sz val="14"/>
        <rFont val="Calibri"/>
        <family val="2"/>
        <scheme val="minor"/>
      </rPr>
      <t>2) Análisis documental:</t>
    </r>
    <r>
      <rPr>
        <sz val="14"/>
        <rFont val="Calibri"/>
        <family val="2"/>
        <scheme val="minor"/>
      </rPr>
      <t xml:space="preserve"> 5% de cumplimiento
</t>
    </r>
    <r>
      <rPr>
        <b/>
        <sz val="14"/>
        <rFont val="Calibri"/>
        <family val="2"/>
        <scheme val="minor"/>
      </rPr>
      <t>3) Entrevista:</t>
    </r>
    <r>
      <rPr>
        <sz val="14"/>
        <rFont val="Calibri"/>
        <family val="2"/>
        <scheme val="minor"/>
      </rPr>
      <t xml:space="preserve"> 40% de cumplimiento 
</t>
    </r>
    <r>
      <rPr>
        <b/>
        <sz val="14"/>
        <rFont val="Calibri"/>
        <family val="2"/>
        <scheme val="minor"/>
      </rPr>
      <t>4) Encuesta:</t>
    </r>
    <r>
      <rPr>
        <sz val="14"/>
        <rFont val="Calibri"/>
        <family val="2"/>
        <scheme val="minor"/>
      </rPr>
      <t xml:space="preserve"> 33% de cumplimiento (218 docentes, y 2071 estudiantes), falta encuestar 3200 graduados, 200 empresarios, 11 directivos, y 100 administrativos.</t>
    </r>
  </si>
  <si>
    <t>Una vez superadas las fases de la actividad anterior, se radicará.</t>
  </si>
  <si>
    <t>El 15 de junio se informó al Consejo Directivo el retraso de presentación de condiciones iniciales, así que la actividad se postergará.
No se presenta más avance debido a las recomendaciones del CNA y Univalle sobre postergar la presentación de condiciones iniciales.</t>
  </si>
  <si>
    <t>Se concluyó el proceso de condiciones institucionales, se espera recibir concepto por parte del MEN.
El 6 de junio la ETITC recibió observaciones de sale, y el 18 del mismo mes, la Escuela respondió las observaciones.</t>
  </si>
  <si>
    <t>Los días 4 y 5 de abril, la ETITC atendió una visita de evaluación externa, el 29 de abril se recibieron observaciones de los pares, encontrando a satisfación los requisitos, y aprobando los conceptos dados por los pares, actualmente el programa se encuentra en estado "Proyección y generación de Resolución", esperando desde el 29 de abril el concepto de sala.</t>
  </si>
  <si>
    <t xml:space="preserve">El 2 de junio el área entregó guía instructiva para el cargue de información en plataforma Nuevo SACES, se envió a la decanatura de especializaciones, y al profesional curricular contratado para este fin.
El 2 de junio se llevó a cabo una reunión virtual para explicar la metodología.
El 7 de abril se participó en reunión sobre avance de nuevos registros calificados de especializaciones.
El 21 de junio se acompañó a la coordinación en el estudio de factibilidad de los nuevos programas de especializaciones. </t>
  </si>
  <si>
    <t>Se elaboró y envió a la Viceacadémica una guía sobre cómo elaborar un documento maestro con fines de registro calificado, así como guía para cargue de información en plataforma Nuevo SACES.</t>
  </si>
  <si>
    <t>Guía elaborada y socializada</t>
  </si>
  <si>
    <t>Correos de respuesta a las observaciones</t>
  </si>
  <si>
    <t xml:space="preserve">Acta de inicio y ejecución contractual </t>
  </si>
  <si>
    <t xml:space="preserve">Elementos instalados </t>
  </si>
  <si>
    <t>Evidencia visual de la capacitación</t>
  </si>
  <si>
    <t>Para la vigencia 2022 se cuenta con 2 contratos por prestación de servicios: 016 inició el 15 de enero, y 137 inició el 1º de febrero. (finalizan 15 de diciembre). Valor por $47.733.861.</t>
  </si>
  <si>
    <t>Se elaboró el borrador del Manual de Bienes Muebles, se debe revisar por Contabilidad y Tesorería.
Se espera surtir el proceso de aprobación para el mes de agosto, en el Comité de Sostenibilidad Contable.</t>
  </si>
  <si>
    <t>https://itceduco-my.sharepoint.com/:w:/g/personal/almacen_itc_edu_co/ETz79cpMtgpEkGLAHNP6zpkByWMJdgvvXKg1hhKX9a2P5w?e=5oDTCK</t>
  </si>
  <si>
    <t>La impresora se compró con insumos, costó $4.155.004 MCTE, orden de compra 89314-2022.</t>
  </si>
  <si>
    <t>SECOP II - Correo electrónico</t>
  </si>
  <si>
    <t>Se ha solicitado información acerca del desarrollo de esta meta estratégica tanto a la Vicerrectoría Académica y Administrativa y Financiera, sin embargo, no se ha recibido información al respecto.</t>
  </si>
  <si>
    <t>Se cuenta con un total de 183 contratos publicados y celebrados.
Se han realizado 37 procesos de mínimas cuantías, 3 selecciones abreviadas, 3 subastas inversas, 3 concursos de méritos, 1 selección abreviada de enajenación de bienes, 1 licitación pública, y 149 contrataciones directas.
El total de contratos da un valor de 197, debido a que se han presentado 10 procesos que o bien se declararon desiertos y no se culminó su contratación.
El Plan Anual de Adquisiciones se aprobó en Comité de Contratación el 14 de junio y se publicó el 15 de junio, su versión 14º.</t>
  </si>
  <si>
    <t>https://itceduco-my.sharepoint.com/:x:/g/personal/contratacion_itc_edu_co/EXYaRAirUB1KicYCdCefE5sBUQJhdmlQaS-529-bvjdI1g?e=4%3ADvp3pZ&amp;at=9&amp;CID=87d08281-a9af-22cd-1044-31f72aea7b6f</t>
  </si>
  <si>
    <t>El talento Humano del área de Contratación asistió a capacitación de SIGEP, y a la asistencia técnica sobre la Política de Compras y Contratación Pública, realizada por el Ministerio de Educación Nacional el 21 de junio.
Adicionalmente, el área realizará una capacitación sobre supervisión de contratos en el mes de julio.</t>
  </si>
  <si>
    <t xml:space="preserve">Plataforma SIMO </t>
  </si>
  <si>
    <t xml:space="preserve">Actos administrativos </t>
  </si>
  <si>
    <t xml:space="preserve">Evidencia fotográfica de los eventos realizados </t>
  </si>
  <si>
    <t xml:space="preserve">Correos enviados y Evidencia fotográfica de los eventos realizados  </t>
  </si>
  <si>
    <t>Plan actualizado</t>
  </si>
  <si>
    <t>Documento en construcción</t>
  </si>
  <si>
    <t>591453000 (Recursos vigencia 2021)</t>
  </si>
  <si>
    <t xml:space="preserve">documentos precontractuales </t>
  </si>
  <si>
    <t>De igual modo, se realizará movilidad local a un estudiante del 13 al 15 de julio 65º Congreso Internacional, Agua, Saneamiento, Ambiente y Energías Renovables.
En el marco del programa CIMA del SUE, se realizará movilidad de 4 estudiantes de Mecatrónica a la Universidad Distrital.</t>
  </si>
  <si>
    <t>Se recibió carta de aceptación para una docente, para que asista al Congreso ACOFI dispuesto a realizarse en Cartagena, de igual modo, el Decano de la facultad asistirá al congreso en mención.</t>
  </si>
  <si>
    <t>No se ha programado ninguna movilidad estudiantil internacional.</t>
  </si>
  <si>
    <t>Se participará en el Congreso Internacional de Etica, Ciencia y Educación, la ETITC es una de las 35 instituciones que participan, en este caso, como organizadores, se realizará en Bucaramanga el 21, 22 y 23 de septiembre, asistirán 3 docentes, los 3 mejores estudiantes, y un representante de la Decanatura.</t>
  </si>
  <si>
    <t>Se llevó a cabo el encuentro de la Red de Mecatrónica el 8 de abril de 2022, en la Universidad Agustiniana.</t>
  </si>
  <si>
    <t>Se participará en el Congreso en el mes de octubre, en Bucaramanga, se llevará a docentes y estudiantes.</t>
  </si>
  <si>
    <t>La actividad se realizará en octubre con estudiantes del IBTI, para que se relacionen con la facultad de Mecatrónica.</t>
  </si>
  <si>
    <t>Se impulsará la creación de la Red de Egresados de Mecatrónica, se centrará en capacitaciones y socialización de tecnologías emergentes, con el evento de Innpulsa Colombia, se aportará en esta actividad.</t>
  </si>
  <si>
    <t>Se gestionó evento con Innpulsa Colombia, con mentorías que durarán 6 meses, sobre emprendimiento, y metodologías ágiles, para selección de propuestas por parte de MinTIC, el evento se realizará en septiembre.</t>
  </si>
  <si>
    <t>Se han realizado los siguientes cursos 1 20 docentes, 2 laboratoristas, y 3 estudiantes:
- LabVIEW Core 1
- LabVIEW Core 2
- Monitoreo y Control de Sistemas
- Embebidos con LabVIEW
- NI Circuit Design Suite (Multisim)
- Adquisición de Datos usando NI-DAQmx y LabVIEW.
Los 60 cursos de Matlab se han realizado a la medida, 247 usuarios han utilizado licencias de Matlab.</t>
  </si>
  <si>
    <t>Asistencia Congreso CIIMA</t>
  </si>
  <si>
    <t xml:space="preserve">Carta de Aceptación </t>
  </si>
  <si>
    <t xml:space="preserve">Evidencia fotográfica de los cursos  realizados </t>
  </si>
  <si>
    <t>Los estudios previos fueron entregados al área de Contratación el 16 de mayo (valor de $50.000.000,00), se espera el giro de recursos de Plan de Fomento a la Calidad para su contratación</t>
  </si>
  <si>
    <t>Redimec se realiza virtualmente, y se enviará una invitación formal a un Congreso que se realizará aproximadamente a mediados de septiembre.</t>
  </si>
  <si>
    <t>Se atenderá en el marco de la renovación del convenio Acosend</t>
  </si>
  <si>
    <t>Soporte remitido por la Facultad de Procesos Industriales.</t>
  </si>
  <si>
    <t>Se ejecutó el contrato 208-2020 sobre estudios de viabilidad del nuevo programa.
Se espera a visitas de Rectoría y Vicerrectoría Académica para posibles alianzas (convenios) con otras universidades con el fin de utilizar instalaciones para ofertar el programa de pregrado, por el momento, se analiza la viabilidad de ofertar el programa en Casanare, la visita se tiene programada para los días 22 y 23 de julio.</t>
  </si>
  <si>
    <t>Se realizó mantenimiento de todas las zonas verdes,(febrero - marzo), así mismo de los 2 edificios en las instalaciones Kennedy.</t>
  </si>
  <si>
    <t xml:space="preserve">Diseños en construción </t>
  </si>
  <si>
    <t xml:space="preserve">Actas de inicio y </t>
  </si>
  <si>
    <r>
      <rPr>
        <sz val="14"/>
        <rFont val="Calibri"/>
        <family val="2"/>
        <scheme val="minor"/>
      </rPr>
      <t>Se elaboró un diagnóstico, con insumos de entrevistas con directivos de la institución, y docentes.
Se identificó la percepción, articulación con sus áreas, así como posibles actividades para el Centro de Pensamiento y Desarrollo Tecnológico (CPDT).
Posteriormente se definieron doce líneas de acción y estrategias que orienten el CPDT; a partir de dichas líneas y estrategias se ejecutarán actividades de implementación del CPDT.</t>
    </r>
    <r>
      <rPr>
        <b/>
        <sz val="14"/>
        <rFont val="Calibri"/>
        <family val="2"/>
        <scheme val="minor"/>
      </rPr>
      <t xml:space="preserve">
Congreso de Ingeniería, Desarrollo Humano y Sostenibilidad Global: </t>
    </r>
    <r>
      <rPr>
        <sz val="14"/>
        <rFont val="Calibri"/>
        <family val="2"/>
        <scheme val="minor"/>
      </rPr>
      <t xml:space="preserve"> Se adelantó la divulgación del evento en la página web de la institución.</t>
    </r>
    <r>
      <rPr>
        <b/>
        <sz val="14"/>
        <rFont val="Calibri"/>
        <family val="2"/>
        <scheme val="minor"/>
      </rPr>
      <t xml:space="preserve">
</t>
    </r>
  </si>
  <si>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38%2D40%2DCentro%20de%20Pensamiento%20y%20Desarrollo%20Tecnol%C3%B3gico%2FCONGRESO%20DE%20INGENIER%C3%8DA%2C%20DESARROLLO%20HUMANO%20Y%20SOSTENIBILIDAD%20GLOBAL</t>
  </si>
  <si>
    <t>Convocatoria de Investigación, Innovación y Tecnología Estudiantil N° 01-2022 con el propósito de fortalecer las habilidades para la investigación de los estudiantes que se interesan en adelantar proyectos en grupo y así dinamizar así competencias investigativas en complemento al proceso académico formal.
Se presentaron 3 proyectos a la convocatoria, se elaboraron estudios previos, y solicitud de CDP, valor $9.924.110</t>
  </si>
  <si>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38%2D40%2DCentro%20de%20Pensamiento%20y%20Desarrollo%20Tecnol%C3%B3gico%2FConv%2E%20J%C3%B3venes%20Talento</t>
  </si>
  <si>
    <t>En el Comité Institucional de Investigación se aprobó un proyecto, orientado por 3 docentes y un joven investigador, el proyecto iniciará el 2º semestre de la vigencia.
Se elaboraron estudios previos, y solicitud de expedición del CDP por un valor de $129.948.889, se espera el desembolso de recursos del Plan de Fomento a la Calidad.</t>
  </si>
  <si>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38%2D40%2DCentro%20de%20Pensamiento%20y%20Desarrollo%20Tecnol%C3%B3gico%2FDise%C3%B1o%20y%20Desarrollo%20de%20proyectos%20de%20Inv</t>
  </si>
  <si>
    <t>Una capacitación en ciberseguridad y riesgos informáticos para proyectos que apoya el CPDT, dirigida a estudiantes del semillero de investigación (15 estudiantes), y el docente, se elaboraron estudios previos, se expidió CDP, la capacitación iniciará el 2º semestre de la vigencia.</t>
  </si>
  <si>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38%2D40%2DCentro%20de%20Pensamiento%20y%20Desarrollo%20Tecnol%C3%B3gico%2FCapacitaci%C3%B3n%20en%20Investigaci%C3%B3n%2FCapacitaci%C3%B3n%20t%C3%A9cnica%20Red%20Team%20Blue%20Team</t>
  </si>
  <si>
    <t>Red Institucional: Proponer la creación de la red de Centros de Desarrollo Tecnológicos del País (reunión en agosto)</t>
  </si>
  <si>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38%2D40%2DCentro%20de%20Pensamiento%20y%20Desarrollo%20Tecnol%C3%B3gico%2FRed%20Institucional</t>
  </si>
  <si>
    <r>
      <t xml:space="preserve">Estudios previos: </t>
    </r>
    <r>
      <rPr>
        <sz val="14"/>
        <rFont val="Calibri"/>
        <family val="2"/>
        <scheme val="minor"/>
      </rPr>
      <t>Se elaboraron el 18 de mayo, actualmente se tramita la Resolución de pago.</t>
    </r>
    <r>
      <rPr>
        <b/>
        <sz val="14"/>
        <rFont val="Calibri"/>
        <family val="2"/>
        <scheme val="minor"/>
      </rPr>
      <t xml:space="preserve">
Solicitud CDP: </t>
    </r>
    <r>
      <rPr>
        <sz val="14"/>
        <rFont val="Calibri"/>
        <family val="2"/>
        <scheme val="minor"/>
      </rPr>
      <t>Se solicitó el 18 de mayo, por un valor de 7.785 US para la renovación de la plataforma.
En el marco de la renovación, se realiza capacitación sobre la plataforma para docentes.</t>
    </r>
  </si>
  <si>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43%2D46%2D47%20INNOVACI%C3%93N%2FRenovaci%C3%B3n%20y%20Capacitaci%C3%B3n%20Turnitin</t>
  </si>
  <si>
    <t>Se adelantó gestión de apoyo para las becas del concurso del Grupo GEA, y los certificados de participación.
Resolución 315 de 2022, becas premio Jornada de la Tierra.
Se aprobó y elaboró acta de inicio del proyecto "Estudio de estrategias de control de alto desempeño aplicadas al motor de reluctancia conmutada", presentada en la Convocatoria 09-2021 del grupo Techne, carta de aprobación de fecha mayo 19, acta de inicio del 20 de mayo.
Revisión por pares evaluadores de 4 propuestas de proyectos de grupos de investigación, se entrega como evidencia relación de 6 proyectos (2 son de otra convocatoria), el 16 de junio fueron aprobados los 4 proyectos en el Comité de Investigación.</t>
  </si>
  <si>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44%2DSEMILLEROS%2F1%2E%20Convocatorias%20Financiaci%C3%B3n%2FConv%2E%20Financiaci%C3%B3n%20semilleros</t>
  </si>
  <si>
    <t>Se hizo el lanzamiento de la convocatoria 02 de proyectos disciplinares, cuyo objetivo es promover la consolidación y socialización de la investigación disciplinar desde las aulas,
laboratorios y talleres de las Facultades, con el fin de generar nuevo conocimiento,
desarrollo tecnológico e innovación, apropiación social, divulgación y formación en la
ETITC.
En el 2º semestre se recibirán propuestas y se adelantará la gestión pertinente.</t>
  </si>
  <si>
    <t>https://etitc.edu.co/archives/convocatoria0222.pdf</t>
  </si>
  <si>
    <t>NA</t>
  </si>
  <si>
    <t>El encuentro se realizará el 27 de octubre.</t>
  </si>
  <si>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44%2DSEMILLEROS%2F2%2E%20Afiliaci%C3%B3n%20a%20Redcolsi</t>
  </si>
  <si>
    <t>Se llevará a cabo los días 19, 20 y 21 de agosto, asistirán 50 invitados.</t>
  </si>
  <si>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44%2DSEMILLEROS%2F3%2E%20IX%20Campamento%20de%20Semilleros%20de%20Investigaci%C3%B3n</t>
  </si>
  <si>
    <t>Los estudiantes se inscribieron, el evento se realizará del 8 al 12 de agosto, se solicitó factura para pagar, se solicitó CDP por un valor de $1.100.000,00</t>
  </si>
  <si>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44%2DSEMILLEROS%2F4%2E%20Encuentro%20Nodo%20Bogot%C3%A1%20RedColsi</t>
  </si>
  <si>
    <t>Esta actividad depende de la anterior (sobre quienes pasen el encuentro regional)</t>
  </si>
  <si>
    <t>Actividad programada para el 2º semestre</t>
  </si>
  <si>
    <t>Convocatoria de   acompañamiento   para   la identificación  de  creaciones  y  obras  susceptibles  de  protección  por  mecanismos  de propiedad  intelectual  con el  fin  de  promover la  identificación  temprana  de desarrollos tecnológicos con potencial de protección y registro ante las autoridades competentes en materia de propiedad intelectual.
Los términos de referencia se enviaron para revisión de Secretaría General, debido a los formatos a emplear.</t>
  </si>
  <si>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43%2D46%2D47%20INNOVACI%C3%93N%2FII%20Convocatoria%20de%20Propiedad%20Intelectual</t>
  </si>
  <si>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43%2D46%2D47%20INNOVACI%C3%93N%2FI%20Encuentro%20Red%20de%20Investigaci%C3%B3n%20e%20Innovaci%C3%B3n%20%28Congreso%29</t>
  </si>
  <si>
    <t>Resolución 184 del 5 de abril de 2022 "Por la cual se autoriza un pago", QUINIENTOS  NOVENTA  Y OCHO MIL QUINIENTOSPESOS($598.500) M/CTE, ante la Superintendencia de Industria y Comercio.
Se solicitó CDP y proyección de estudios previos para construcción del prototipo de la patente, se han realizado reuniones con el CPDT y el inventor de la patente, quién será contratado para acompañar la elaboración del prototipo.</t>
  </si>
  <si>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43%2D46%2D47%20INNOVACI%C3%93N%2FPatente%20Prensa%20de%20Alacr%C3%A1n</t>
  </si>
  <si>
    <t>El 24 de junio se enviaron los informes depurados al grupo GEA, se adelantaron los informes bibliométricos de los grupos VIRTUS y Techne.
Como resultado del último Comité de Investigación, se solicitó realizar un estudio bibliométrico de la productividad de la Escuela, con el objetivo de actualizar las líneas de investigación.</t>
  </si>
  <si>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48%20APOYO%20INVESTIGACI%C3%93N</t>
  </si>
  <si>
    <t>Convocatoria Publicación cuadernos ETITC Nº02 de 2022, su propósito de esta convocatoria es apoyar la publicación de escritos no seriados que contribuyan con la generación de conocimiento, divulgación y construcción de la memoria académica.
Apertura julio 15, recepción textos julio 15 a septiembre 15, revisión editorial agosto 15, aprobación o rechazo documento septiembre 20, corrección de estilo octubre 1, diagramación noviembre 1, creación ISBN noviembre 15, publicación Repositorio Cuadernos  ETITC diciembre 1, se espera para la divulgación y ejecución de la convocatoria.</t>
  </si>
  <si>
    <t>https://itceduco-my.sharepoint.com/personal/auxviceinvestigacion_itc_edu_co/_layouts/15/onedrive.aspx?e=5%3A44ed44966677437c9ecbc83c9738aff0&amp;at=9&amp;CT=1657577411623&amp;OR=OWA%2DNT&amp;CID=5d9323d5%2Da80b%2D7b62%2Df823%2De6d9dbef9ab1&amp;FolderCTID=0x0120000E72DD1814C10D44B626AAC3FA60CD6D&amp;id=%2Fpersonal%2Fauxviceinvestigacion%5Fitc%5Fedu%5Fco%2FDocuments%2FVIET%2D%202022%2FVIET%2D2022%2FPLAN%20DE%20ACCI%C3%93N%2D2022%2FSoportes%20Seguimiento%20Plan%20de%20Acci%C3%B3n%20a%20Junio%2030%2D2022%2FM%2D49%2DREVISTA</t>
  </si>
  <si>
    <t>Se elaboró el boletín Nº6, se espera a la diagramación para proceder la publicación.
Se inicó la gestión para el boletín Nº7.</t>
  </si>
  <si>
    <t xml:space="preserve">Esta actividad aún no ha tenido avance, sin embargo, esta actividad es una actividad a ejecutar de manera mancomunada con la Vicerrectoía Académica. </t>
  </si>
  <si>
    <t xml:space="preserve">Lista de certificados </t>
  </si>
  <si>
    <t>Esta certificación finaliza el 7 de julio</t>
  </si>
  <si>
    <t>Listado de certificados</t>
  </si>
  <si>
    <t>Actividad en proceso</t>
  </si>
  <si>
    <t>Estrategia de publicidad ejecutada</t>
  </si>
  <si>
    <r>
      <rPr>
        <b/>
        <sz val="12"/>
        <color theme="1"/>
        <rFont val="Calibri Light"/>
        <family val="2"/>
      </rPr>
      <t>Durante el 2º trimestre de la vigencia se han desarrollado las siguientes actividades:</t>
    </r>
    <r>
      <rPr>
        <sz val="12"/>
        <color theme="1"/>
        <rFont val="Calibri Light"/>
        <family val="2"/>
      </rPr>
      <t xml:space="preserve">
Se concluyó el proceso de condiciones institucionales, se espera recibir concepto por parte del MEN.
El 6 de junio la ETITC recibió observaciones de sale, y el 18 del mismo mes, la Escuela respondió las observaciones.
El 15 de junio se informó al Consejo Directivo el retraso de presentación de condiciones iniciales, así que la actividad se postergará.
No se presenta más avance debido a las recomendaciones del CNA y Univalle sobre postergar la presentación de condiciones iniciales.
</t>
    </r>
    <r>
      <rPr>
        <b/>
        <sz val="12"/>
        <color theme="1"/>
        <rFont val="Calibri Light"/>
        <family val="2"/>
      </rPr>
      <t xml:space="preserve">Por otra parte: </t>
    </r>
    <r>
      <rPr>
        <sz val="12"/>
        <color theme="1"/>
        <rFont val="Calibri Light"/>
        <family val="2"/>
      </rPr>
      <t xml:space="preserve">
 Se están autoevaluando quince programas, con las siguientes fases:
1) Recolección documental: 75% de cumplimiento
2) Análisis documental: 5% de cumplimiento
3) Entrevista: 40% de cumplimiento 
4) Encuesta: 33% de cumplimiento (218 docentes, y 2071 estudiantes), falta encuestar 3200 graduados, 200 empresarios, 11 directivos, y 100 administrativos.
</t>
    </r>
    <r>
      <rPr>
        <b/>
        <sz val="12"/>
        <color theme="1"/>
        <rFont val="Calibri Light"/>
        <family val="2"/>
      </rPr>
      <t xml:space="preserve">Con relación al modelo de autoevalución con fines de acreditación de programas: </t>
    </r>
    <r>
      <rPr>
        <sz val="12"/>
        <color theme="1"/>
        <rFont val="Calibri Light"/>
        <family val="2"/>
      </rPr>
      <t xml:space="preserve">La metodología para la definición del modelo de autoevaluación con fines de acreditación de programas se probó por el Comité del Sistema de Gestión del PDI y Autoevaluación con fines de Acreditación Institucional, de igual modo, el taller para la ponderación de factores y características del modelo se llevó a cabo los días 24 y 25 de mayo, y el 1 y 2 de junio con la facultad de Sistemas.
Se realizó la ponderación y se presentó el resultado de la misma con las justificaciones de cada factor al Comité del Sistema de Gestión del PDI y Autoevaluación con fines de Acreditación Institucional en sesión del 23 de junio, quien aprobó las respectivas ponderaciones, quedando pendiente la aprobación de las justificaciones de cada factor para el 8 de julio, una vez surtida esta aprobación, se generará el documento del modelo.
</t>
    </r>
    <r>
      <rPr>
        <b/>
        <sz val="12"/>
        <color theme="1"/>
        <rFont val="Calibri Light"/>
        <family val="2"/>
      </rPr>
      <t xml:space="preserve">
Estrategias dirigidas  a la acreditación institucional:</t>
    </r>
    <r>
      <rPr>
        <sz val="12"/>
        <color theme="1"/>
        <rFont val="Calibri Light"/>
        <family val="2"/>
      </rPr>
      <t xml:space="preserve">
Se presentó la estrategia ante el Comité de Gestión del PDI y Acreditación, y ante el Consejo Directivo (el 15 de junio) la definición de equipos de trabajo que liderarán la Acreditación Institucional, los equipos se componen de líderes misionales o estratégicos, y líderes técnicos, adicionalmente se definieron los mecanismos para la cultura de autoevaluación.
Se está elaborando el documento "Mecanismo para el fortalecimiento de la cultura de autoevaluación", dicho documento busca orientar a los equipos conformados para la acreditación institucional.
Como tercera acción, se cuenta con el acompañamiento para acreditación institucional, se recibirá visita amiga del CNA, dicha visita se llevará a cabo los días 13 y 14 de julio.
Finalmente, se dispuso un repositorio documental en One Drive, donde cada líder tiene acceso, y se clasifican los alcances de los líderes, en la primera semana de junio, el equipo técnico de autoevaluación se reunió con los líderes, para explicar el alcance del rol de los líderes en el proceso de acreditación institucional.</t>
    </r>
  </si>
  <si>
    <t>Respecto a la adquisición de una plataforma académica segundo idioma; se cuenta con los estudios previos, de igual manera se cuenta con el estidio de mercado.
Se han realizado 3 reuniones con los posibles oferentes de la plataforma (estudiantes docentes). También se han realizado reuniones con los usuarios de la plataforma una vez se adquiera, el aque se ha expresado la necesidad y la usabilidad del aplicativo. 
Por otra parte desde el Centro de Lengias se han adelantado los siguientes cursos durante el 1° trimestre de la vigencia: Inglés A1 (Cto- 128 de 2022), A2 (Cto. 129 de 2022), B1a (contrato 130 de 2022), B1b (contrato 127 de 2022), B2a ( contrato 131 de 2022), B2b (contrato 126 de 2022)</t>
  </si>
  <si>
    <r>
      <t xml:space="preserve">Desde el Despacho de la Vicerrectoría:
</t>
    </r>
    <r>
      <rPr>
        <sz val="12"/>
        <color theme="1"/>
        <rFont val="Calibri Light"/>
        <family val="2"/>
      </rPr>
      <t xml:space="preserve">Se realiza la matriz de competencias y resultados de aprendizaje de cada uno de los programas (15 programas), se proyecta la finalización de este instrumento para el 25 de julio. 
Se proyecta la actualización del formato de DES-FO-05 Syllabus.
</t>
    </r>
    <r>
      <rPr>
        <b/>
        <sz val="12"/>
        <color theme="1"/>
        <rFont val="Calibri Light"/>
        <family val="2"/>
      </rPr>
      <t xml:space="preserve">Desde la Facultad de Sistemas: 
</t>
    </r>
    <r>
      <rPr>
        <sz val="12"/>
        <color theme="1"/>
        <rFont val="Calibri Light"/>
        <family val="2"/>
      </rPr>
      <t xml:space="preserve">En el marco de la gestión curriculas, Se han realizado 3 reuniones en el periodo evaluado, se ha socializado el tema de resultados de aprendizaje y competencias de programa  por componentes de formación. 
</t>
    </r>
    <r>
      <rPr>
        <b/>
        <sz val="12"/>
        <color theme="1"/>
        <rFont val="Calibri Light"/>
        <family val="2"/>
      </rPr>
      <t xml:space="preserve">Desde la Facultad de Procesos Industriales:
</t>
    </r>
    <r>
      <rPr>
        <sz val="12"/>
        <color theme="1"/>
        <rFont val="Calibri Light"/>
        <family val="2"/>
      </rPr>
      <t xml:space="preserve">Para conseguir una mejora curricular, se llevo a cabo una encuesta "mejora currular en la Facultad de Procesos", se contó con 54 respuestas (34 docentes 20 estudiantes).
Se realiza seguimiento continuo a las actividades del proyecto integrador de esta manera se muestran las actividades, los compromisos y temáticas puntuales tratadas en las diferentes reuniones. </t>
    </r>
  </si>
  <si>
    <t xml:space="preserve">Se socializo el documento elaborado con los líderes de las políticas MIPG
Se determino el cronograma para la realización del seguimiento al Plan de Mejoramiento Políticas MIPG v. 2021.
Para el mes de mayo se recibieron los resultados de la lectura FURAG 2021, misma que dio como resultado 91,3; mostrando así un avance del 2,4 puntos porcentuales, frente a la lectura 2020.
</t>
  </si>
  <si>
    <t xml:space="preserve">Para el mes de mayo se recibieron los resultados de la lectura FURAG 2021, misma que dio como resultado 91,3; mostrando así un avance del 2,4 puntos porcentuales, frente a la lectura 2020.
Se socializaron los resultados ante el CIGD y se elaboro la MIP - MIP para apalancar los resultados vigencia 2022,se socializo el documento elaborado con los líderes de las políticas MIPG
Se determino el cronograma para la realización del seguimiento al Plan de Mejoramiento Políticas MIPG v. 2021.
</t>
  </si>
  <si>
    <t>Esta actividad no ha tenido avance en el 2° trimestre de la vigencia</t>
  </si>
  <si>
    <t xml:space="preserve">El análisis de los resultados del estudio técnico se debe realizar desde espacios directivos, sin enbargo, hasta el momento no se ha realizado esta actividad. 
</t>
  </si>
  <si>
    <t>Durante el 1° trimestre de la vigencia , se ha adelantado un proceso contractual a través del aplicativo SECOP II, para dar avance a las campaña prevención enfermedades laborales y  accidentes de trabajo, así mismo para la definición del profesiogramas.</t>
  </si>
  <si>
    <r>
      <rPr>
        <b/>
        <sz val="12"/>
        <color theme="1"/>
        <rFont val="Calibri Light"/>
        <family val="2"/>
        <scheme val="major"/>
      </rPr>
      <t xml:space="preserve">En el marco del Plan de Bienestar Laboral y el fortalecimiento del clima laboral:
</t>
    </r>
    <r>
      <rPr>
        <sz val="12"/>
        <color theme="1"/>
        <rFont val="Calibri Light"/>
        <family val="2"/>
        <scheme val="major"/>
      </rPr>
      <t xml:space="preserve">26 de abril día de la secretaria, se promovio el Código de Integridad (30 asistentes).
Desde el área de Bienestar Laboraral se realizaron las actividades para la compensación de tiempo 29, 30 de junio y 1° de julio.
Se concedio el 28 de junio como día de la familia. 
Se realizo el reconocimiento el día 8 de mayo (targeta virtual).
11 de mayo feria de servicios, participación de 100 servidores publicos.
13 de mayo día del maestro con 230 participantes.
20 de mayo y 16 de junio actividad física.
23 de junio, se llevo una caminata al serro de Monserrate.
16 de junio se socializo el programa servimos.
postulación de 2 funcionarios para la celebración del día del servidor publico. 
Semana de receso del 21 al 24 de junio, actividades recreativas "Emocionarte con Bienestar", participación de 20 niños.
Actividad de integración y agradecimiento: 
21 docentes IBTI
23 Docentes PES
24 Administrativos.
</t>
    </r>
    <r>
      <rPr>
        <b/>
        <sz val="12"/>
        <color theme="1"/>
        <rFont val="Calibri Light"/>
        <family val="2"/>
        <scheme val="major"/>
      </rPr>
      <t>En el marco del PIC.</t>
    </r>
    <r>
      <rPr>
        <sz val="12"/>
        <color theme="1"/>
        <rFont val="Calibri Light"/>
        <family val="2"/>
        <scheme val="major"/>
      </rPr>
      <t xml:space="preserve">
</t>
    </r>
    <r>
      <rPr>
        <b/>
        <sz val="12"/>
        <color theme="1"/>
        <rFont val="Calibri Light"/>
        <family val="2"/>
        <scheme val="major"/>
      </rPr>
      <t>Mes de mayo</t>
    </r>
    <r>
      <rPr>
        <sz val="12"/>
        <color theme="1"/>
        <rFont val="Calibri Light"/>
        <family val="2"/>
        <scheme val="major"/>
      </rPr>
      <t xml:space="preserve">
Actualización de datos SIGEP, 
Replica de conocimiento SIGEP
Replica de conocimiento Gestión Ambiental.
En total se cuentan con 7 replicas de conocimiento.
16 de junio, Socialización de los cursos del MEN 
10 Personas cumplieron con la totalidad de los cursos.
5 personas de manera parcial.
Actualización del curso generentes publicos de los 11 responsables, solo 2 han realizado su actualización. 
Curso de habilidades blandas, se reportaron 10 certificados. 
Se han enviado 15 diplomados, 5 cursos, 3 conversatorios, 3 conferentecias, y 7 personas han 
enviado certificado. 
Código de integridad: 
1. Se han socializado de manera mensual los valores: Junio, Horestidad
Mayo, respeto. 
Abril, 
2. Día de la secretaria, socialización del código de integridad. 
Se ha avanzado en la construcción de la Plantaforma CAPUS VIRTULA ETITC. Modulo Código de integridad. 
Encuesta "Qué tanto CONOCES DEL Código de Integridad", 87 respuestas. 
</t>
    </r>
  </si>
  <si>
    <t xml:space="preserve">El concurso para la planta docente finalizo el 10 de junio, se presentaron 92 aspirantes, de los cuales solo 7 cumplian requisitos legales y  ninguno logro continuar el proceso de selección.
El concurso de Merito constaba de 7 cargos de tiempo completo y 17 de medio tiempo. </t>
  </si>
  <si>
    <t>El Cto 350 finalizo el 22 de mayo de 2022
la ejecución de las actividades propias para la adecuación de infraestructura tecnológica en la ETITC, se adelantan a través del Cto 344 de 2021, se realizo una prorroga hasta el 22 de julio de 2022, su ejecución se encuentra en un 90%.</t>
  </si>
  <si>
    <r>
      <t xml:space="preserve">La cosecución de esta actividad esta dada por la interacción de diferentes áreas y procesos entre los cuales se encuentra:
Talleres y laboratorios: </t>
    </r>
    <r>
      <rPr>
        <sz val="12"/>
        <rFont val="Calibri Light"/>
        <family val="2"/>
      </rPr>
      <t>Adquisición de materiales para los laboratorios de quimica y fisica, a través del Cto 182 de 2022, con la empresa Norquimicos LTDA,  se adquirió la totalidad de los insumos.</t>
    </r>
    <r>
      <rPr>
        <b/>
        <sz val="12"/>
        <rFont val="Calibri Light"/>
        <family val="2"/>
      </rPr>
      <t xml:space="preserve">
</t>
    </r>
    <r>
      <rPr>
        <sz val="12"/>
        <rFont val="Calibri Light"/>
        <family val="2"/>
      </rPr>
      <t xml:space="preserve">
</t>
    </r>
    <r>
      <rPr>
        <b/>
        <sz val="12"/>
        <rFont val="Calibri Light"/>
        <family val="2"/>
      </rPr>
      <t xml:space="preserve">Por otra parte desde las Facultades: 
Sistemas
</t>
    </r>
    <r>
      <rPr>
        <sz val="12"/>
        <rFont val="Calibri Light"/>
        <family val="2"/>
      </rPr>
      <t xml:space="preserve">La Fase I del Laboratorio de IA a finalizado con los siguientes productos: Entrega de un equipo AC922 SERVIDOR,
IC922, ALMACENAMIENOT DE 53 TERAS REALES, 3 ESTACIONES DE TRABAJO transferencia de conocimeinto.
</t>
    </r>
  </si>
  <si>
    <r>
      <rPr>
        <b/>
        <sz val="12"/>
        <color theme="1"/>
        <rFont val="Calibri Light"/>
        <family val="2"/>
      </rPr>
      <t>La cosecución de esta actividad esta dada por la interacción de diferentes áreas y procesos entre los cuales se encuentra:</t>
    </r>
    <r>
      <rPr>
        <sz val="12"/>
        <color theme="1"/>
        <rFont val="Calibri Light"/>
        <family val="2"/>
      </rPr>
      <t xml:space="preserve">
</t>
    </r>
    <r>
      <rPr>
        <b/>
        <sz val="12"/>
        <color theme="1"/>
        <rFont val="Calibri Light"/>
        <family val="2"/>
      </rPr>
      <t>Gestión Informática y Comunicaciones:</t>
    </r>
    <r>
      <rPr>
        <sz val="12"/>
        <color theme="1"/>
        <rFont val="Calibri Light"/>
        <family val="2"/>
      </rPr>
      <t xml:space="preserve">
El software Automation Studio fue adquirido a través de la resolución 198 de 2022, se recibieron 15 licencias por parte de la empresa CASIBER LTDA y estas se encuentran instaladas en la sede Central. 
El software Enterprise Architec fue adquirido a través de la Resolución 199 DEL 20 de abril de 2022, se recibieron 30 licencias por parte de la empresa SOLUS SA y estas se encuentran instaladas en la sede Central. 
El Cto 350 finalizo el 22 de mayo de 2022
la ejecución de las actividades propias para la adecuación de infraestructura tecnológica en la ETITC, se adelantan a través del Cto 344 de 2021, se realizo una prorroga hasta el 22 de julio de 2022, su ejecución se encuentra en un 90%.
La renovación del plan del Plan de Actualización y soporte4 para el Software Mantum, se realizo a través de la Resolución 200 DEL 20 de abril de 2022.
</t>
    </r>
    <r>
      <rPr>
        <b/>
        <sz val="12"/>
        <color theme="1"/>
        <rFont val="Calibri Light"/>
        <family val="2"/>
      </rPr>
      <t xml:space="preserve">
2° Fase del proyecto aulas para alternancia: </t>
    </r>
    <r>
      <rPr>
        <sz val="12"/>
        <color theme="1"/>
        <rFont val="Calibri Light"/>
        <family val="2"/>
      </rPr>
      <t xml:space="preserve">Se aprobo adición al Cto 301 de 2021, por $ 335.000.000, en efecto se pretende adquirir juegos de pantallas para la alternancia. </t>
    </r>
  </si>
  <si>
    <t xml:space="preserve">La actualización al PGD fue presentada ante el CIGD, misma que fue aprobada. 
Se  proyecta enviar el respectivo documento a los Secretaria General para su respectiva publicación a través de acto administrativo. </t>
  </si>
  <si>
    <r>
      <t xml:space="preserve">La cosecución de esta actividad esta dada por la interacción de diferentes áreas y procesos entre los cuales se encuentra:
ORII:
</t>
    </r>
    <r>
      <rPr>
        <sz val="12"/>
        <rFont val="Calibri Light"/>
        <family val="2"/>
      </rPr>
      <t xml:space="preserve">Durante el 2° trimestre en el marco de  la comunidad de apoyo para clases espejo, se realizaron siete actividades entre el 7 de abril y 2 de junio, con más de 136 registro de participantes.
Por otra parte se realizó un ejercicio de dialogos interculturales con la UNIBAC de Cartagena (16 de junio - 38 participantes) .
Durante el 2° trimesre de la vigencia se llevo a cabo con la Universidad San Marcos de costa Rica el evento "Mes del Investigador" (21 de junio), se contó con la participación de 65 aistentes.
</t>
    </r>
    <r>
      <rPr>
        <b/>
        <sz val="12"/>
        <rFont val="Calibri Light"/>
        <family val="2"/>
      </rPr>
      <t xml:space="preserve">Faciltades 
Mecatrónica: </t>
    </r>
    <r>
      <rPr>
        <sz val="12"/>
        <rFont val="Calibri Light"/>
        <family val="2"/>
      </rPr>
      <t xml:space="preserve">Se llevó a cabo el encuentro de la Red de Mecatrónica el 8 de abril de 2022, en la Universidad Agustiniana.
</t>
    </r>
    <r>
      <rPr>
        <b/>
        <sz val="12"/>
        <rFont val="Calibri Light"/>
        <family val="2"/>
      </rPr>
      <t xml:space="preserve">Sistemas: </t>
    </r>
    <r>
      <rPr>
        <sz val="12"/>
        <rFont val="Calibri Light"/>
        <family val="2"/>
      </rPr>
      <t xml:space="preserve"> Se participo en el evento RED-FI en los meses de abril y mayo, con la temática: Tendencias en la comisión para la ingieneria.
Se participo en los encuentros plenarias de REDIS durante los meses abril, mayo, junio
Infomatrix 2022: La actividad fue realizada en el mes de mayo (21), se contó con la presencia de 100 participación.   </t>
    </r>
  </si>
  <si>
    <t>Englobar todos los predios que integran la sede Central</t>
  </si>
  <si>
    <t xml:space="preserve">Esta actividad no ha tenido avance </t>
  </si>
  <si>
    <t>Esta Meta estratègica no ha tenido avance en el 2° trimestre de la vigencia</t>
  </si>
  <si>
    <t>Se definió la actualización  del documento para el 2022, en el cual se incluyo una nueva estrategia de mantenimiento a  través de terceros. 
Se encuentra en elaboración el listado de APUs para ejecutar estos mantenimientos con terceros.</t>
  </si>
  <si>
    <t xml:space="preserve">Actualmente se desarrolla el Contrato para la creación de estudios maestros para 3 especializaciones (Instrumentación industrial, mantenimiento industrial, Gestión y construcción de redes de media tensión).
Desde la vigencia 2021 se cuenta con las especializaciones: Diseño y Gestión de Sistemas y Dispositivos para Internet de las Cosas, Seguridad y Salud en el Trabajo. </t>
  </si>
  <si>
    <r>
      <t xml:space="preserve">Desde la facultad de Sistemas:
</t>
    </r>
    <r>
      <rPr>
        <sz val="12"/>
        <rFont val="Calibri Light"/>
        <family val="2"/>
        <scheme val="major"/>
      </rPr>
      <t xml:space="preserve">Desde la vigencia 2021 se ejecutó el contrato 327, a la fecha se cuenta con los estudios de factibilidad, desde la Facultad de Sistemas se realizará un analisis para determinar la necesidad de correcciones a los estudios previos, posteriormente se realizará una socialización ante el Vicerrector Acádemico, paso siguiente si se determina la oportunidad se realizará la respectiva presentación ante el Concejo Acádemico.
Se encuentran en elaboración los estudios previos para la contratacióin de los 
anexos técnicos   
</t>
    </r>
    <r>
      <rPr>
        <b/>
        <sz val="12"/>
        <rFont val="Calibri Light"/>
        <family val="2"/>
        <scheme val="major"/>
      </rPr>
      <t xml:space="preserve">Desde la facultad de Especializaciones: </t>
    </r>
    <r>
      <rPr>
        <sz val="12"/>
        <rFont val="Calibri Light"/>
        <family val="2"/>
        <scheme val="major"/>
      </rPr>
      <t xml:space="preserve">
El pasado 21 de junio se realizo un Consejo académico extraordinario, en el cual y a través  del procedimiento GDA- PC- 02 procedimiento de registro calificado (y para las 3 especializaciones), se mostró la consolidación de los 3 primeros pasos del procedimiento en mención: 1. Necesidad académica. 2. Análisis de oportunidad y pertinencia. 3. Aprobación de factibilidad y /o Viabilidad del programa. El 4° paso "Elaboración del documentos maestros" se surtira a más tardar en agosto de la presente vigencia.  
Los  contratos 315, 317 y 325 de 2022 finalizan en el mes de agosto.</t>
    </r>
  </si>
  <si>
    <t>* Formación docente en evaluación para los aprendizajes.
* Formación docente en interpretación y diseño de preguntas tipo Saber
*Actualización del PEI</t>
  </si>
  <si>
    <r>
      <t>Se realiza con una empresa externa 
Se han realizado las siguientes capacitaciones
1. 11 de mayo, Habilidades socioemocionales para docentes del  IBTI, 60 participantes
2. 1° de junio, Activación de la ruta de enfermeria, 44 participantes 
3. 2 de junio, protocolo de atención para situación presuntos casos que competen al sistema de responsabilidad penal para adolecentes, 50 participantes.
4. 21 de junio SST, 56 participantes. 
5. 23 de junio Taller de pscopedagogia 55 participantes. 
E</t>
    </r>
    <r>
      <rPr>
        <b/>
        <sz val="14"/>
        <rFont val="Calibri"/>
        <family val="2"/>
        <scheme val="minor"/>
      </rPr>
      <t>n el marco de la actualización del PEI</t>
    </r>
    <r>
      <rPr>
        <sz val="14"/>
        <rFont val="Calibri"/>
        <family val="2"/>
        <scheme val="minor"/>
      </rPr>
      <t xml:space="preserve">
Se tiene un proyecto de actualización en el que han participado lso diferentes miembros de la maesa de trabajo (5), las reuniones se realzian de manera semanal, en este espacio se muestran los diferentes categorias (Académica, económia institucional, economia  familiar inversión social , entonrmo fisico, contexto administrativo, contexto pedagogico , egresados , salud fíusica mental y recreación, contexto geográfico, contexto laboral), Técnicas análisis documental, encuestas y entrevistas.
Previamente se realizo un análisis al PEI anterior, con el fin de determinar los componentes a modificar y actualizar.
fases: 1. Diagnóstico Institucional 
Aplicación técnicas de recolección 
Propuesta de trabajo  
Revisión dePEI anteriro </t>
    </r>
  </si>
  <si>
    <r>
      <rPr>
        <b/>
        <sz val="12"/>
        <color theme="1"/>
        <rFont val="Calibri Light"/>
        <family val="2"/>
        <scheme val="major"/>
      </rPr>
      <t xml:space="preserve">En el marco de la actualización del PEI:
</t>
    </r>
    <r>
      <rPr>
        <sz val="12"/>
        <color theme="1"/>
        <rFont val="Calibri Light"/>
        <family val="2"/>
        <scheme val="major"/>
      </rPr>
      <t xml:space="preserve">Se tiene un proyecto de actualización en el que han participado los diferentes miembros de la mesa de trabajo (5), las reuniones se realizan de manera semanal, en este espacio se muestran los diferentes categorias (Académica, económia institucional, economia  familiar, inversión social , entono fisico, contexto administrativo, contexto pedagogico , egresados, salud física mental y recreación, contexto geográfico, contexto laboral). En el marco de esta actualización se proyecta efectuar las siguientes Técnicas de recolección documental: Análisis documental, encuestas y entrevistas.
Previamente se realizo un análisis al PEI anterior, con el fin de determinar los componentes a modificar y actualizar.
La Actualización del PEI se encuentra especificamente en el desarrollo de la 1° Fase.
fases: 1. Diagnóstico Institucional 
Aplicación técnicas de recolección 
Propuesta de trabajo .
Revisión dePEI anteriro </t>
    </r>
  </si>
  <si>
    <t>El proyecto tiene dos fases de tu Escuela a mi Escuela: Se ha desarrollado el Pre ITC a los familiares de los posibles integrantes de los nuevos estudiantes (25 participantes).
Se han desarrollado diferentes actividades para promover la inmerción de los estudiantes del IBTI a los PES.</t>
  </si>
  <si>
    <r>
      <rPr>
        <b/>
        <sz val="14"/>
        <rFont val="Calibri"/>
        <family val="2"/>
        <scheme val="minor"/>
      </rPr>
      <t xml:space="preserve">*Renovación de las Mayas curriculares: </t>
    </r>
    <r>
      <rPr>
        <sz val="14"/>
        <rFont val="Calibri"/>
        <family val="2"/>
        <scheme val="minor"/>
      </rPr>
      <t xml:space="preserve">4 especialidades: 1. Diseño 2. Sistemas, 3. Mecatronica 4. Procesos. Todos los grados.
Esto se realiza de manera conjunta entre el representante del área y el coordinador de talleres y laboratorios.   
</t>
    </r>
    <r>
      <rPr>
        <b/>
        <sz val="14"/>
        <rFont val="Calibri"/>
        <family val="2"/>
        <scheme val="minor"/>
      </rPr>
      <t xml:space="preserve">El proyecto tiene dos fases de tu Escuela a mi Escuela: </t>
    </r>
    <r>
      <rPr>
        <sz val="14"/>
        <rFont val="Calibri"/>
        <family val="2"/>
        <scheme val="minor"/>
      </rPr>
      <t>Se ha desarrollado el Pre ITC a los familiares de los posibles integrantes de los nuevos estudiantes (25 participantes).
Se han desarrollado diferentes actividades para promover la inmerción de los estudiantes del IBTI a los PES</t>
    </r>
  </si>
  <si>
    <t>El desarrollo de esta Meta estratégica esta dada por la interacción de 6 áreas (Deportes, Enfermeria, Pastoral, Sicologia, Artes y Trabajo Social ), quienes han desarrollado sus acticidades con optimos resultados durante ekl 1° trimestre de la vigencia, alcanzando un desarrollo en sus actividades del 28%.</t>
  </si>
  <si>
    <t>El desarrollo de esta Meta estratégica esta dada por la interacción de 6 áreas (Deportes, Enfermeria, Pastoral, Sicologia, Artes y Trabajo Social ), quienes han desarrollado sus acticidades con optimos resultados durante el 2° trimestre de la vigencia, alcanzando un desarrollo en sus actividades del 55%.
Para mayor visibilidad de las actividades realizadas, se invita a consultar el Seguimiento al Plan de Acción en el Númeral 4.4.2 del Botón Transparecia
https://www.etitc.edu.co/es/page/leytransparencia</t>
  </si>
  <si>
    <r>
      <t xml:space="preserve">Se han desarrollado las siguientes actividades: 
Identificación alertas tempranas - riesgos asociados a la deserción: </t>
    </r>
    <r>
      <rPr>
        <sz val="12"/>
        <rFont val="Calibri Light"/>
        <family val="2"/>
        <scheme val="major"/>
      </rPr>
      <t xml:space="preserve"> Al finalizar el mes de junio se identificaron 1583 alertas tempranas asociadas a la caracterización estudiantil aplicada a los estudiantes PES. 
</t>
    </r>
    <r>
      <rPr>
        <b/>
        <sz val="12"/>
        <rFont val="Calibri Light"/>
        <family val="2"/>
        <scheme val="major"/>
      </rPr>
      <t xml:space="preserve">
Caracterización Estudiantil PES:
</t>
    </r>
    <r>
      <rPr>
        <sz val="12"/>
        <rFont val="Calibri Light"/>
        <family val="2"/>
        <scheme val="major"/>
      </rPr>
      <t xml:space="preserve">Al finalizar el mes de junio se aplicó el intrumento de caracterización estudiantil a  1587 estudiantes PES activos en el periodo 2022-1.
</t>
    </r>
    <r>
      <rPr>
        <b/>
        <sz val="12"/>
        <rFont val="Calibri Light"/>
        <family val="2"/>
        <scheme val="major"/>
      </rPr>
      <t xml:space="preserve">
Por otra parte: A la fecha se han enviado tanto los EP d</t>
    </r>
    <r>
      <rPr>
        <sz val="12"/>
        <rFont val="Calibri Light"/>
        <family val="2"/>
        <scheme val="major"/>
      </rPr>
      <t xml:space="preserve">e la fase 3 del proyecto RUSIA como de la fase 4 en espera del inicio del proceso de contratación - ENVIADOS 8 DE JUNIO 
</t>
    </r>
    <r>
      <rPr>
        <b/>
        <sz val="12"/>
        <rFont val="Calibri Light"/>
        <family val="2"/>
        <scheme val="major"/>
      </rPr>
      <t xml:space="preserve">
</t>
    </r>
  </si>
  <si>
    <r>
      <rPr>
        <b/>
        <sz val="12"/>
        <color theme="1"/>
        <rFont val="Calibri Light"/>
        <family val="2"/>
        <scheme val="major"/>
      </rPr>
      <t>Se han desarrollado las siguientes actividades:</t>
    </r>
    <r>
      <rPr>
        <sz val="12"/>
        <color theme="1"/>
        <rFont val="Calibri Light"/>
        <family val="2"/>
        <scheme val="major"/>
      </rPr>
      <t xml:space="preserve"> 
1. Acompañamiento integral y en procesos de aprendizaje: 35 estudiantes atendidos en los servicios de entrenamiento y/o  asesoría individual
2. Caracterización de la población estudiantil en procesos de aprendizaje: Se aplicó el instrumento diagnóstico a los estudiantes nuevos durante la inducción (24 y 27 de enero), aplicaron 361.
3. Implementación de estrategias para el fortalecimiento de los procesos de aprendizaje
4. Investigación y proyecto sobre adaptación a la vida universitaria:  Diseño y aplicación de la encuesta de percepción de los estudiantes de la ETITC: A la fecha la han respondido 274 estudiantes.</t>
    </r>
  </si>
  <si>
    <t>Durante el 2º trimestre de la vigencia se evidencia  la atención a 201 estudiantes con 654 apoyos en los servicios prestados por los profesionales del centro de refuerzo especializado, con una dedicación de hasta dos horas en asesoría individual presencial y/o virtual. El cargue de la información se realiza en adviser (RUSIA), no se comparte link de registro por ser información confidencial.</t>
  </si>
  <si>
    <t>1, informe de la encuesta realizada sobre adaptación al medio universitario, la cual contó con la participación de 274 estudiantes y cuyo objetivo es establecer estrategias de acompañamiento y apoyo en el proceso de ingreso a la ETITC.</t>
  </si>
  <si>
    <r>
      <t xml:space="preserve">En el marco del proyecto CREA se han desarrollado las siguientes actividades:
</t>
    </r>
    <r>
      <rPr>
        <sz val="12"/>
        <rFont val="Calibri Light"/>
        <family val="2"/>
        <scheme val="major"/>
      </rPr>
      <t xml:space="preserve">Durante el 2º trimestre de la vigencia se evidencia  la atención a 201 estudiantes con 654 apoyos en los servicios prestados por los profesionales del centro de refuerzo especializado, con una dedicación de hasta dos horas en asesoría individual presencial y/o virtual. El cargue de la información se realiza en adviser (RUSIA), no se comparte link de registro por ser información confidencial.
</t>
    </r>
    <r>
      <rPr>
        <b/>
        <sz val="12"/>
        <rFont val="Calibri Light"/>
        <family val="2"/>
        <scheme val="major"/>
      </rPr>
      <t xml:space="preserve">
Adicionalmente:</t>
    </r>
    <r>
      <rPr>
        <sz val="12"/>
        <rFont val="Calibri Light"/>
        <family val="2"/>
        <scheme val="major"/>
      </rPr>
      <t xml:space="preserve"> 
1. Pubicación de Neurotips (12)
2, Publicación lectotips (12)
3, Estructuración, diseño y publicación del portafolio de servicios de CREA en el sitio web institucional.
4, Campaña de gimnasia cerebral aplicada  a 29 estudiantes.
5, Talleres sobre procesos de atención,  lógicomatemáticos  y lenguaje corporal y empleabilidad" con la participación de 50 estudiantes.
6. Campaña "Hablemos de Inclusión",  actividad masiva que se llevó a cabo con participación del grupo musical de la ETITC, aproximadamente participaron  91 personas.
7. Taller para los docentes de bachillerato "Clases cerebralmente amigables", con la participación de 57 profesores y 5 directivos docentes.
8. Webinar "tardes de café", en donde se abordaron los siguientes temas "El lenguaje y las matemáticas", "qué es el éxito", con un total de 1058 reproducciones.</t>
    </r>
  </si>
  <si>
    <t xml:space="preserve">Se elaboró un diagnóstico, con insumos de entrevistas con directivos de la institución, y docentes.
Se identificó la percepción, articulación con sus áreas, así como posibles actividades para el Centro de Pensamiento y Desarrollo Tecnológico (CPDT).
Posteriormente se definieron doce líneas de acción y estrategias que orienten el CPDT; a partir de dichas líneas y estrategias se ejecutarán actividades de implementación del CPDT.
Congreso de Ingeniería, Desarrollo Humano y Sostenibilidad Global:  Se adelantó la divulgación del evento en la página web de la institución.
</t>
  </si>
  <si>
    <t>Se propone la creación de la Red Institucional y de alianzas estratégicas ante 11 actores pertenencientes a la ciencia e investigación en el panorama nacional, ene ste sentido se proyecta realizar una reunión el próximo mes de agosto, en la que se definiran los lineamientos de este proyectos por los actores participantes.</t>
  </si>
  <si>
    <r>
      <t xml:space="preserve">Se han realizado las siguientes actividades: 
Convocatoria 02   Proyectos Disciplinares:
</t>
    </r>
    <r>
      <rPr>
        <sz val="12"/>
        <color theme="1"/>
        <rFont val="Calibri Light"/>
        <family val="2"/>
        <scheme val="major"/>
      </rPr>
      <t>Se hizo el lanzamiento de la convocatoria 02 de proyectos disciplinares, cuyo objetivo es promover la consolidación y socialización de la investigación disciplinar desde las aulas,
laboratorios y talleres de las Facultades, con el fin de generar nuevo conocimiento,
desarrollo tecnológico e innovación, apropiación social, divulgación y formación en la
ETITC.
En el 2º semestre se recibirán propuestas y se adelantará la gestión pertinente.</t>
    </r>
    <r>
      <rPr>
        <b/>
        <sz val="12"/>
        <color theme="1"/>
        <rFont val="Calibri Light"/>
        <family val="2"/>
        <scheme val="major"/>
      </rPr>
      <t xml:space="preserve">
Convocatorias 09 -2021 y 10-2022  Financiación  proyectos de investigación para grupo:
</t>
    </r>
    <r>
      <rPr>
        <sz val="12"/>
        <color theme="1"/>
        <rFont val="Calibri Light"/>
        <family val="2"/>
        <scheme val="major"/>
      </rPr>
      <t>Se adelantó gestión de apoyo para las becas del concurso del Grupo GEA, y los certificados de participación.
Resolución 315 de 2022, becas premio Jornada de la Tierra.
Se aprobó y elaboró acta de inicio del proyecto "Estudio de estrategias de control de alto desempeño aplicadas al motor de reluctancia conmutada", presentada en la Convocatoria 09-2021 del grupo Techne, carta de aprobación de fecha mayo 19, acta de inicio del 20 de mayo.
Revisión por pares evaluadores de 4 propuestas de proyectos de grupos de investigación, se entrega como evidencia relación de 6 proyectos (2 son de otra convocatoria), el 16 de junio fueron aprobados los 4 proyectos en el Comité de Investigación.</t>
    </r>
    <r>
      <rPr>
        <b/>
        <sz val="12"/>
        <color theme="1"/>
        <rFont val="Calibri Light"/>
        <family val="2"/>
        <scheme val="major"/>
      </rPr>
      <t xml:space="preserve">
Encuentro Nodo Bogotá RedColsi:</t>
    </r>
    <r>
      <rPr>
        <sz val="12"/>
        <color theme="1"/>
        <rFont val="Calibri Light"/>
        <family val="2"/>
        <scheme val="major"/>
      </rPr>
      <t xml:space="preserve"> Los estudiantes se inscribieron, el evento se realizará del 8 al 12 de agosto, se solicitó factura para pagar, se solicitó CDP por un valor de $1.100.000,00</t>
    </r>
  </si>
  <si>
    <r>
      <rPr>
        <b/>
        <sz val="12"/>
        <color theme="1"/>
        <rFont val="Calibri Light"/>
        <family val="2"/>
        <scheme val="major"/>
      </rPr>
      <t xml:space="preserve"> II Convocatoria de Propiedad Intelectual: </t>
    </r>
    <r>
      <rPr>
        <sz val="12"/>
        <color theme="1"/>
        <rFont val="Calibri Light"/>
        <family val="2"/>
        <scheme val="major"/>
      </rPr>
      <t>Convocatoria de   acompañamiento   para   la identificación  de  creaciones  y  obras  susceptibles  de  protección  por  mecanismos  de propiedad  intelectual  con el  fin  de  promover la  identificación  temprana  de desarrollos tecnológicos con potencial de protección y registro ante las autoridades competentes en materia de propiedad intelectual.
Los términos de referencia se enviaron para revisión de Secretaría General, debido a los formatos a emplear.</t>
    </r>
  </si>
  <si>
    <r>
      <t xml:space="preserve">Estudio de analisis Cienciometrico: 
</t>
    </r>
    <r>
      <rPr>
        <sz val="12"/>
        <color theme="1"/>
        <rFont val="Calibri Light"/>
        <family val="2"/>
        <scheme val="major"/>
      </rPr>
      <t>El 24 de junio se enviaron los informes depurados al grupo GEA, se adelantaron los informes bibliométricos de los grupos VIRTUS y Techne.
Como resultado del último Comité de Investigación, se solicitó realizar un estudio bibliométrico de la productividad de la Escuela, con el objetivo de actualizar las líneas de investigación.</t>
    </r>
  </si>
  <si>
    <t>Primer Congreso de Ingeniería, Desarrollo Humano y Sostenibilidad Global, recepción de ponencias 8 de junio al 31 de agosto, evaluación 1 al 24 de septiembre, publicación ponencias aceptadas 26 de septiembre.
El Congreso se desarrollará los días 2 y 3 de noviembre de 2022.
Se solicitó CDP para asistencia de 220 asistentes, logística, instalaciones y alimentación.</t>
  </si>
  <si>
    <r>
      <t xml:space="preserve">III Convocatoria Cuadernos ETITC: </t>
    </r>
    <r>
      <rPr>
        <sz val="12"/>
        <color theme="1"/>
        <rFont val="Calibri Light"/>
        <family val="2"/>
        <scheme val="major"/>
      </rPr>
      <t>Convocatoria Publicación cuadernos ETITC Nº02 de 2022, su propósito de esta convocatoria es apoyar la publicación de escritos no seriados que contribuyan con la generación de conocimiento, divulgación y construcción de la memoria académica.
Apertura julio 15, recepción textos julio 15 a septiembre 15, revisión editorial agosto 15, aprobación o rechazo documento septiembre 20, corrección de estilo octubre 1, diagramación noviembre 1, creación ISBN noviembre 15, publicación Repositorio Cuadernos  ETITC diciembre 1, se espera para la divulgación y ejecución de la convocatoria.</t>
    </r>
  </si>
  <si>
    <t xml:space="preserve">Se han creado vinculos con las siguientes empresas:  Industrias licuadoras Super SAS, Syntofarma, Konecta, Mitsubishi, Electric de Colombia, Eurofarma, Corona, TRIO, Azorty, Lafayette, Imocom, Instituto Britanico
A cada una de estas empresas se les ha extendido invitación a la bolsa de empleo, oferta de servicios de capacitación, oferta de programas académicos de la ETITC. 
</t>
  </si>
  <si>
    <t>Estado: Cumplido y en ejecución. Actualmente se están desarrollando las 
siguientes alianzas de proyección social con miras a beneficiar la comunidad.
1. Red de orientación de colegios distritales de Bogotá: Talleres de proyección 
social para elección de carrera y proyecto de vida con estudiantes de grados 
décimo y once. 
46 estudiantes de grado once beneficiados. 
3 colegios agendados: Colegio 21 Ángeles (Localidad de Suba), Colegio Llano 
Oriental (Localidad de Bosa) y Colegio Francisco de Paula Santander (Localidad 
de Bosa).
2. 18 colegios involucrados en la estrategia los cuales se verán beneficiados en el 
segundo semestre del año 2022.
3. Actualmente en la alianza hay cerca de 80 colegios</t>
  </si>
  <si>
    <t xml:space="preserve">Durante el 2° trimestre de la vigencia se han promovido: 
15 cursos (intensidad horaria entre 20 y 60 horas), 5 diplomados (intensidad horaria entre 80 a 120 horas), 4 certificaciones ( intensidad 120 horas)  . 
</t>
  </si>
  <si>
    <t xml:space="preserve">Durante el 2° trimestre de la vigencia se han promovido: 
15 cursos (intensidad horaria entre 20 y 60 horas), 5 diplomados (intensidad horaria entre 80 a 120 horas), 4 certificaciones ( intensidad 120 horas)  . </t>
  </si>
  <si>
    <t>Solicitar información a TL</t>
  </si>
  <si>
    <r>
      <rPr>
        <b/>
        <sz val="12"/>
        <color theme="1"/>
        <rFont val="Calibri Light"/>
        <family val="2"/>
        <scheme val="major"/>
      </rPr>
      <t>Se han ralizado las siguientes actividades en el marco de la polìtica ambiental Institucional:</t>
    </r>
    <r>
      <rPr>
        <sz val="12"/>
        <color theme="1"/>
        <rFont val="Calibri Light"/>
        <family val="2"/>
        <scheme val="major"/>
      </rPr>
      <t xml:space="preserve"> 
</t>
    </r>
    <r>
      <rPr>
        <b/>
        <sz val="12"/>
        <color theme="1"/>
        <rFont val="Calibri Light"/>
        <family val="2"/>
        <scheme val="major"/>
      </rPr>
      <t xml:space="preserve">1. </t>
    </r>
    <r>
      <rPr>
        <sz val="12"/>
        <color theme="1"/>
        <rFont val="Calibri Light"/>
        <family val="2"/>
        <scheme val="major"/>
      </rPr>
      <t xml:space="preserve">Se realizaron intercambios de materia reciclado con la asociación de reciclaje Pedro León Trauchi, mismo que proveyeron los recipientes necesitados por la institución, por ende, no se ha requerido la compra de cajas u otrol elementos.
</t>
    </r>
    <r>
      <rPr>
        <b/>
        <sz val="12"/>
        <color theme="1"/>
        <rFont val="Calibri Light"/>
        <family val="2"/>
        <scheme val="major"/>
      </rPr>
      <t>2.</t>
    </r>
    <r>
      <rPr>
        <sz val="12"/>
        <color theme="1"/>
        <rFont val="Calibri Light"/>
        <family val="2"/>
        <scheme val="major"/>
      </rPr>
      <t xml:space="preserve"> Realización de pruebas de anilina para determinar las conecciones hidricas de las cajas de aguas resuduales. 
</t>
    </r>
    <r>
      <rPr>
        <b/>
        <sz val="12"/>
        <color theme="1"/>
        <rFont val="Calibri Light"/>
        <family val="2"/>
        <scheme val="major"/>
      </rPr>
      <t>3.</t>
    </r>
    <r>
      <rPr>
        <sz val="12"/>
        <color theme="1"/>
        <rFont val="Calibri Light"/>
        <family val="2"/>
        <scheme val="major"/>
      </rPr>
      <t xml:space="preserve"> Adquisición de la herramienta para realizar la medición del huella de carbono institucional.
</t>
    </r>
    <r>
      <rPr>
        <b/>
        <sz val="12"/>
        <color theme="1"/>
        <rFont val="Calibri Light"/>
        <family val="2"/>
        <scheme val="major"/>
      </rPr>
      <t xml:space="preserve">4. </t>
    </r>
    <r>
      <rPr>
        <sz val="12"/>
        <color theme="1"/>
        <rFont val="Calibri Light"/>
        <family val="2"/>
        <scheme val="major"/>
      </rPr>
      <t xml:space="preserve">Se han llevado a cabo una capacitación con Informática y Comunicaciones y areá de servicios generales.  </t>
    </r>
  </si>
  <si>
    <t xml:space="preserve">Esta actividad aun no se ha ejecutado.
*Se ha adquirido una Herramienta para la eficiencia energetica (Grupo Proredes de la SDA), en este sentido, se nusca su aprovechamiento desde el 3° trimestre de la vigencia. 
</t>
  </si>
  <si>
    <t xml:space="preserve">Se ha identificado la forma en que se están disponiento los residuos en Tintal.
En la Sede Centro se llevará a cabo la entrega de residuos peligrosos  programados a través del aplicativo PROSARC. Se proyecta entregar 275,46 Kg de residuos peligrosos (Cto 180 de 2022)
</t>
  </si>
  <si>
    <r>
      <t xml:space="preserve">Adecuación del parqueadero de la call 15: </t>
    </r>
    <r>
      <rPr>
        <sz val="12"/>
        <color theme="1"/>
        <rFont val="Calibri Light"/>
        <family val="2"/>
        <scheme val="major"/>
      </rPr>
      <t xml:space="preserve">Se lleva a cabo el proceso de planeación par la realización de la actividad (cronograma, recursos, responsables).
</t>
    </r>
    <r>
      <rPr>
        <b/>
        <sz val="12"/>
        <color theme="1"/>
        <rFont val="Calibri Light"/>
        <family val="2"/>
        <scheme val="major"/>
      </rPr>
      <t xml:space="preserve">Suministro e instalación de 90 unidades de biciparqueaderos: </t>
    </r>
    <r>
      <rPr>
        <sz val="12"/>
        <color theme="1"/>
        <rFont val="Calibri Light"/>
        <family val="2"/>
        <scheme val="major"/>
      </rPr>
      <t xml:space="preserve">Se lleva a cabo el proceso de estructuración del estudio previo para la realización de esta actividad. </t>
    </r>
  </si>
  <si>
    <r>
      <t xml:space="preserve">Se realizo en conjunto con almacen el inventario del moviliario del taller de fundición y motores y se envio al área de almacen el inventario de activos fijos para baja el 25 de mayo de 2022 (4 muebles).
</t>
    </r>
    <r>
      <rPr>
        <b/>
        <sz val="12"/>
        <color theme="1"/>
        <rFont val="Calibri Light"/>
        <family val="2"/>
        <scheme val="major"/>
      </rPr>
      <t xml:space="preserve">Desde Planta Física: </t>
    </r>
    <r>
      <rPr>
        <sz val="12"/>
        <color theme="1"/>
        <rFont val="Calibri Light"/>
        <family val="2"/>
        <scheme val="major"/>
      </rPr>
      <t xml:space="preserve">A la fecha no se ha identificado la necesidad de compra de mobiliario.
</t>
    </r>
    <r>
      <rPr>
        <b/>
        <sz val="12"/>
        <color theme="1"/>
        <rFont val="Calibri Light"/>
        <family val="2"/>
        <scheme val="major"/>
      </rPr>
      <t xml:space="preserve">Desde la Facultad de Especializaciones:
Dos Luxometros y 2 Sonómetros con sus respectivas bases: </t>
    </r>
    <r>
      <rPr>
        <sz val="12"/>
        <color theme="1"/>
        <rFont val="Calibri Light"/>
        <family val="2"/>
        <scheme val="major"/>
      </rPr>
      <t xml:space="preserve">El viernes 24 de junio se hizo una reunión con la Oficina de Juridica Contratación, en este espacio se realizó una evaluación acerca de la factibilidad en las diferentes 3 propuestas, se esta a la espera de que se tome la desición acerca del oferente más óptimo. </t>
    </r>
  </si>
  <si>
    <r>
      <rPr>
        <b/>
        <sz val="12"/>
        <color theme="1"/>
        <rFont val="Calibri Light"/>
        <family val="2"/>
        <scheme val="major"/>
      </rPr>
      <t xml:space="preserve">Desde la Facultad de Elétromecanica: </t>
    </r>
    <r>
      <rPr>
        <sz val="12"/>
        <color theme="1"/>
        <rFont val="Calibri Light"/>
        <family val="2"/>
        <scheme val="major"/>
      </rPr>
      <t xml:space="preserve">Se perfeccionaron los estudios previos, mismos que han sido revisados al interior de la Facultad.
Desde la Facultad se envió una Carta de invitación, lineamientos y Procedimiento de Registro Calificado 
Guía para la elaboración de documento maestro con fines de acreditaciónt; estos deben ser reconocidas y cumplidas por los respectivos oferentes de acurdo a las necesidades institucionales. 
 </t>
    </r>
  </si>
  <si>
    <r>
      <rPr>
        <b/>
        <sz val="12"/>
        <color theme="1"/>
        <rFont val="Calibri Light"/>
        <family val="2"/>
        <scheme val="major"/>
      </rPr>
      <t xml:space="preserve">Desde la Facultad de Procesos Industriales: </t>
    </r>
    <r>
      <rPr>
        <sz val="12"/>
        <color theme="1"/>
        <rFont val="Calibri Light"/>
        <family val="2"/>
        <scheme val="major"/>
      </rPr>
      <t xml:space="preserve">Se cuenta con los Estudios previos, mismos que se encuetran en evaluación por la Oficina de Juridica Contratación. 
Se recibio una propuesta por parte de la señora  Maria Cristina Corrales, esta cuenta con 7 etapas 
1. Estudio de factibilidad
2. Identificación   de   sello   distintivo   y   rasgos   diferenciales.
3. Estudio  de  tendencias  asociadas  a  los  objetos  de  estudio  del programa  académicod
4. Construcción de condiciones de calidad.
5. Construcción de Proyecto Educativo del Programa –PEP
6. Apoyo en la construcción de syllabus.
7. Elaboración de documentos síntesis </t>
    </r>
  </si>
  <si>
    <r>
      <rPr>
        <b/>
        <sz val="12"/>
        <color theme="1"/>
        <rFont val="Calibri Light"/>
        <family val="2"/>
        <scheme val="major"/>
      </rPr>
      <t xml:space="preserve">Desde la Facultad de Mecanica: </t>
    </r>
    <r>
      <rPr>
        <sz val="12"/>
        <color theme="1"/>
        <rFont val="Calibri Light"/>
        <family val="2"/>
        <scheme val="major"/>
      </rPr>
      <t>Se ejecutó el contrato 208-2020 sobre estudios de viabilidad del nuevo programa.
Se espera a visitas de Rectoría y Vicerrectoría Académica para posibles alianzas (convenios) con otras universidades con el fin de utilizar instalaciones para ofertar el programa de pregrado, por el momento, se analiza la viabilidad de ofertar el programa en Casanare, la visita se tiene programada para los días 22 y 23 de julio.</t>
    </r>
  </si>
  <si>
    <t>Se cuenta con dos personas para realizar mantenimiento de infraestructura y zonas verdes de las UDP Tintal - Carvajal.</t>
  </si>
  <si>
    <t>Se contrato 3 auxiliares de enfermeria para cubrir las jornadas de prestación de servicios de 7:00 am a 9:00 pm como hace falta de la entrega de las instalaciones nuevas no se ha contratado el auxiliar de audiovisuales y bibliotecologos.</t>
  </si>
  <si>
    <t>A la fecha no se han entregado las instalaciones nuevas el proceso de dotación de laboratorios se encuentra enn proceso.</t>
  </si>
  <si>
    <t xml:space="preserve">Actualmente se identifican los aspectos necesarios a integrar dentro de la política de Comunicaciones de la Escuela. A través de reuniones dentro de la Oficina de Comunicaciones, se han postulado diferentes características puntuales, según las dinámicas institucionales:
Autoevaluación y Acreditación – 04, 08 y 23 de febrero 
Planeación – 09 de febrero  
Bienestar Laboral de Talento Humano – 10 de febrero 
Vicerrectoría de investigación – 21 de febrero 
Dirección del IBTI – 14 de febrero 
Seguridad de la Información – 23 de febrero 
Planta Física – 24 de febrero 
Consejo de Redacción de marzo 
</t>
  </si>
  <si>
    <t xml:space="preserve">Desde la Oficina de Comunicaciones ha integrado lineamientos de las diferentes áreas a la ejecución de la política de comunicaciones institucional </t>
  </si>
  <si>
    <t xml:space="preserve">La estratégia de comunicaciones se desarrolla en el marco de la los lineamientos institucionales </t>
  </si>
  <si>
    <t xml:space="preserve">Se evalua la posibilidad de revisar y dar fianlidad al plan de contingenca, a su vez verifica la pertinenca de la estrategia de comunicación desarrollada </t>
  </si>
  <si>
    <t xml:space="preserve">A partir de las reuniones realizadas se han estructurado 3 parrillas de contenido, así mismo se hace unos el formato de solicitud de apoyo al área.
</t>
  </si>
  <si>
    <t>La parrilla de contenido se estructuro desde el 1° trimestre de la vigencia.</t>
  </si>
  <si>
    <t>Durante el 1° trimestre de la vigencia se han realizado 11 emisiones con los diferentes procesos de la entidad.</t>
  </si>
  <si>
    <t>Documentación del proyecto (PFC)</t>
  </si>
  <si>
    <t xml:space="preserve">Las estrategias que se desarrollan para la inserción de estudiantes egresados del IBTI a los programas PES se realizan de manera permanente: 
Promoción de los PES en diferentes espacios académicos como lo son ferias, clases habituales, cursos y diplomados entre otrol. 
  </t>
  </si>
  <si>
    <t>Cumplimiento en las fases del Consejo Nacional de Acreditación</t>
  </si>
  <si>
    <t>Avance: 
Ejecución del Plan- Avances
1. Apoyo a Maestría: 8 profesores, 2 decanos
2. Apoyo a Doctorado: 1 profesor PES, 1 profesor IBTI
-----------------------
Profesores apoyados:12 de un total de 39 profesores de carrera.
12/39= 31%</t>
  </si>
  <si>
    <t>Actos administrativos a lugar</t>
  </si>
  <si>
    <t>Dentro de la institución no se tienen definida una política d ecomunicaciones</t>
  </si>
  <si>
    <t>En el Consejo Directivo se definió realizar modificación de esta meta, la cual se enfocará en Programas futuros. Es decir, el indicador estará supeditado a los nuevos programas.
Se requiere  fondear un presupuesto de 5.000 millones aprox. para adquisición de una plataforma robusta, lo cual no se había tenido en cuenta cuando se estableció la meta.</t>
  </si>
  <si>
    <t>% DE CUMPLIMIENTO DEL INDICADOR V2022</t>
  </si>
  <si>
    <r>
      <rPr>
        <b/>
        <sz val="12"/>
        <color theme="1"/>
        <rFont val="Calibri Light"/>
        <family val="2"/>
        <scheme val="major"/>
      </rPr>
      <t xml:space="preserve">Para la renovación y capacitación de la herramienta Turnitin: </t>
    </r>
    <r>
      <rPr>
        <sz val="12"/>
        <color theme="1"/>
        <rFont val="Calibri Light"/>
        <family val="2"/>
        <scheme val="major"/>
      </rPr>
      <t xml:space="preserve">
Estudios previos: Se elaboraron el 18 de mayo, actualmente se tramita la Resolución de pago.
Solicitud CDP: Se solicitó el 18 de mayo, por un valor de 7.785 US para la renovación de la plataforma.
En el marco de la renovación, se realiza capacitación sobre la plataforma para docentes.</t>
    </r>
  </si>
  <si>
    <r>
      <t xml:space="preserve">I Encuentro Red de investigación e innovación de la ETITC: </t>
    </r>
    <r>
      <rPr>
        <sz val="12"/>
        <color theme="1"/>
        <rFont val="Calibri Light"/>
        <family val="2"/>
        <scheme val="major"/>
      </rPr>
      <t xml:space="preserve"> Primer Congreso de Ingeniería, Desarrollo Humano y Sostenibilidad Global, recepción de ponencias 8 de junio al 31 de agosto, evaluación 1 al 24 de septiembre, publicación ponencias aceptadas 26 de septiembre.
El Congreso se desarrollará los días 2 y 3 de noviembre de 2022.
Se solicitó CDP para asistencia de 220 asistentes, logística, instalaciones y alimentación.</t>
    </r>
  </si>
  <si>
    <t>&lt;30%</t>
  </si>
  <si>
    <t>&gt;31%&lt;40%</t>
  </si>
  <si>
    <t>&gt;41%&lt;50%</t>
  </si>
  <si>
    <t xml:space="preserve"> Desde 31% hasta 40%</t>
  </si>
  <si>
    <t>Menores a 30%</t>
  </si>
  <si>
    <t>Desde 41% hasta 50%</t>
  </si>
  <si>
    <r>
      <rPr>
        <b/>
        <sz val="12"/>
        <color theme="1"/>
        <rFont val="Calibri Light"/>
        <family val="2"/>
      </rPr>
      <t>Respecto a la adquisición de una plataforma académica segundo idioma:</t>
    </r>
    <r>
      <rPr>
        <sz val="12"/>
        <color theme="1"/>
        <rFont val="Calibri Light"/>
        <family val="2"/>
      </rPr>
      <t xml:space="preserve"> Se cuenta con los estudios previos (avalados por la Oficina de Jurídica Contratación), se proyecta publicar el proceso en SECOP el 12 de julio, y se surtira un proceso por selección abreviada, se cuenta con el CDP 14722.
Por otra parte desde el Centro de Lengias se han concluyeron los siguientes cursos durante el 1° semestre de la vigencia: Inglés A1 (Cto- 128 de 2022), A2 (Cto. 129 de 2022), B1a (contrato 130 de 2022), B1b (contrato 127 de 2022), B2a ( contrato 131 de 2022), B2b (contrato 126 de 2022).
</t>
    </r>
  </si>
  <si>
    <t>El 08 agosto se realizó reunión entre VAC y VAD , donde se determinó que el proyecto ya no tiene sentido por el programa de gratuidad del Gobierno. 
Se decide Presentar al Consejo Directivo para replantear el proyecto y la meta.</t>
  </si>
  <si>
    <t xml:space="preserve">*De acuerdo al plan de pagos se han realizado y entregado los diseños arquitectónicos, estructurales y de redes del Proyecto reforzamiento.
*Radicación del proyecto de reforzamiento ante la Curaduría
*Seguimiento a la radicación a la Curaduría
Inicio a la elaboración de los Pliegos de condiciones y estudios de mercado para la obra de reforzamiento.
*Se cuenta con la licencia de contrucción en modalidad de reforzamiento estructural.
El contratista elabora los pliegos de condiciones para la contratación de la obra de reforzamiento.
</t>
  </si>
  <si>
    <t>Actividades de la ejecución contractual</t>
  </si>
  <si>
    <t>Prestación de servicios profesionales como instructor curso de inglés nivel A1 de 100 horas para primer semestre.</t>
  </si>
  <si>
    <t>Prestación de servicios profesionales como instructor curso de inglés nivel B2a de 100 horas para primer semestre.</t>
  </si>
  <si>
    <t>Se realiza la matriz de competencias y resultados de aprendizaje de cada uno de los programas (15 programas), se proyecta la finalización de este instrumento para el 25 de julio. 
Se proyecta la actualización del formato de DES-FO-05 Syllabus.
---
'-La matriz de competencias y resultados de aprendizaje de cada uno de los programas (15) se proyecta finalizar - 31/08
-Se actualizó el formato DES-FO-05 Syllabus - 02/08 
-Se presentan los PEP en el Consejo Académico - 10/08/2022</t>
  </si>
  <si>
    <t>Ejecutar la 1° fase del SUIE</t>
  </si>
  <si>
    <t>Porcentaje de formulación del Sistema Unificado de Información Estadística</t>
  </si>
  <si>
    <t>Tecnólogo o tècnico en saneamiento ambiental, gestión ambiental o afines para el apoyo en la implementación del Sistema de Gestión Ambiental.</t>
  </si>
  <si>
    <t xml:space="preserve">El estudio de mercado arroja que solo existe un laboratorio en Colombia, con las condiciones técnicas adecuadas, para la realización del muestreo, se proyecta realizar los respectivos estudios previos. </t>
  </si>
  <si>
    <t xml:space="preserve">Del 13 al 16 de septiembre. Encuentro internacional de ingeniera en Cartagena (EIEI ACOFI 2022), se contó con la participación 3 estudiantes y 6 docentes. 
</t>
  </si>
  <si>
    <t>https://itceduco-my.sharepoint.com/personal/procesos_itc_edu_co/_layouts/15/onedrive.aspx?id=%2Fpersonal%2Fprocesos%5Fitc%5Fedu%5Fco%2FDocuments%2F2022%2FEIEI%20ACOFI%202022&amp;ct=1666120510986&amp;or=Teams%2DHL&amp;ga=1</t>
  </si>
  <si>
    <t>https://itceduco-my.sharepoint.com/personal/procesos_itc_edu_co/_layouts/15/onedrive.aspx?id=%2Fpersonal%2Fprocesos%5Fitc%5Fedu%5Fco%2FDocuments%2F2022%2FPlan%20de%20acci%C3%B3n%202022&amp;ct=1666120680158&amp;or=Teams%2DHL&amp;ga=1</t>
  </si>
  <si>
    <t xml:space="preserve">Del 13 al 16 de septiembre. Encuentro internacional de ingeniera en Cartagena (EIEI ACOFI 2022), se contó con la participación 3 estudiantes y 6 docentes. 
Dos docentes (Henry montero Aurora Beltrán) realizaron visita el 30 de septiembre a un Trapiche en Utica, con el objetivo de revisar el proceso que se realiza en el tratamiento de la caña de azúcar y revisar posibles mejoraras.  </t>
  </si>
  <si>
    <t>El estudiante José Luis Espitia, de la facultad de la realiza una movilidad a Bulgaria, en convenio Universidad Técnica de Sofía y la Beca Erasmus, del primero de octubre al 31 de diciembre del 2022.</t>
  </si>
  <si>
    <t xml:space="preserve">Esta actividad finalizo con lo reportado a 30 de junio </t>
  </si>
  <si>
    <t xml:space="preserve">Del 13 al 16 de septiembre. Encuentro internacional de ingeniera en Cartagena (EIEI ACOFI 2022), se contó con la participación 3 estudiantes y 6 docentes. 
Dos docentes (Henry montero Aurora Beltrán) realizaron visita el 30 de septiembre a un Trapiche en Utica, con el objetivo de revisar el proceso que se realiza en el tratamiento de la caña de azúcar y revisar posibles mejoraras.  
En el marco del Congreso ACOFI 2022, la Decana de la facultad participó en el encuentro nacional de directores en ingeniera Industrial (13 de septiembre)
</t>
  </si>
  <si>
    <t>Se obtuvo la afiliación con ACOSEND (06 de abril 2022), con la que se busca que al interior de la Facultad de Procesos Industriales se adelanten las actividades de capacitación (3 conferencias de 2 horas por año) en temas actuales de soldadura, participar en los Comités Técnicos de Soldadura y/o Ensayos No Destructivos, recibir asesorías en procedimientos de soldadura, enlace de la página web de la ETITC y la Facultad de Procesos Industriales, dentro de la página web de ACOSEND, cumpliendo con los objetivos del plan de desarrollo.</t>
  </si>
  <si>
    <t xml:space="preserve">Se han realizada encuesta de percepción con egresados,
, La última encuesta fue remitida a estudiantes egresados durante el mes de septiembre, se proyecta obtener resultados durante los meses de octubre y noviembre </t>
  </si>
  <si>
    <t xml:space="preserve">Se han realizado diferentes reuniones en las que, con los docentes se analizan las competencias que se imparten y las necesarias a mejorar, en este sentido se desarrollaron los proyectos integradores, con el fin de hacer seguimiento al currículo de los programas de la facultad. </t>
  </si>
  <si>
    <t xml:space="preserve">Por reportar </t>
  </si>
  <si>
    <t>La licencia fue renovada a través del Cto  248 de 2022</t>
  </si>
  <si>
    <t xml:space="preserve">A través del Contrato 180 de 2022 dio comienzo la certificación, misma que finaliza el diciembre de la presente vigencia. </t>
  </si>
  <si>
    <t xml:space="preserve">A través del Contrato  125 de 2022 se adquirieron las 50 licencias (cursos e-learning FlexSim). </t>
  </si>
  <si>
    <t>Actualmente se cuenta con la cotización del profesional Oscar Ruiz, de igual manera se observa la propuestita final del oferente, se verifica el documento propuesta para el programa en ingeniera ambiental. Se está a la espera de la verificación de la respectiva documentación por parte de la oficina de contratación.</t>
  </si>
  <si>
    <t>https://itceduco-my.sharepoint.com/personal/procesos_itc_edu_co/_layouts/15/onedrive.aspx?ct=1666120680158&amp;or=Teams%2DHL&amp;ga=1&amp;id=%2Fpersonal%2Fprocesos%5Fitc%5Fedu%5Fco%2FDocuments%2F2022%2FPlan%20de%20acci%C3%B3n%202022%2FEVIDENCIAS%20PLAN%20DE%20ACCION</t>
  </si>
  <si>
    <t>A través del cto 248-2022 se realizaran las respectivas capacitaciones.</t>
  </si>
  <si>
    <t xml:space="preserve">Campaña de socialización y sensibilización. </t>
  </si>
  <si>
    <t xml:space="preserve">Prestación de servicios en las actividades de Autoevaluación </t>
  </si>
  <si>
    <t xml:space="preserve">Los contratos 095, 094, 096 y 260 de 2022 se ejecutan con normalidad. </t>
  </si>
  <si>
    <t>La artuculación continua a través de los talleres con líderes de factor y de equipos con el fin de determinar alcances y responsabilidades institucionales. 
El resultado de esto permitirá consolidarse en la caracterízaciones del SIACET</t>
  </si>
  <si>
    <t>$</t>
  </si>
  <si>
    <t>Actualmente se están autoevaluando quince programas, con las siguientes fases:
1) Recolección documental: 90% de cumplimiento
2) Análisis documental: 63% de cumplimiento
3) Entrevista: 100% de cumplimiento 
4) Encuesta: 90% de cumplimiento (218 docentes, y 2071 estudiantes), falta encuestar 2200 graduados, 200 empresarios, 11 directivos, y 100 administrativos.</t>
  </si>
  <si>
    <t>Se radicaron el 11 de septiembre 2 solicitudes de renovación de la acreditación para la Facultad de Sistemas (Tecnologias en desarrollo de software e Ingieneria de Sistemas)</t>
  </si>
  <si>
    <t>A través del ejercicio de visita de pares amigos del MEN y Univalle se socializo enl avance en terminos de recolección de información estableciendo actividades pendientes.
El próximo 24 y 25 de noviembre se hara entrega formal del documento y evidencias a los pares amigos con el fin de recibir retroalimentación y concepto asesor para la radicación.</t>
  </si>
  <si>
    <t>Se esta a la espera del concepto de los pares amigos para dar inicio a la ejecución de las fases de CNA.</t>
  </si>
  <si>
    <t>La institución recibe concepto favorable de condiciones institucionales del 29 de julio de 2022.</t>
  </si>
  <si>
    <t xml:space="preserve">La institución se encuentra a la espera del concepto favorable por parte del MEN. </t>
  </si>
  <si>
    <t>La actividad de asesoria finalizo con lo reportado a 30 de junio. La profesional de Autoevaluación se encuentra a tenta a requerimientos de las Facultades.</t>
  </si>
  <si>
    <t>La actividad de asesoria finalizo con lo reportado a 30 de junio.</t>
  </si>
  <si>
    <t>Se han realizado las siguientes actividades: 
Actividades individuales (24 actividades en promedo)
Desarrollado Dos talleres de trabajo institucional (29 de septiembre y 10 de octubre)</t>
  </si>
  <si>
    <t>Durante el tercer trimestre de la vigencia no se realziaron actividades de movilidad para estudiantes.
Sin embargo, se ha realizado la respectiva gestión para llevar a cabo los procesos de movilidad durante el 4° trimestre de la vigencia.</t>
  </si>
  <si>
    <t>Durante el tercer trimestre de la vigencia no se realziaron actividades de movilidad para estudiantes.
Sin embargo, se ha realizado la respectiva gestión para llevar a cabo los procesos de movilidad durante el 4° trimestre de la vigencia.</t>
  </si>
  <si>
    <t>Se programa una movilidad internacional para un docente, con destina a Brasil, se espera a la disponibilidad presupuestal.
Esta actividad no fue posible realizarla acorde a lo estipulado en la Directiva Presidencial 08 de sep-2022</t>
  </si>
  <si>
    <t>Durante el tercer trimestre de la vigencia no se realziaron actividades de movilidad para estudiantes.
Sin embargo, se ha realizado la respectiva gestión para llevar a cabo los procesos de movilidad durante el 4° trimestre de la vigencia. Universidad UniMariana el 21 de Octubre en Pasto.</t>
  </si>
  <si>
    <t>Se adelantó la gestión necesaria para realizar la Feria universitaria ETITC, con miras al futuro.</t>
  </si>
  <si>
    <t>Evento Feria Universitaria ETITC, (Estudiantes educación media)</t>
  </si>
  <si>
    <t xml:space="preserve">La actividad Red de Egresados es liderada y centralizada desde el área de Egresados.
El 21 de octubre de 2022, Se realizará el 5° encuentro de egresados
Se realizó la 1° capacitación con Impulsa Colombia, para la realización del evento entre octubre y noviembre.
</t>
  </si>
  <si>
    <t xml:space="preserve">Se realizó la 1° capacitación con Impulsa Colombia, para la realización del evento entre octubre y noviembre.
</t>
  </si>
  <si>
    <t>La actividades son ejecutadas por Martha Rodriguez, hasta el 30 de noviembre 093-2022.
Se solicito prorroga al contrato hasta el 15 de diciembre</t>
  </si>
  <si>
    <t>La actividades son ejecutadas por la profesional Marcela Escobar, Hasta el 30 de noviembre 078-2022. 
Se solicito prorroga al contrato hasta el 15 de diciembre</t>
  </si>
  <si>
    <t xml:space="preserve">Las capacitaciones se realzarán desde el 24 de octubre.
Capacitación en la planta de procesos industriales
Capacitaciones en energías renovables
Ciencia de datos
Metrología dimensional
</t>
  </si>
  <si>
    <t xml:space="preserve">Los Ctos 105 y 106 de 2022, se ejecutan con normalidad.
Estos finalizan el 30 de noviembre. </t>
  </si>
  <si>
    <t>Se realizaron los estudios previos, estos se encuentran en revisión por la Oficina de Contratación, se cuenta con el CDP N° 28822</t>
  </si>
  <si>
    <t>Se realizaron los estudios previos, estos se encuentran en revisión por la Oficina de Contratación.</t>
  </si>
  <si>
    <t>El Cto 264 2021 se encuentra en ejecución con normalidad y se proyecta su continuidad (renovación del contrato), durante el mes de agosto.</t>
  </si>
  <si>
    <t>La renovación se realiza a través del Cto 218 de 2022 por 14.790.000. 
Este cto finaliza en agosto de 2023</t>
  </si>
  <si>
    <t>se realizaron los respectivos estudios previos (24 de agosto de 2022), estos se encuentran en análisis por parte de la oficina de contratación, no se ha recibido retroalimentación por el área.</t>
  </si>
  <si>
    <t xml:space="preserve">Esta actividad esta asociada con el proceso contractual a desarrollar con Pearson y Editorial mc. Graw Hill. </t>
  </si>
  <si>
    <t>A través el cto 172 de 2022. Los Exámenes medicaos periódicos se han realizado en un 100%, quedan abiertos los de ingreso y egreso que se dan de acuerdo a la necesidad</t>
  </si>
  <si>
    <t>Al finalizar el contrato 172 de 2022, se espera recibir el Diagnóstico condiciones de Salud (diciembre)</t>
  </si>
  <si>
    <t>A través del Cto 172, el 01 de octubre se entregaron los profesiogramas.</t>
  </si>
  <si>
    <t>Se realizo la estrategia para la realización de la semana de la salud, proyectada para realizar del 10 al 14 de octubre.</t>
  </si>
  <si>
    <t xml:space="preserve">Con la ARL se ejecutó un proceso de reinversión, el cual dio como resultado la prestación del servicio de una persona al área de SST. </t>
  </si>
  <si>
    <t xml:space="preserve">El 29 de 09 de 2022, se realizó  la respectiva auditoria, como resultado se obtuvo:
Fortalezas: 4
Aspectos de mejora: 6
Hallazgos: 2 
</t>
  </si>
  <si>
    <t xml:space="preserve">Esta actividad aún no ha tenido avance, durante el 4° trimestre. </t>
  </si>
  <si>
    <t xml:space="preserve">Durante el 3° trimestre de la vigencia se estructuro un proyecto con la Decanatura de especializaciones. Se proyecta generar una aplicativo que permitirá ver a través de un proceso de etiquetado las sustancias que se producen. </t>
  </si>
  <si>
    <t xml:space="preserve">Esta actividad no ha tenido avance, se han entregado los documentos respectivos para surtir el proceso, sin embargo no se ha recibido retroalimentación.  </t>
  </si>
  <si>
    <t>Esta actividad se realiza a través del Cto 213 de 2022, toda vez que mediante el Software ALFRESCO se realiza gestión de los documentos electrónicos y permitiendo una gestión adecuada en cada una de las fases del archivo institucional.</t>
  </si>
  <si>
    <t>Esta actividad se realiza a través del Cto 213 de 2022, a partir del 22 de agosto de 2022.</t>
  </si>
  <si>
    <t xml:space="preserve">La actualización al PGD fue presentada ante el CIGD, misma que fue aprobada. 
Se proyecta enviar el respectivo documento a Secretaria General para su respectiva publicación a través de acto administrativo. </t>
  </si>
  <si>
    <t>Esta actividad no ha tenido avance.</t>
  </si>
  <si>
    <t xml:space="preserve">Esta actividad se proyecta realizar durante el mes de octubre. </t>
  </si>
  <si>
    <t>Se desarrollo la gestión necesaria para contratar el servicio para la renovación más ampliación de las NTC ISO 9001:2015 y NTC ISO IEC 27001:2013.
Esta actividad se tiene programada para la última semana de octubre mediante el Cto 123 de 2022.</t>
  </si>
  <si>
    <t xml:space="preserve">Se presento informe de la 1° línea de defensa ante el CIGD el 30 de agosto.
Se consolido la matriz de riesgos de corrupción una vez finalizada el seguimiento por la 2° línea de defensa. 
https://www.etitc.edu.co/archives/mapariesgosgestion22.xlsx 
</t>
  </si>
  <si>
    <t>Se realizo la socializción del procedimiento 
Plantilla para la elaboración de procedimientos, fortaleciento el flujo del proceso. 
Se socializo el proceso de auditoría</t>
  </si>
  <si>
    <t>Durante el 3º trimestre de la vigencia se han adelantado las actividades en un 70%
El seguimiento se realiza a través del aplicativo GLPI, este se realiza de manera semanal.</t>
  </si>
  <si>
    <t>La actividad finalizo con lo reportado al 30 de junio de 2022.</t>
  </si>
  <si>
    <t xml:space="preserve">Se cuenta con una primer fase, la cual se ejecuta a través del contrato 259 de 2022 (inicia 6 de octubre - finaliza 15 diciembre), 
este primera fase contempla todo el ejercicio pre contractual, 
En la fase contractual se adelanta un diagnótico inicial de cada una de las fases que se debe surtir para la actualización del plan de continuidad de la operación </t>
  </si>
  <si>
    <t>Adquisición del elementos</t>
  </si>
  <si>
    <t>Se presentaron los estudios previos al área de informática y comunicaciones, se encuentra a la espera del visto bueno y respectiva retroalimentación</t>
  </si>
  <si>
    <t>Desde la CNSC se informa que el proceso de planeación se encuentra en la etapa de revisión OPEC-Manual, y en contacto con otras entidades a fin de agrupar una mayor cantidad de vacantes.</t>
  </si>
  <si>
    <t xml:space="preserve">El análisis de los resultados del estudio técnico se debe realizar desde espacios directivos, sin embargo, hasta el momento no se ha realizado esta actividad. </t>
  </si>
  <si>
    <t xml:space="preserve">En el marco del Plan de Bienestar Laboral y el fortalecimiento del clima laboral:
8 de julio. Día del trabajo 
5° torneo de bolos, participación del 100% de la planta de personal
4 agosto, celebración del día del servidor público, 45 personas participaron, actividad realizada con COMPENSAR. 
30 de septiembre, día del amor y la amistad. 76 funcionaros participaron
Concurso muestra tu talento: 95 funcionarios participaron. 
Actividad de educación financiera 
28 de septiembre. Actividad física. 6 funcionarios participaron.
Promoción del uso de la bicicleta.
</t>
  </si>
  <si>
    <t xml:space="preserve">En el marco del PIC
Julio Capacitaciones por parte de seguridad de la información (8, 18 de julio 18 de agosto y 22 de septiembre).
Talleres junto a Bienestar Universitario: Solución de conflicto, liderazgo, manejo de estrés y trabajo en equipo.
Se proyectó una capacitación de: control social, por parte del ciudadano a organizaciones civiles (21 julio).
SST: Manejos de cargas al personal de servicios generales (27 de julio).
Almacén y laboratorios y talleres: Se contrató una capacitación del Software MANTUN, 25, 27 y 29 de julio y 4 de agosto. 
Capacitación desde S. Gestión Ambiental. “Reciclar transforma” 23 de agosto en dos sesiones.
SST. Seguridad industrial inpección estados de equipo y herramientas, para las personas de talleres. 
S. Gestión ambiental: Contexto, roles y responsabilidades para el equipo de Infraestructura eléctrica (8 de septiembre)
Ministerio del deporte. Hábitos y estilos saludables, se realizaron 4 sesiones.
Gestión ambiental, con la SDA foro de cambio climático, 15 de septiembre.
Manejo de kit de derrames para la brigada de emergencias.
Cursos: 
Resolución de conflictos, ética de lo público, participación ciudadana, política pública, Toma de decisiones, buen desempeño laboral, trabajo en equipo, desarrollo de competencias, conferencia acoso laboral y comité de convivencia laboral </t>
  </si>
  <si>
    <r>
      <rPr>
        <b/>
        <sz val="14"/>
        <rFont val="Calibri"/>
        <family val="2"/>
        <scheme val="minor"/>
      </rPr>
      <t>Plan anula de vacantes:</t>
    </r>
    <r>
      <rPr>
        <sz val="14"/>
        <rFont val="Calibri"/>
        <family val="2"/>
        <scheme val="minor"/>
      </rPr>
      <t xml:space="preserve">
Se estan adelantando procesos para integrar los siguientes cargos: 
Auxiliar administrativo 404415 de las decanaturas 
404408 Auxiliar de Contabilidad 
124123 Técnico administrativo de registro y control 
Profesional grado 13  de nomina. 
Profesional grafo 15 Control interno. 
Se vinculo el profesional especializado 13 del centro de lenguas 202813 a través de la Resolición: 230 de 2022.
El auxiliar de Talento Humano se vinculó a través de la Resolución 228 de 2022.  
</t>
    </r>
    <r>
      <rPr>
        <b/>
        <sz val="14"/>
        <rFont val="Calibri"/>
        <family val="2"/>
        <scheme val="minor"/>
      </rPr>
      <t xml:space="preserve">Plan de previsión: </t>
    </r>
    <r>
      <rPr>
        <sz val="14"/>
        <rFont val="Calibri"/>
        <family val="2"/>
        <scheme val="minor"/>
      </rPr>
      <t xml:space="preserve">
Se desarrolla el PPTH con normalidad. 
Se vinculo el profesional de SST 204411 a través de la Resolución 302 de 2022.  </t>
    </r>
  </si>
  <si>
    <t>Durante el 2° trimestre se han realizado actividades de acompañamiento a cada área de pendiedo de los planeado dentro del Plan Estrategico de Talento Humano: Nómina, Bienestar laborar, Capacitaciones, Selección y Vinculación, Bonos pencionales y SST.
Se proyecta la consolidar informe de gestión del 1° semestre vigencia 2022.</t>
  </si>
  <si>
    <t xml:space="preserve">Durante el 2° trimestre se han realizado actividades de acompañamiento a cada área de pendiedo de los planeado dentro del Plan Estrategico de Talento Humano: Nómina, Bienestar laborar, Capacitaciones, Selección y Vinculación, Bonos pencionales y SST. 
Se cuenta con el informe de gestión 2022-1
Adicionalmente se realiza la gestión frente: estado Joven, más jovenes en el Estado, Ley de Cuotas, proyección de TH, y la Teletrabajo </t>
  </si>
  <si>
    <t>Se proyecta realizar actualziación ante el SIMO de los cargos vacantes.
Desde la CNSC se informa que el proceso de planeación se encuentra en la etapa de revisión OPEC-Manual, y en contacto con otras entidades a fin de agrupar una mayor cantidad de vacantes.</t>
  </si>
  <si>
    <t>Esta actividad se realiza mediante el contrato 238, avance 95%.</t>
  </si>
  <si>
    <t xml:space="preserve">A través el Cto 169 de 2022, se desarrolla la adquisición respectiva (finaliza al 30 de diciembre ) </t>
  </si>
  <si>
    <t xml:space="preserve">Esta actividad finalizo con lo reportado al 30 de junio </t>
  </si>
  <si>
    <t xml:space="preserve">A través el Cto 256 por un 7800000, se encuentra en un 75% de avance (finaliza 17 de noviembre)
Se ha realizado mantenimiento a 4 de las  11 impresoras 
</t>
  </si>
  <si>
    <t xml:space="preserve">La actividad se realiza a través del Cto 216, se realiza prorroga por cuestiones técnicas de los elementos adquiridos. 
95% de avance  
</t>
  </si>
  <si>
    <t>Esta actividad no será realizada durante la vigencia 2022, por agotamiento de recursos. Será prioridad para la vigencia 2023.</t>
  </si>
  <si>
    <t xml:space="preserve">La actividad se realiza a través del Cto 251 de 2022, por un valor de 38713881, se cuenta con el acta de inicio, sin embargo, aún no se comienzan las actividades propias del contrato 
50% de avance.
</t>
  </si>
  <si>
    <t xml:space="preserve">La actividad se realiza a través del Cto 227 de 2022, por un valor de 27115949.
Se encuentra a la espera del certificado de calibración 
85% de avance.
</t>
  </si>
  <si>
    <t xml:space="preserve">
Taller de diseño: se ejecutó con normalidad el Cto 175 de 2022, por un valor de 22878506. Ejecutado al 100%
Taller fundición: Cto  195, por un valor de 75730886.   Ejecutado al 100% 
</t>
  </si>
  <si>
    <t>Suministro de insumos y materiales.
Taller de Motores.
taller de electricidad
taller de Mecánica
taller de FAB LAB
taller de Industria 4.0
taller de Automatización industrial
taller de Instalaciones eléctricas de B.T.
taller de Domótica
taller de Tratamientos térmicos
Taller de Modeleria</t>
  </si>
  <si>
    <t xml:space="preserve">1. Taller de Motores: Calibración y suministro: Cto 251 por un 38713881, Avance del 50%
2. taller de electricidad: Se encuentra en proceso de priorización vigencia 2023.
3. taller de Mecánica: Cto 247 por un valor de 129000000. Avance del 70%
4. taller de FAB LAB y Modeleria: Cto 256 por un valor de 81971200. Avance del 100%
5. Para los talleres de Industria 4.0, Automatización industrial, Instalaciones eléctricas de B.T,  Domótica, Tratamientos térmicos, no se requirieron insumos para la vigencia 2022
</t>
  </si>
  <si>
    <t>La actividad se realizó mediante el contrato 182 de 2022, por un valor de 12150436. Avance del 100%</t>
  </si>
  <si>
    <t xml:space="preserve">12150436. </t>
  </si>
  <si>
    <t>Esta actividad no se desarrollará durante la presente vigencia, será prioritaria para la vigencia 2023.</t>
  </si>
  <si>
    <t>La actividad se realizó a través del Cto 203 por valor de 26460435, avance del 100 %</t>
  </si>
  <si>
    <t xml:space="preserve">Los respectivos EP fueron estructurados y enviados a la Oficina de Contratación, se cuenta con la aprobación de la Vicerrectoría administrativa y financiera (fase de perfeccionamiento del contrato.)
Número de CDP 21822. ($1000000000)
</t>
  </si>
  <si>
    <t xml:space="preserve">Durante el tercer trimestre de la vigencia:
Movilidad de ACOFI (13 de septiembre): 2 docente (Fabiola Mejía Barragán, Stella Monroy) y Decano Henry .
La ETITC fue parte de las entidades que organizaron del evento, “3° congreso Ética, ciencia y educación”. En este participó el docente Rafael Cepeda en Bucaramanga (septiembre)
El 30 de septiembre dos docentes realizaron movilidad a Utica específicamente a una empresa dedicada a la explotación de caña de azúcar, la visita tuvo como objetivo verificar las oportunidades de mejora en el proceso. </t>
  </si>
  <si>
    <t>Esta actividad tendrá lugar se realice el respectivo muestreo.</t>
  </si>
  <si>
    <t xml:space="preserve">Se culminó la asistencia a las 10 capacitaciones "Carbono Neutralidad". 
Se recibilio el instrumento adecuado para la medición y calculo de la Huella Carbono
Se proyecta la realización del 2° modulo de  Carbono neutralidad liderado por el Ministerio de Ambiente.  </t>
  </si>
  <si>
    <t>Por otra parte, se cuenta con los indicadores con relación al calculo de de energia, consumo de agua y residuos. Sin embargo no se ha calculado el indicador de la huella de carbono, y el uso eficiente y ahorro de papel.</t>
  </si>
  <si>
    <t xml:space="preserve">Se ha adelantado el análisis para le servicio de energia, se proyecta realizar reuniones con el área de Infraestructura eléctrica con miras a gestionar espacios de capacitación y sencibilización </t>
  </si>
  <si>
    <t xml:space="preserve">Se evidencia la clasificación y realización de estadísticas con relación al calculo del consumo de energia, consumo de agua y residuos.
Los procesos de sensibilizaciónse realziaron de la siguiente forma: 
-Foro de cambio climatico (SDA). 10 personas asistieron. 
Salud ambiental: 13 de octubre (SDA), 10 asistentes. 
Caminatas ecológicas, una "quebrada la Vieja" (23 de septiembre).
</t>
  </si>
  <si>
    <t>Desde Gestión ambiental se realizaron los estudios previos, se remitieron a Talleres y Laboratorios, desde esta área se remitieron a la Oficina de Contratación, actualmente se ecuentran en proceso de perfeccionamiento el contrato (5 de octubre).</t>
  </si>
  <si>
    <t xml:space="preserve">Se han realizado procesos de sencibilización al personal de Talleres y Laboratorios, 
tema tratado: Aspectos e impactos ambientales". </t>
  </si>
  <si>
    <t>La actividad finalizo con lo reportado a 30 de junio de 2022.</t>
  </si>
  <si>
    <t xml:space="preserve">Según la ejecución del Cto 180 de 2022, se lleva 24,88% de avance, sin embargo  no se tiene claridad de la gestión realizada desde las sedes Tintal y carvajal.
La bitacora de revisión se muestra solo para la Sede Centro. </t>
  </si>
  <si>
    <t>Esta actividad se encuentra en pausa, toda vez que se solicitaron los respectivas etiquetas, pero aun no se han recibido por parte de la ETITC.</t>
  </si>
  <si>
    <t xml:space="preserve">Se actualizo el Plan integral de residuos Peligrsoso RESPEL, en este se contempla el adecuado procedimiento para la disposición de residuos 
El 8 de septiembre se realizo una capacitación con el proceso Infraestructura electrica. Tema:
Disposición de residuos peligrosos. 
Se compartio el formato para reportar los residuos peligrosos.
Evidencia: Correos electronicos
</t>
  </si>
  <si>
    <t xml:space="preserve">Esta actividad aun no se ha ejecutado.
*Se ha adquirido una Herramienta para la eficiencia energetica (Grupo Proredes de la SDA), en este sentido, se busca su aprovechamiento desde el 3° trimestre de la vigencia. 
</t>
  </si>
  <si>
    <t>Esta actividad no se ha desarrollado por parte del responsable: Infraestructuta Eléctrica</t>
  </si>
  <si>
    <t xml:space="preserve">Actividades </t>
  </si>
  <si>
    <t xml:space="preserve">Se ha apoyado al área de IE en la asesoria con relación a la automatizaicón del consumo de luz.
Se ha realizado el inventario de energia, este se realiza por cada área de la Institución.
Desde IE, se desarrollaron los Estudios previos, para dar avance al proyecto Control de la iluminación. 
Con la implemnetación se proyecta un ahorro de 6% del consumo de energia. 
</t>
  </si>
  <si>
    <t xml:space="preserve">La matriz de seguimiento se tiene actualizada al 2do trimestre. 
Se muestran las observaciones realizadas por cada uno de los programas integrados en la Política de g. Ambiental. </t>
  </si>
  <si>
    <t>Implementar el programa de racionalización de consumo de papel.</t>
  </si>
  <si>
    <t xml:space="preserve">Se cuenta con el diagnóstico (agosto).
Se cuenta con piezas publicitarias requeridas para compartir buenas prácticas de papel. </t>
  </si>
  <si>
    <t>Se contrato a un técnico para realizar mantenimiento eléctrico a las UDP. Igualmente se cuenta con el apoyO de los técnicos del nivel Central.</t>
  </si>
  <si>
    <t>El respectivo diagnóstico se realizo y se cuenta con el personal para realizar el mantenimiento permanente.</t>
  </si>
  <si>
    <t>Se cuenat con las dos personas que estan al tanto y realizan los respectivos mantenimientos: 1 persona de planta, 1 persona por prestación de servicios.</t>
  </si>
  <si>
    <t xml:space="preserve">Se cuenta con el apoyo de una bibliotecologa desde la sede Central, así mismo, se cuenta con los servicios de 3 enfermeros y con 1 psicologa.
</t>
  </si>
  <si>
    <t>Los laboratorios se encuentran dotados en su totalidad, se esta pendiente de la entrega formal por comodato a la ETITC por le Fondo Local.</t>
  </si>
  <si>
    <t>Se contrato a un profesional para apoyo a  sistemas y programas en las UDP Tintal</t>
  </si>
  <si>
    <t xml:space="preserve">Se cuenta con el apoyo de un ingeniero que brinda soporte tecnológico a las sedes </t>
  </si>
  <si>
    <t xml:space="preserve">Realizar la gestión necesaria ante la Alcaldía local el DADEP y la SED para la entrega en calidad de comodato de los nuevos edificios </t>
  </si>
  <si>
    <t>La actividad se realizo con el acontrato interadministrativo de comodato 110-129-459-0-2022 del 6 de octubre del 2022.</t>
  </si>
  <si>
    <t>Esta actividad finalizo con lo reportado al 30 de junio de la presente vigencia</t>
  </si>
  <si>
    <t xml:space="preserve">Se encuentra abierta para docentes y no se han recibido propuestas. </t>
  </si>
  <si>
    <t xml:space="preserve">El encuentro se realizará el 27 de agosto </t>
  </si>
  <si>
    <t>Esta actividad fue realizada en junio</t>
  </si>
  <si>
    <t>Campamento de semilleros. 19 al 21 de agosto, participación de 15 semilleros. 5 facultades</t>
  </si>
  <si>
    <t xml:space="preserve">Encuentros institucionales e interinstitucionales 
2do encuentro. Objetivo, establecer vinculos entre semillerso de instituciones en particular
 </t>
  </si>
  <si>
    <t xml:space="preserve">En el marco de las actividades de la Comunidad de apoyo para clases espejo:
Julio: 5 actividades (183 participantes)
Agosto: 4 actividades (145 participantes) 
Septiembre: 4 actividades (138 participantes)
</t>
  </si>
  <si>
    <r>
      <rPr>
        <b/>
        <sz val="14"/>
        <rFont val="Calibri"/>
        <family val="2"/>
        <scheme val="minor"/>
      </rPr>
      <t xml:space="preserve">Taller de Internacionalización Open Space – Fundación Universitaria del Área Andina
(Red Colombiana de Internacionalización RCI) (Fundación Universitaria San Mateo, Fundación Juan N Corpas, AUNAR)
</t>
    </r>
    <r>
      <rPr>
        <sz val="14"/>
        <rFont val="Calibri"/>
        <family val="2"/>
        <scheme val="minor"/>
      </rPr>
      <t xml:space="preserve">Participación de una delegación de 24 personas de 6 IES y formulación de 3 propuestas de colaboración interinstitucional. 
</t>
    </r>
    <r>
      <rPr>
        <b/>
        <sz val="14"/>
        <rFont val="Calibri"/>
        <family val="2"/>
        <scheme val="minor"/>
      </rPr>
      <t xml:space="preserve">Taller de Internacionalización Open Space - Instituto Superior de Educación Rural ISER (Red TTU)
</t>
    </r>
    <r>
      <rPr>
        <sz val="14"/>
        <rFont val="Calibri"/>
        <family val="2"/>
        <scheme val="minor"/>
      </rPr>
      <t xml:space="preserve">Participación y certificación de 25 gestores académicos y docentes (movilidad saliente Pamplona)(del 1 al 5 de agosto)
Firma de convenio marco de cooperación interinstitucional
Entrega de Informe a Rectoría
</t>
    </r>
  </si>
  <si>
    <r>
      <rPr>
        <b/>
        <sz val="14"/>
        <rFont val="Calibri"/>
        <family val="2"/>
        <scheme val="minor"/>
      </rPr>
      <t xml:space="preserve">Fase 2: INFOTEP San Juan de Cesar (Guajira)
</t>
    </r>
    <r>
      <rPr>
        <sz val="14"/>
        <rFont val="Calibri"/>
        <family val="2"/>
        <scheme val="minor"/>
      </rPr>
      <t xml:space="preserve">Participación de 12 docentes y gestores académicos en la Jornada de Inmersión para Fortalecimiento de la gestión académica
Entrega de Informe a Rectoría y presentación de los resultados ante el Consejo Directivo
Firma de Convenio Marco de Cooperación Interinstitucional (Red TTU)(Red Colombiana de Internacionalización)
Transferencia metodológica de la Comunidad de Apoyo para Clases Espejo CACE.
</t>
    </r>
    <r>
      <rPr>
        <b/>
        <sz val="14"/>
        <rFont val="Calibri"/>
        <family val="2"/>
        <scheme val="minor"/>
      </rPr>
      <t xml:space="preserve">Encuentro Internacional de Educación en Ingeniería EIEI 2022 (ACOFI)
</t>
    </r>
    <r>
      <rPr>
        <sz val="14"/>
        <rFont val="Calibri"/>
        <family val="2"/>
        <scheme val="minor"/>
      </rPr>
      <t xml:space="preserve">Participación de una delegación de 19 personas de la ETITC (5 decanos, 1 profesional ORII, 4 estudiantes y 9 docentes)
</t>
    </r>
    <r>
      <rPr>
        <b/>
        <sz val="14"/>
        <rFont val="Calibri"/>
        <family val="2"/>
        <scheme val="minor"/>
      </rPr>
      <t xml:space="preserve">Proyecto Campamentos de Liderazgo para la Educación Internacional
</t>
    </r>
    <r>
      <rPr>
        <sz val="14"/>
        <rFont val="Calibri"/>
        <family val="2"/>
        <scheme val="minor"/>
      </rPr>
      <t xml:space="preserve">Reuniones de seguimiento (13 de julio, 28 de julio, 11 de agosto, 18 de agosto, 7 de septiembre y 22 de septiembre)
Sustentación 8 de septiembre
Subvención por 200.000.000 (doscientos millones de pesos) Mcte
</t>
    </r>
    <r>
      <rPr>
        <b/>
        <sz val="14"/>
        <rFont val="Calibri"/>
        <family val="2"/>
        <scheme val="minor"/>
      </rPr>
      <t xml:space="preserve">Gestión de la Internacionalización
</t>
    </r>
    <r>
      <rPr>
        <sz val="14"/>
        <rFont val="Calibri"/>
        <family val="2"/>
        <scheme val="minor"/>
      </rPr>
      <t xml:space="preserve">Reunión Red RIUC (23 de septiembre)
Reunión Red ORI SUE Distrito Capital (29 de julio, 12 de agosto y 9 de septiembre)
Participación en la Mesa Intersectorial para la Internacionalización de la Educación Superior MIIES del MEN (28 de julio y 8 de septiembre)
Participación en la reunión TUUDO-Red TTU (10 de agosto)
Participación en el programa radial “La Tabla” Uniminuto Cundinamarca (Red Colombiana de Internacionalización RCI)(10 de septiembre)
</t>
    </r>
    <r>
      <rPr>
        <b/>
        <sz val="14"/>
        <rFont val="Calibri"/>
        <family val="2"/>
        <scheme val="minor"/>
      </rPr>
      <t xml:space="preserve">
</t>
    </r>
    <r>
      <rPr>
        <sz val="14"/>
        <rFont val="Calibri"/>
        <family val="2"/>
        <scheme val="minor"/>
      </rPr>
      <t xml:space="preserve">
</t>
    </r>
    <r>
      <rPr>
        <b/>
        <sz val="14"/>
        <rFont val="Calibri"/>
        <family val="2"/>
        <scheme val="minor"/>
      </rPr>
      <t xml:space="preserve">
</t>
    </r>
    <r>
      <rPr>
        <sz val="14"/>
        <rFont val="Calibri"/>
        <family val="2"/>
        <scheme val="minor"/>
      </rPr>
      <t xml:space="preserve">
</t>
    </r>
  </si>
  <si>
    <t xml:space="preserve">Ejecución de actividades a partir de las responsabilidades contractuales </t>
  </si>
  <si>
    <t xml:space="preserve">Se adelantado comunicaciones con el MEN, se tiene como evidencia estudios topográficos y catastrales.
Se hizo una comunicación, en el cual se manifiesta que existe un inmueble, el cual no es propiedad de la ETITC. (Inmueble CHIP, AAA0072WRFT).
Desde el MEN se recibió concepto favorable, para que este inmueble sea trasladado como parte de los inmuebles institucionales (10 agosto de 2022). 
Se proyecta englobar 10 predios.
Para el respectivo englobe de predios se presentó ante Catastro los siguientes documentos:
Levantamiento topográfico
Certificado de tradición y libertad
Escrituras. 
Avance del 50% 
</t>
  </si>
  <si>
    <t>El CTO 009 continua su ejecución con normalidad.
El Cto, desarrolla la gestión propia para realizar el englobe de los predios.</t>
  </si>
  <si>
    <t>Se han realizado las siguientes actividades de mantenimiento locativo:
1. Organización de los contenedores de basura, según el tipo de residuo generado en la sede.
2. Mantenimiento de la puerta de ingreso de la casona. 
3. Mantenimiento de los baños del 1° piso.</t>
  </si>
  <si>
    <t xml:space="preserve">Mantenimiento de cubiertas tanto de la casa y del edifico
Cambio de cubierta de la casa y el edifico (Cto 360 de 2021, desde el mes desde agosto), la intervención finaliza el 30 de noviembre.
Actividades de mantenimiento. 
Mantenimiento de la puerta de ingreso de la casona (por segunda vez).
</t>
  </si>
  <si>
    <t>Se lanzó el proceso CMA 005 de 2022, se cuenta con 4 proponentes, durante el mes de octubre se realizara el estudio respectivo para la adjuducación del proceso 
Este proceso tiene como objetivo Verificar la viabilidad de la Sede calle 18</t>
  </si>
  <si>
    <t xml:space="preserve">De acuerdo al plan de mantenimiento 2022, basado en 2 aspectos:
1. Ordenes de trabajo generadas a través de MANTUM y el 2.  Plan de mantenimiento organizado por el MEN.
En este sentido desde la Vicerrectoría Administrativa y financiera se construyó el documento “Plan de Mantenimiento de la planta física de la ETITC para el 2022”, este se encuentra en ejecución. A la fecha se cuenta con un porcentaje de avance del 80%.
Las tareas de mantenimiento locativo se realizan bajo la responsabilidad del personal de la ETITC: 2 personas para la sede Tintal y una para la Sede Carvajal. Por esto, no se tiene contemplado tercerizar el mantenimiento de las instalaciones en comodato.
</t>
  </si>
  <si>
    <t xml:space="preserve">Con relación al documento “Plan de Mantenimiento de la planta física de la ETITC para el 2022”, este se encuentra en ejecución. A la fecha se cuenta con un porcentaje de avance del 80%.
Teniendo en cuenta, que se han desarrollado actividades como: Mantenimiento de cubiertas y espacios exteriores, mantenimiento de cerramientos, adecuación de mayas en el escenarios deportivos, gestión para la adecuación de una Cancha de Voleibol.
</t>
  </si>
  <si>
    <t xml:space="preserve">El documento “Plan de Mantenimiento de la planta física de la ETITC para el 2022”, integra a partir de diagnósticos previos, las actividades a realizar en todas las sedes: Central, instalaciones Kennedy y calle 18. </t>
  </si>
  <si>
    <t xml:space="preserve">La Ejecución de planes de mantenimiento en los inmuebles se realiza a través de los Contratos: 
083-2021 por un valor de 140.000 MTE (Ejecución del  90% ) 
y 360 de 2021 por un valor de 1.400.000 MTE (Ejecución del 90 ), mediante los cuales se han realizado entre otras actividades: 
Mantenimiento de cubiertas y de cerramientos Bloque c y D
Mantenimiento AB de la casona sede calle 18
Intervención de cubiertas bloque J
Intervención de los talleres y laboratorios del 4° piso  
</t>
  </si>
  <si>
    <t xml:space="preserve">Estructuración de un Espacio modular dentro de la Cede Central. Su ubicación se proyecta en patio de la Cra 17. Esto tiene como objetivo una posible reubicación de las actividades del bloque AB, para ampliación de espacios académicos, este proyecto tiene proyectado un valor por 3.500.000.
Al revisar los temas jurídicos del proyecto se determinó que es posible que sea necesario obtener una licencia de construcción. En comunicaciones con las El Ministerio de cultura, Secretaria de gobierno y Ministerio de Educación se contempla la posibilidad de ejecutar el proyecto con directrices dadas por el MEN. </t>
  </si>
  <si>
    <t xml:space="preserve">Se instalaron los 24 contenedores el 4 de abril en los talleres: Modeleria, Motores, metalistería, fundición y mantenimiento locativo, con la OT 001, 097 del 4 de abril del 2022. </t>
  </si>
  <si>
    <t xml:space="preserve">A través del Cto 359 de 2021, se realizó la compra de los adhesivos para demarcar los respectivos puntos ecológicos.
Se realizaron los estudios previos para la adecuación de espacio de biocontrucción (SAMC-005-2022)
</t>
  </si>
  <si>
    <t xml:space="preserve">A través de las ordenes de trabajo:  001184, 001105, 001212, 001241, 001245, 001292 y 001302, se ha realizo el mantenimiento del jardin de la calle 13:
1. Limpieza de residuos organicos de los jardines de la calle 13.
2. Poda de los individuos arboreos
3. Retiro de raices secas
4. Reubicación de las plantas, según el diseño paisajistico.
5. Resane y pintura de las jardineras. 
6. Reacomodación de la tierra y suministro de abono. 
Se realizo la selección y cotización de las plantas a sembrar según el diseño paisajistico ($7.505.000). </t>
  </si>
  <si>
    <t>De acuerdo al diseño paisajístico presentado ante el Ministerio de Ambiente, se realizó la Compra de 295 especies, así mismo, se realizó la implementación y siembra de las respectivas especies. El proyecto tuvo un valor por 6.236.000
El indicador está sujeto a la ejecución de las ordenes de trabajo, en este sentido desde Planta física se contempla un avance del 90%</t>
  </si>
  <si>
    <t>se finalizaron los estudios previos; así mimso el diseño eléctrico fue finalizado para la adecuación de espacio de biocontrucción (SAMC-005-2022)</t>
  </si>
  <si>
    <t xml:space="preserve">
Desde el proceso de gestión ambiental se ha realizado la respectiva capacitación para la disposición adecuada de residuos.
Control de suposición del Cto 360, mediante la certificación de disposición de residuos, (mantenimiento de cubiertas) 
</t>
  </si>
  <si>
    <t xml:space="preserve">A través del Cto 124 de 2022 se realiza mantenimiento del Piscicultura y del invernadero, así como la adecuación de poda, disposición de los residuos de los invernaderos.
Por parte de Planta Física se suministró la planimetría para la distribución eléctrica 
Por parte de Rectoría Se adelantó Ejecutar para adecuación del invernadero
Mediantel el Cto 359 se realiza la señalización del invernadero 
</t>
  </si>
  <si>
    <t>El Cto 008 de 2022, se ejecuta, sin embargo, se realizó una suspención edl cto a partir del 19 de octubre hasta el 3 de noviembre.</t>
  </si>
  <si>
    <t xml:space="preserve">El Cto 090 de 2022 se ejecuta con normalidad a la fecha. (Disposición del mobiliario ) </t>
  </si>
  <si>
    <t>Actualmente se ejecutan con normalidad los contratos: 
*Pintor: Cto- 010 de 2022   (todas las instalaciones)
*Techador: Cto- 011- 2022 (todas las sedes)
*Albañil: Cto 012 de 2022 (todas las sedes)
* Fontanero: 013 de 2022  (Todas las instalaciones), este se encuentra en suspesión.
*Ayudante de mantenimiento: 088 de 2022 (Todas las instalaciones)
*Auxiliar de mantenimiento locativo: 089 de 2022 (Todas las instalaciones)</t>
  </si>
  <si>
    <t xml:space="preserve">Se lanzó el SAM 004 DE 2022, específicamente para el Saneamiento de tanques y sistema de bombo. 
Se lanzó el SAM 004 DE 2022, específicamente para la limpieza de trampa de grasas 
Con relación los procesos de desinfección y fumigación de espacios, se estructuran los estudios previos desde el sistema de gestión ambiental </t>
  </si>
  <si>
    <t xml:space="preserve">Se cuenta con los estudios previos y CDP 15722 de 27 de mayo de 2022 por $42.566.300
Los estudios previos se enviaron a la Oficina de Jurídica Contratación para su estructuración; es necesario aclarar que solamente se intervendran las cocinas de la sede central. </t>
  </si>
  <si>
    <t>El proceso se lanzó a través del IP-056-2022</t>
  </si>
  <si>
    <t>Se elaboró el respectivo estudio previo y el respectivo estudio de mercado, Se cuenta con el  CDP-23822 Remodelación baterías de baños</t>
  </si>
  <si>
    <t>Se encuentra en la fase de reestructuración del EP, se solicitó el respectivo CDP por un 657.000.000 MTE</t>
  </si>
  <si>
    <t>El proceso se adjudicó mediante el Cto 186 de 2022, por un valor de 18.248.650, el Cto finalizo el 15 de septiembre de 2022.</t>
  </si>
  <si>
    <t>El respectivo contrato no se ha adjudicado</t>
  </si>
  <si>
    <t>Se realizó la estructuración de estudios previos, se realizó el documento de APUs, se encuentra el revisión su ejecución por parte de la Vicerrectoría administrativa</t>
  </si>
  <si>
    <t xml:space="preserve">Se recibió los respectivos suministros mediante el Cto 359 de 2021. Se realizó la instalación de la señalización. Dicho contrato finalizo el 8 de octubre </t>
  </si>
  <si>
    <t>Mantenimiento de cubiertas tanto de la casa y del edifico
Cambio de cubierta de la casa y el edifico (Cto 360 de 2021, desde el mes desde agosto), la intervención finaliza el 30 de noviembre.
Actividades de mantenimiento. 
Mantenimiento de la puerta de ingreso de la casona (por segunda vez).
Se estima un avance del 75%)</t>
  </si>
  <si>
    <t>El proceso CMA-006-2022 se encuentra publicado y se realiza análisis a los pliegos de condiciones.
A través del proceso publicado se proyecta obtener un plan que permita ver las necesidades en el marco de la movilidad reducida, teniendo en cuenta las condiciones jurídicas de la institución.</t>
  </si>
  <si>
    <t xml:space="preserve">
La cabina fe recibida por medio del Cto 359 de 2022 en el mes de julio</t>
  </si>
  <si>
    <t xml:space="preserve">Se realizaron los estudios arquitectónico de los parqueaderos y la división según el POT vigente 
Ahora se incluyó en el EP, para el prototipo de bioconstrucción en este sentido para la optimización del parqueadero 
</t>
  </si>
  <si>
    <t xml:space="preserve">Desde la V. de investigación de liderar el proyecto de seguridad de la Sede Central </t>
  </si>
  <si>
    <t>Se realizó la respectiva gestión para dar comienzo al Cto 248 de 2022, mediante el cual se renovará em software.</t>
  </si>
  <si>
    <t>Esta finalizo con lo reportado al 30 de junio de 2022</t>
  </si>
  <si>
    <t>La renovación del Software se realizó a través del Cto 268 de 2022. Vigencia por 12 meses (inicio 18 de octubre)</t>
  </si>
  <si>
    <t>La renovación del Software se realizó a través del Cto 255 de 2022.  Vigencia por 12 meses (inicio 29 de octubre)</t>
  </si>
  <si>
    <t>La renovación del Software se realizó a través del Cto 232 de 2022. Vigencia por 12 meses (inicio 15 de septiembre)</t>
  </si>
  <si>
    <t>El licenciamiento de Software tiene 2 años de vigencia, por ende, su fecha de vencimiento es septiembre de 2023</t>
  </si>
  <si>
    <t>Se adelantaron los respectivos estudios previos, mismos que se enviaron para su revisión a la oficina de Contratación (01 octubre)</t>
  </si>
  <si>
    <t>Renovación Licenciamiento  Open Value Subscription for Education Solutions (Campus Agreement) (fecha de vencimiento: 30/11/2022)</t>
  </si>
  <si>
    <t>La renovación del Software se realizó a través del Cto 197 de 2022. Vigencia por 12 meses (inicio 01 de de agosto)</t>
  </si>
  <si>
    <t>La renovación de la plataforma se realizó a través del Cto 252 de 2022. Vigencia por 12 meses (inicia desde el 28 de de octubre)</t>
  </si>
  <si>
    <t>esta actividad se tiene programada para el 4° trimestre de la vigencia</t>
  </si>
  <si>
    <t>Esta finalizo con lo reportado al 30 de junio de 2022
Cto 246 de 2022</t>
  </si>
  <si>
    <t>La renovación de las licencias se realizó mediante en Cto 246 de 2022. Vigencia por 12 medes (inicio el 26 de septiembre de 2022)</t>
  </si>
  <si>
    <t xml:space="preserve">La renovación del Soporte se lleva a cabo con el Cto 213 de 2022. Con una vigencia de 12 meses. Dio inicio el 22 de agosto. </t>
  </si>
  <si>
    <t>Esta actividad no ha tenido avance durante el 3° trimestre de la vigencia</t>
  </si>
  <si>
    <t>Se está en proceso de consolidación y clasificación de Backus, una vez finalizada esta actividad de análisis se procede al respectivo estudio de mercado, acorde a las necesidades institucionales.</t>
  </si>
  <si>
    <t xml:space="preserve">La renovación del plan del Plan de Actualización y soporte para el Software Mantum, se realizo a través de la Resolución 200 DEL 20 de abril de 2022. </t>
  </si>
  <si>
    <t xml:space="preserve">Se establece 1 canal  de 5 GB para la Sede central, 2 de 1 GB para las instalaciones Kennedy y 1 canal de 10 MG para la sede calle 18.
Se realizó mediante la Orden de compra 93280
Dio inicio desde el 20 de septiembre de 2022
</t>
  </si>
  <si>
    <t xml:space="preserve">Se cuenta realizando Cto 344 de 2021 (vence noviembre)
Se está realizando la respectiva gestión para la transición del IPV4 AL ipv6
</t>
  </si>
  <si>
    <t xml:space="preserve">La actualización del PETI, se realiza mediante el Cto228 de 2022 (PRESTACIÓN DE SERVICIO ESPECIALIZADO PARA EL DISEÑO Y ELABORACIÓN DEL PLAN ESTRATÉGICO DE TECNOLOGÍAS DE INFORMACIÓN (PETI) PARA LA ESCUELA TECNOLÓGICA INSTITUTO TÉCNICO CENTRAL), con una empresa consultora. 
Se han ejecutado las fases: 1° Evaluación de maduración y análisis de oportunidades
Se finaliza la fase 2°: Diseño de arquitectura y tecnología 
</t>
  </si>
  <si>
    <t xml:space="preserve">Esta actividad finalizo con lo reportado al 30 de junio de la vigencia </t>
  </si>
  <si>
    <t xml:space="preserve">Se solicitó a la Vicerrectoría Académica una prorroga a los Contratos 315, 317 y 325, con el fin de recibir la totalidad de los documentos para las 3 especializaciones:
1.Red de distribución de energía eléctrica
2. Mantenimiento 
3. Instrumentación industrial
A la fecha del seguimiento se encuentra el proceso en revisión
</t>
  </si>
  <si>
    <t>Se adquirieron los elementos. Se realizó capacitación a tres docentes. Cto 196 de 2022</t>
  </si>
  <si>
    <t>El proyecto se encuentra a cargo de la Facultad de Mecatrónica. Se realizó un cambio de la actividad, para realizar el la adquisición de equipos por un valor estimado de 850.000.000 con la empresa ICOCON (CDP 22322)</t>
  </si>
  <si>
    <t xml:space="preserve">Con el cto 336 de 2021 “PROYECTO TECNOLÓGICO LLAVE EN MANO QUE INCLUYA EL DISEÑO DE LA INFRAESTRUCTURA FÍSICA, ELÉCTRICA Y DE DATOS, SUMINISTRO E INSTALACIÓN DE
EQUIPOS Y PUESTA EN MARCHA, Y CAPACITACIONES QUE PERMITAN LA IMPLEMENTACIÓN DEL LABORATORIO DE INMÓTICA (AUTOMATIZACIÓN DE EDIFICIOS) DE
LA ETITC” Al proveedor se ha dado el 50% de valor total que es $301.453.537.
se requiere adicionar el plazo de
ejecución del contrato, por dos razones
la primera obedece a la fecha de inicio de
actividades por parte del contratista que
estuvo sujeta al pago del anticipo del 50%,
el cual, se hizo efectivo hasta el 19 de julio
a pesar de que el acta de inicio se aprobó
para el 28 de abril.
otras situaciones de orden externo
impiden reducir el tiempo solicitado como
son la producción de semiconductores
que han venido afectando la producción de
elementos tecnológicos base para la
construcción de los equipos adquiridos; los
cuales son elaborados en Europa
El proveedor solicita se prorrogue el
contrato hasta el día 11 de diciembre de
2022 según carta adjunta.
</t>
  </si>
  <si>
    <t xml:space="preserve">Adquisición de elementos en el laboratorio </t>
  </si>
  <si>
    <t xml:space="preserve">Con relación a los “ADQUISICIÓN DE CAPACITACIONES EN EL PROGRAMA SOLIDWORKS EN TEMAS COMPETENTES AL PROGRAMA DE INGENIERÍA ELECTROMECÁNICA PARA LA ESCUELA INSTITUTO TÉCNICO CENTRAL”. Se cuenta con los Estudio previo y CDP (28022) del contralto, se cuenta con el cronograma para la realización de las respectivas capacitaciones. </t>
  </si>
  <si>
    <t xml:space="preserve">Se perfeccionaron los estudios previos, mismos que han sido revisados al interior de la Facultad.
Desde la Facultad se envió una Carta de invitación, lineamientos y Procedimiento de Registro Calificado 
Guía para la elaboración de documento maestro con fines de acreditación; estos deben ser reconocidas y cumplidas por los respectivos oferentes de acurdo a las necesidades institucionales. 
</t>
  </si>
  <si>
    <t xml:space="preserve">Se elaboraron los estudios previos para “PRESTACIÓN DE SERVICIOS PARA REALIZAR EL ESTUDIO DE VIABILIDAD Y FORMULACIÓN DE LOS DOCUMENTOS ANEXOS TÉCNICOS PARA EL PROGRAMA EN INGENIERÍA DE ENERGÍAS RENOVABLES POR CICLOS PROPEDÉUTICOS PARA LA ESCUELA TECNOLÓGICA INSTITUTO TÉCNICO CENTRAL”. Se cuenta con el CDP 22122.
Se realizó reunión con proveedor para revisar la ruta de trabajo. 
</t>
  </si>
  <si>
    <t>Realziar la gestión necesaria para contratación de profesionales para la estructuración de documentos maestros
(PFC)</t>
  </si>
  <si>
    <t>Se entregó el PEP de los tres niveles, se llevó al Consejo Académico, mismos que fueron aprobados.
Se realiza un trabajo de análisis con miras a integrar los resultados de aprendizaje. Con la matriz de correlación se procede a realizar la actualización de los Syllabus, Estos se encuentran actualizados en 60%</t>
  </si>
  <si>
    <t xml:space="preserve">Se cuenta con el documento que muestra el avance del plan de mejoramiento, este es diligenciado por el Decano de la Facultad, Auxiliar y el profesional de aseguramiento de la calidad institucional, se avanza </t>
  </si>
  <si>
    <t xml:space="preserve">Se han recibido 7 actualizaciones de las cotizaciones. Se cuenta con el CDP 24322.
A petición de la O. Contratación se han estructurado en repetidas ocasiones el Estudio Previo </t>
  </si>
  <si>
    <t>Adelantar la gestión necesaria para participar en el concurso de vehiculo de tracción humana VTH</t>
  </si>
  <si>
    <t>Adelantar la gestión necesaria para  participar en el concurso de  vehiculo tracción eléctrica VTE.</t>
  </si>
  <si>
    <t xml:space="preserve">Participación y  asistencia  en encuentro con redes Acofi, Congreso Acofi, asistencia a eventos nacionales e internacionales en representación de la ETITC) </t>
  </si>
  <si>
    <t xml:space="preserve">Se continúa participando en las actividades y reuniones de Redimec
Se tuvo participación en el congreso ACOFI (del 12 al 16 de septiembre)
</t>
  </si>
  <si>
    <t>Seminarios en Ensayos No destructivos.</t>
  </si>
  <si>
    <t>Se realizó la renovación con Acosend se realizó mediante la Resolución 0234 DE 11 mayo de 2022
Se adelanta la respectiva gestión para llevar a cabo los seminarios durante el 4° trimestre de la vigencia.</t>
  </si>
  <si>
    <t xml:space="preserve">Se realizaron las visitas a Casanare al Centro “Utopía” de la U. de la Salle, para reconocimiento de la infraestructura 
Se hizo una visita a la Universidad de la Salle 
Apoyo conveniente para la educación a distancia E-learnig y B-learning
Diseño del programa requiere un objeto digital de alta complejidad visual de animación y de videos
Con el apoyo de asesores tecnopedagogicos.
Se realizaron las siguientes visitas:
2 de septiembre, Sanz-feti en reconocimiento de las instalaciones para llegar a realizar actividades de carácter agrícola e invernadero. 
14 de septiembre, laboratorio de la universidad de la salle.
</t>
  </si>
  <si>
    <t xml:space="preserve">A través del Cto 223 de 2022, firmado con la Editorial mc. Graw Hill, se adquirieron 4.000 licencias de inglés, se encuentran a disposición del Centro de Lenguas y programas de Educación Superior, por un valor de 250000000 MTE.
Es necesario aclarar que esta adquisición esta articulada al Proyecto Educativo Institucional, especificamente con su Modelo curricular, dado que dentro de las Competencias genéricas o transversales en un ambiente laboral es necesario desarrollar competencias de un segundo idioma. 
</t>
  </si>
  <si>
    <t xml:space="preserve">Se proyecta realizar un Convenio marco con la Universidad Pedagógica, con el fin de realizar un diplomado para los docentes, los estudios previos se encuentran en construcción.
</t>
  </si>
  <si>
    <t>De manera mancomunada con Rectoría se articula un proyecto para construir la Unidad de Apoyo B-Learning, para realizar ajuste a las asignaturas, en sentido de realizarlas con modalidad a distancia. Dicha propuesta fue llevada ante el Consejo Académico y desde esta instancia se aprobó.  
Se ha realizado tres reuniones con la Universidad de la Salle, con miras a reconocer las capacidades institucionales para desarrollar este proyecto</t>
  </si>
  <si>
    <t xml:space="preserve">La convocatoria se realizo a través del Cto 271 de 2021.
Se adquirieron Insumos para la Vicerrectoría de investigación por un valor de $14.449.800 
</t>
  </si>
  <si>
    <t>https://itceduco-my.sharepoint.com/personal/auxviceinvestigacion_itc_edu_co/_layouts/15/onedrive.aspx?e=5%3A9345704ed25b46869e32e8a89567d414&amp;at=9&amp;CT=1666234528640&amp;OR=OWA%2DNT&amp;CID=57f17bf7%2D0406%2De847%2D346a%2D73e68bab0a9c&amp;id=%2Fpersonal%2Fauxviceinvestigacion%5Fitc%5Fedu%5Fco%2FDocuments%2FVIET%2D%202022%2FVIET%2D2022%2FPLAN%20DE%20ACCI%C3%93N%2D2022%2FSoporte%20Plan%20de%20Acci%C3%B3n%20%2D%20Tercer%20Trimestre&amp;FolderCTID=0x0120000E72DD1814C10D44B626AAC3FA60CD6D</t>
  </si>
  <si>
    <t xml:space="preserve">Se cuenta con el cronograma de actividades a realizar.
Para esta actividad se proyecta la participación de 5 conferencistas y panelistas, conformación de mesas de hasta 39 participantes para un total de 44 personas (El evento tiene capacidad hasta de 220 personas).
Para la realización del evento se cuenta con alianzas estratégicas con diferentes instituciones (6 entidades) y otras 20 instituciones participantes.
Se realizó la estrategia publicitaria para llevar a cabo el congreso de ingeniera Desarrollo Humano y Sostenibilidad Global, el cual se realizará durante el 2 y 3 de noviembre.
</t>
  </si>
  <si>
    <t xml:space="preserve">A la fecha del seguimiento se desarrolla el Proyectos Dron. Para ello se adquirió un DRON GUAUSA, se realizaron las respectivas jornadas de capacitación (1), inducción, conocimiento y el vuelo de prueba.  DJI AGRAS 10. 
Se llevó a cabo la socialización del proyecto el 23 de octubre
</t>
  </si>
  <si>
    <t>Se cuenta con los estudios previos, estos estan en la oficina de Contratación para su perfeccionamiento. 
Se realiza el Curso de redacción de artículos. Desde el 13 de oct, dio inicio con con 21 inscritos</t>
  </si>
  <si>
    <t xml:space="preserve">Convenios:
• 25 de agosto de 2022. El Coordinador del Centro de Pensamiento y Desarrollo Tecnológico - Doctor Diego German Pérez Villamarin-, realiza convocatoria por medio de Correo electrónico y establece en la plataforma Teams realizar la reunión para realizar el primer acercamiento con Centro de Desarrollo Tecnológico. Se realizaron comunicaciones con Cidei- ¿cómo se pueden realizar alianzas estratégicas con e CIDEI?.
• 23 de septiembre. Segunda reunión de acercamiento para indagar la proyección de Convenios estratégicos entre Centro de Investigación y Desarrollo Tecnológico de la Industrial Electro Electrónica y TIC – CIDEI-
Se realizó convenio con la U.Salle, convenio renovado y firmado y gestión para convenio con la Universidad Uniamericana. 
Se cuenta con el borrador de Proyecto de resolución para la creación de la Red Institucional del Centro de Pensamiento y Desarrollo Tecnológico, este se encuentra en revisión por parte de S. General.
Avance del Indicador del 90%
</t>
  </si>
  <si>
    <t xml:space="preserve">Se capacitaron 7 pilotos para el manejo del Dron,  4 estudiantes 2 profesores. Se cuenta con las respectivas certificaciones. 
Se gestiona el curso de fotogrametria (desarrolllar en noviembre). 
Se realiza el curso de vehiculos eléctricos (17 participantes), con SIC Tecnology .
Se realizo el curso de propiedad industrial para investigadores desde el 10 de agosto al 30 de septiembre. Se contó con 27 participantes de los cuales se certificaron 18. La respectiva ceremonia fue desarrollada el 21 de septiembre de 2022 </t>
  </si>
  <si>
    <t>Se renovó la respectiva licencia, de igual manera se realizó la capacitación
el pasado 7 de abril. 16 personas capacitadas.</t>
  </si>
  <si>
    <t>Se renovó la plataforma de Turnitin desde   16 de agosto de 2022
Se adquirio para una capacidad de 1400 licencias.
La capacitación se realizo el 25 de julio en el marco de las jornadas pedagógicas de docentes. 67 capacitadas</t>
  </si>
  <si>
    <t xml:space="preserve">Dieron inicio 4 proyectos desde el mes de agosto:
1. GEA: 5 investigadores
2. KADEMY. 5 investigadores
3. GISIE. 3 investigadores
4. VIRTUS. 6 investigadores
Se cuenta con las respectivas actas de inicio 
</t>
  </si>
  <si>
    <t>Esta actividad finalizo con lo reportado al 30 de junio de la presente vigencia
Se contó con la participación de 15 docetes, se evidencia el plan de trabajo.</t>
  </si>
  <si>
    <t xml:space="preserve">Esta actividad fue realizada en junio, se contó con la participación de 15 funcionarios. Dentro de las temáticas desarrolladas estuvieron, la actualización de las políticas y capacitación para el registro calificado. </t>
  </si>
  <si>
    <t>Esta actividad será realizada durante el 4° trimestre de la vigencia</t>
  </si>
  <si>
    <t>La actividad fue desarrollada a cabalidad, se contó con la participación de 22 personas</t>
  </si>
  <si>
    <t>Dentro de los eventos nacionales se encuentra Redcolsi. Se contó con la participación de 10 estudiantes y ealizado del 12 al 15 de octubre</t>
  </si>
  <si>
    <t xml:space="preserve">Se ecuenta con la carta de aceptación al AVAL, para la participación en el evento "Feria Internacional de Ciencia y Tecnología -Cientec 2022”, el cual se desarrollará en en Perú, del 14 al 18 de noviembre de 2022 de manera presencial  con el proyecto “Estudio Previo y etapa Conceptual para el Control  de  un  generador  de  inducción  doblemente  alimentado  (DFIG)  con  aplicación  en aerogeneradores” </t>
  </si>
  <si>
    <t>Se llevo a cabo la socialización de resultados de semilleros, ene sta actividad participaron 39 personas</t>
  </si>
  <si>
    <t xml:space="preserve">Se convocan a diferentes actores institucionales a participar en mesas de trabajo y grupos focales, Identificando indicadores de impacto en los procesos de investigación.
Se desarrollan a la fecha del seguimiento 3 grupos focales (1. V Investigación (12 de octubre), 2. Docentes líderes de grupos de investigación (18 de octubre), Decanos (20 de octubre).
Esta actividad se realiza con la firma de propiedad intelectual OlarteMour
</t>
  </si>
  <si>
    <t xml:space="preserve">La convocatoria de propiedad intelectral estuvo abierta hasta el 31 de agosto. 
Esta se estima como un convocatoria de Acompañamiento para la identificación de creaciones y obras susceptibles de protección por mecanismos de propiedad intelectual No. 02-2022 (hasta el 31 de agosto de 2022) . 
El 9 de agosto se realizo la  socialización de la convocatoria con la comunidad educativa. participaron 13 doncetes.
Se recibieron 4 propuestas. 
</t>
  </si>
  <si>
    <t>I Encuentro Red de investigación e innovación de la ETITC</t>
  </si>
  <si>
    <t xml:space="preserve">Se desarrolla el Cto 229 de 2022, elaboración de planos y fabricación del prototipo de la la patente prensa de alacran con trinquete.
Se contemplan 5 actividades a desarrollar. </t>
  </si>
  <si>
    <t xml:space="preserve">Se desarrollo un tablero de mando el cual permite revisar el análisis de productividad de la ETITC,
Por otra parte, se realizó un análisis para determinar la oportunidad de realizar una actualización de las lines de investigación que se manejan en la ETITC, se han realizado dos reuniones para determinar la oportunidad y viabilidad de replantear las lineas de investigación integradas a la ETITC, esrro con el fin de actualizar los procesos de investigación y propender por la actualización en los procesos educativos.  </t>
  </si>
  <si>
    <t xml:space="preserve">Se dio inicio al Cto 198 de 2022, por un valor de 7.294.000, a partir del 23 de agosto de 2022, hasta el 30 de noviembre de 2022, dentro del as obligaciones contractuales se encuentran: Realizar la corrección ortográfica, diseño y diagramación del volumen entregado siguiendo las características e indicaciones de la revista Letras ConCiencia Tecnológica. y  Entrega de 1000 ejemplares impresos de la revista Letras ConCiencia Tecnológica con las siguientes características. 
Durante el mes de septiembre se realizo una capacitación formativa en "busqueda de la información pertinente y adecuada sobre temas académicos o de investgación", se contó con la aprticipación en promedio de 22 personas,  </t>
  </si>
  <si>
    <t>https://repositorio.itc.edu.co/flip/index.jsp?pdf=/bitstream/001/438/1/Bolet%C3%ADn%20virtual%20de%20Investigaci%C3%B3n%2c%20Extensi%C3%B3n%20y%20Transferencia%20No.6.pdf</t>
  </si>
  <si>
    <t xml:space="preserve">Se cuenta con evidencia de la realización del sexto Boletín (junio de 2022). Así mismo se evidencia la estructuración del 7° boletín, sin embargo, actualmente no se cuenta con el diseñados desde la oficina de comunicaciones para realizar este producto.  </t>
  </si>
  <si>
    <r>
      <rPr>
        <b/>
        <sz val="14"/>
        <rFont val="Calibri"/>
        <family val="2"/>
        <scheme val="minor"/>
      </rPr>
      <t>Festo</t>
    </r>
    <r>
      <rPr>
        <sz val="14"/>
        <rFont val="Calibri"/>
        <family val="2"/>
        <scheme val="minor"/>
      </rPr>
      <t xml:space="preserve">: Certificación automatización insdustrila: Un grupo dio inicio 22 de junio al 23 de julio. Cierre satisfactoriamente
17 dea gosto y en curso. 
La Facultad de Electromecanica lidera el convenio con </t>
    </r>
    <r>
      <rPr>
        <b/>
        <sz val="14"/>
        <rFont val="Calibri"/>
        <family val="2"/>
        <scheme val="minor"/>
      </rPr>
      <t xml:space="preserve">scheneider: </t>
    </r>
    <r>
      <rPr>
        <sz val="14"/>
        <rFont val="Calibri"/>
        <family val="2"/>
        <scheme val="minor"/>
      </rPr>
      <t xml:space="preserve">Certificación en Baja tensión (21 de junio "intersemestral", 3 de septiembre (2 grupos).  
Desde el 29 de septiembre se realizo la creación como proveedores con </t>
    </r>
    <r>
      <rPr>
        <b/>
        <sz val="14"/>
        <rFont val="Calibri"/>
        <family val="2"/>
        <scheme val="minor"/>
      </rPr>
      <t>Eurofarma</t>
    </r>
    <r>
      <rPr>
        <sz val="14"/>
        <rFont val="Calibri"/>
        <family val="2"/>
        <scheme val="minor"/>
      </rPr>
      <t>, se enviaron los dcoumentos necesarios para tal gestión(6 personas, electricdad indusrtial)
Sintofarma.
Lian Solutions. Certificación de Lian Magnament. 
Para la respectiva mediación se evidencia convenios con 4 empresas Eurofarma, festo, RetoAlaU y  Schneider.</t>
    </r>
  </si>
  <si>
    <t>Esta actividad no ha tenido avance durante el 3° trimestre</t>
  </si>
  <si>
    <t>Durante el 3° trimestre de la vigencia se ha realizado visitas a 7 - 07- Cafam
5 - 08- Colegio JAZMIN
16-09- Turmeque Boyacá
29 - 09- Guaduas - Cundinamarca</t>
  </si>
  <si>
    <t xml:space="preserve">Para el cumplimiento de esta actividad es necesario trabajar de manera articulada con V. Académica, con el fin de ofertar las asignaturas requeridas por la MetaE.
Reto a la U.  más de 70 asignaturas
Reto a la U. 
Reto a la U. 1
Reto a la U. 2.0
Se ofertan las siguientes asignaturas Homologables en el marco del Curso preingeniero 14 estudiantes (29 de agosto): COE
Matemáticas 
Cursos de Inglés (7 niveles)
</t>
  </si>
  <si>
    <t xml:space="preserve">Esta actividad dio comienzo desde le 29 de agosto </t>
  </si>
  <si>
    <t xml:space="preserve">Esta actividad finalizo el 23 de julio </t>
  </si>
  <si>
    <t>Esta certificación finalizo el 7 de julio</t>
  </si>
  <si>
    <t>Certificación Baja Tensión IEC 60364</t>
  </si>
  <si>
    <t xml:space="preserve">La 1° certificación finalizo el 23 de julio
La 2° dio comienzo el 3 de septiembre (2 grupos, de 15 integrantes cada uno), se proyecta la su finalización </t>
  </si>
  <si>
    <t>Durante el 3° trimestre dio comuenzo la certificación para el 2° semestre 10 de septiembre con 12 estudiantes.</t>
  </si>
  <si>
    <t xml:space="preserve">Se adquirieron 4 portatiles y 4 computadores de mesa. </t>
  </si>
  <si>
    <t xml:space="preserve">Durante el 3° trimestre de la vigencia se han promovido: 
4 cursos 68 participantes: . 
</t>
  </si>
  <si>
    <t>Esta actividad finalizo con lo reportado al 1° semestre de la vigencia.</t>
  </si>
  <si>
    <t xml:space="preserve">Con relación a la meta estratégica se proyecta ofertar un programa en la manzana del cuidado, la estructuración contempla 2 cursos. </t>
  </si>
  <si>
    <t>Esta actividad se tiene proyectada para el 4° trimestre de la vigencia.</t>
  </si>
  <si>
    <t xml:space="preserve">Esta actividad finalizo con lo reportado al 1° semestre </t>
  </si>
  <si>
    <t>Esta actividad dio inicio desde el 30 de julio</t>
  </si>
  <si>
    <t>Se adquirieron las licencias con McGraw Hill</t>
  </si>
  <si>
    <t>Los contratos se ejecutan con normalidad hasta en 30 de noviembre</t>
  </si>
  <si>
    <t xml:space="preserve">La actividad se realiza a través de 181 de 2022. Dicho contrato está vigilado y controlado desde el área de infraestructura eléctrica.
Se realiza mantenimiento a 3 plantas 
</t>
  </si>
  <si>
    <t xml:space="preserve">El Cto 179 se ejecuta con la empreesa SOCRES S.A.S.
Se realiza mantenimiento a cinco aires acondicionados en la Sede central ydos en las instalaciones Kennedy. </t>
  </si>
  <si>
    <t>El Cto 185 de 2022, con la Emoresa MTA de COLOMBIA, (inicio 2 -08- 2022)
Se realiza manteminiento a 29 UPS y 3 reguladores.</t>
  </si>
  <si>
    <t>Se adelantan estudios previos, sin embargo, en el proceso precontractual no se contempla la puerta del patio central</t>
  </si>
  <si>
    <t>Se presentaron los estudios previos a la Vicerrectoría administrativa, desde esta área no se ha dado respuesta.Los estudios previos fueron enviados desde el 3° trimestre de la vigencia (27 de julio)</t>
  </si>
  <si>
    <t xml:space="preserve">Esta actividad no ha tenido avance durante el 3° trimestre. 
Se han desarrollado reuniones para determinar la viabilidad presuestal de esta actividad. El proyecto busca normalizar y certificar la puesta a tierra. </t>
  </si>
  <si>
    <t>Se cuenta con los estudios previos actualizados, por un valor de 150.000.000 MTE (primera fase). Los estudios previos fueron aprobados por la V. Administrativa y Financera.</t>
  </si>
  <si>
    <t>Actualmente se estructuran estudios previos, esta actividad se proyecta a realizar durante el 4° trimestre de la vigencia. 
Desde el área se realizon actividades de mantenimiento preventivo</t>
  </si>
  <si>
    <t xml:space="preserve">Se adelanta la gestión respectiva para ejecutar el Cto 199 2022, por un valor total de 139.123.257, esta actividad se planea realizar durante el 4° trimestre de la vigencia. </t>
  </si>
  <si>
    <r>
      <t xml:space="preserve">Estructuración de un Espacio modular dentro de la Cede Central. Su ubicación se proyecta en patio de la Cra 17. Esto tiene como objetivo una posible reubicación de las actividades del bloque AB, para ampliación de espacios académicos, este proyecto tiene proyectado un valor por 3.500.000.
Al revisar los temas jurídicos del proyecto se determinó que es posible que sea necesario obtener una licencia de construcción. En comunicaciones con las El Ministerio de cultura, Secretaria de gobierno y Ministerio de Educación se contempla la posibilidad de ejecutar el proyecto con directrices dadas por el MEN. 
</t>
    </r>
    <r>
      <rPr>
        <b/>
        <sz val="14"/>
        <rFont val="Calibri"/>
        <family val="2"/>
        <scheme val="minor"/>
      </rPr>
      <t>Aclaración:</t>
    </r>
    <r>
      <rPr>
        <sz val="14"/>
        <rFont val="Calibri"/>
        <family val="2"/>
        <scheme val="minor"/>
      </rPr>
      <t xml:space="preserve">
El 12 de octubre del presente año se realizó la entrega temporal, real y material del edificio de aulas y el edificio del auditorio a la ETITC por parte del Departamento Administrativo de la Defensoría del Espacio Público-DADEP. Actualmente se encuentra en proceso de estructuración del contrato interadministrativo de comodato No. 110-129-459-0-2022 suscrito entre el Departamento Administrativo de la Defensoría del Espacio Público y la Escuela Tecnológica Instituto Técnico Central por todo el inmueble localizado en el predio de uso público - RUPI:3821-2 ubicado en la Cll 6C #94A-25. Urbanización San Ignacio - Etapas 1, 2 y 3</t>
    </r>
  </si>
  <si>
    <t>El contrato 225-2020 cuyo objeto es: EL CONTRATISTA se compromete con LA ESCUELA TECNOLÓGICA INSTITUTO TÉCNICO CENTRAL a planear, desarrollar y llevar a buen término la Gerencia Integral del Proyecto institucional denominado "Proyecto de Reforzamiento Estructural de la Escuela Tecnológica Instituto Técnico Central" en las fases señaladas en el anexo técnico. Está en proceso de adición de hasta el 50% del valor del contrato para poder ejecutar la obra de reforzamiento del bloque estructural No. 1 que comprende los edificios F, G y H de la sede Central de la ETITC. Ya se cuenta con la licencia de construcción de aprobación en modalidad de reforzamiento estructural.</t>
  </si>
  <si>
    <t>Seguimiento al contrato 225-2020 con el objeto:  el contratista se compromete con la ETITC a planear, desarrollar y llevar a buen término la gerencia integral del proyecto institucional denominado "proyecto de reforzamiento estructural de la escuela tecnológica instituto técnico central" en las fases señaladas en el anexo técnico</t>
  </si>
  <si>
    <t>Se envió el segundo informe técnico de bajas para 445 elementos de mobiliario que cumplieron su ciclo de uso como lockers metálicos, butacos de laboratorio y dibujo, mesas de dibujo, archivadores, sillas educativas, pupitres tipo universitarios, entre otros. Se radicó al almacén el 29 de Julio de 2022.</t>
  </si>
  <si>
    <t xml:space="preserve">Se han realizado 3 reuniones en el periodo evaluado, se ha socializado el tema de resultados de aprendizaje y competencias de programa  por componentes de formación. </t>
  </si>
  <si>
    <t>(23 de agosto) Se compartió con el Consejo de Académico los ajustes al Proyectos educativos de programa , luego en Consejo de Facultad se realizo la respectiva socialización</t>
  </si>
  <si>
    <t xml:space="preserve">Los PEP fueron aprobados por el Consejo de Facultad el 21 de agosto. 
Los dos PEP de la Facultad fueron aprobados por el Consejo Académico del 23 con los respectivos ajustes, se están revisando por los resultados de aprendizaje. 
</t>
  </si>
  <si>
    <t xml:space="preserve">Se diseñó el curso de LATEX para docentes y egresados, (lanzamiento el 1° de noviembre).
El 16 de agosto, se realizó la socializo del curso blokchain con estudiantes, docentes y administrativos. Se cuenta con 23 participantes . Duración de 2 meses (abierto), 48 horas de actividad.
</t>
  </si>
  <si>
    <t xml:space="preserve">Rediseño del proyecto articulador alineado con los resultados de aprendizaje de programa, 
Análisis de observaciones y mejorar de propuestas por docentes y estudiantes, y la respectiva revisión de las versiones de resulta de aprendizaje de los PEP.
</t>
  </si>
  <si>
    <t>En el marco de la realización del seminario, se habla desde la perspectiva de la ética y se han desarrollado dos seminarios: 1. 11 de agosto “innovación y creatividad” (14 participantes) 2. 25 de agosto ¡importancia de las humanidades” 23 participantes.</t>
  </si>
  <si>
    <t>Esta actividad se proyecta realizar el 4° trimestre</t>
  </si>
  <si>
    <t xml:space="preserve">Se tuvo participación en la Maratón (1 equipo con 3 estudiantes y 1 docentes), el pasado 17 de septiembre. La ETITC clasifico a la Maratón suramericana 2023. </t>
  </si>
  <si>
    <t xml:space="preserve">Gestión para la movilidad entrante de un docente de la U. Técnica de Sofía por una estadía de 2 semanas .
Participación en clases espejo (25 y 29 de agosto). Universidad de San Marcos.
</t>
  </si>
  <si>
    <t>Se realizó la gestión para la movilidad de un estudiante (Ingenieria de Sistemas) por usa estancia de 3 meses a la Universidad Técnica de Sofía (Bulgaria) Por el proyecto ERASMUS CLASS</t>
  </si>
  <si>
    <t>Gestión para la movilidad entrante de un docente de la U. Técnica de Sofía por una estadía de 2 semanas .</t>
  </si>
  <si>
    <t>No se ha realizado movilidad de Estudiantes a nivel nacional</t>
  </si>
  <si>
    <t xml:space="preserve">
Se realizó la gestión para la participación de una docente en el 3° congreso de ciencia ética y educación (21, 23 y 23 de septiembre), 
</t>
  </si>
  <si>
    <t>Desde mesa de mesa de ayuda se menciona que esta la ETITC tiene actualizada la licencia.</t>
  </si>
  <si>
    <t>Se realizó la cotización de 15 licencias educativas en la plataforma MOBILedit (Forensic PRO)</t>
  </si>
  <si>
    <t xml:space="preserve">El Contrato 321 de 2021 finalizo a cabalidad y se realizó la entrega de los productos pactados.
Se realizaron los estudios previos para la construcción de los documentos técnicos. 
</t>
  </si>
  <si>
    <t>Se realizaron los estudios previos para la construcción de los documentos técnicos. Se cuenta con en CDP N° 22522 por un valor de $35.000.000,00</t>
  </si>
  <si>
    <t>Apoyo a la adecuación de talleres y laboratorios de las instalaciones Kennedy</t>
  </si>
  <si>
    <t xml:space="preserve">Durante el 2° semestre (18 al 28 de julio) se realizó la respectiva jornada pedagógica. En promedio asistieron 115 docentes.
Reunión general de docentes de planta y de catedra, en el cual se hablo acerca de resultados de aprendizaje </t>
  </si>
  <si>
    <t>A la fecha del seguimiento no se ha desarrollado la actividad</t>
  </si>
  <si>
    <t xml:space="preserve">El evento ACOFI en Cartagena fue realizado del 13 al 16 de diciembre de 2022, Se contó con la participación de 17 personas de la ETITC
</t>
  </si>
  <si>
    <t xml:space="preserve">Se realizó la gestión necesaria para realizar una visita a los laboratorios de ingeniera eléctrica de la Universidad nacional, se proyecta la participación de 30 estudiantes </t>
  </si>
  <si>
    <t>Se entregaron los estudios previos y el CDP N°  21822 por $1.000.000.000</t>
  </si>
  <si>
    <t>ñ</t>
  </si>
  <si>
    <t xml:space="preserve">4 Talleres de toma de buenas decisiones: 12 de agosto y 2 de septiembre. 73 personas en promedio.
Se hizo informes de seguimiento por programa y por nivel  (nivel Técnico) con este informe se busca caracterizar a los estudiantes egresados. Como instrumento se usan las encuestas momento 0 y 1. 
Se realizo una jormada de encuestaton . </t>
  </si>
  <si>
    <t xml:space="preserve">Se adquirio un celular, con esto la actividad finaliza </t>
  </si>
  <si>
    <t xml:space="preserve">Se realizo prorroga al cto 344 de 2022, mismo que tiene vigencia hasta el 22 de noviembre de 2022, esta pendiente realizar la gestión para que los respectivos usuarios ingresen al WIFI con su correo electrónico </t>
  </si>
  <si>
    <t xml:space="preserve">Laboratorio estructurado y en funcionamiento  </t>
  </si>
  <si>
    <t>(PFC) Laboratorio de vehículos eléctricos</t>
  </si>
  <si>
    <t xml:space="preserve">Los contratos 161 y 162 estan directamente relacionados con el mantenimiento permanente a la infraestructura tecnológica frente a la puesta en funcionamiento, configuración, soporte y ejecución.
Todos los talleres y laboratorios cuentan con conexión remota, de tal manera que se pueden realizar con normalidad las actividades académicas.
Con el Cto 344 de 2022 (inicio 17 enero de 2022, finaliza 22 de noviembre de 2022) se ejecuta el Proyecto WIFI, su ejecución a la fecha se encuentra en un 75%. Está pendiente generar que los usuarios ingresen al WIFI con su respectivo correo electrónico.
Desde el área se realiza mantenimiento permanente al normal funcionamiento a las aulas para la alternancia
</t>
  </si>
  <si>
    <t xml:space="preserve">La mencionada adición al cto 301 de 2021, no se llevó a cabo debido a inconvenientes en el proceso contractual con el proveedor.  
Por otra parte, y teniendo en cuenta las obligaciones iniciales, adecuar 45 espacios tecnológicos para 45 espacios académicos y una pantalla para el Auditorio. (cumplimiento al 100%). fecha de finalización del Cto 301 - 4 de mayo de 2022 (Finalización de 2° fase del proyecto).
Con La 1° fase se adecuaron 50 aulas y 12 monitores (entre aulas y laboratorios), en este sentido se adecuaron 62 espacios académicos (Cto 232 de 2020).
Con la 2° fase se instalaron 45 espacios académico para un total de 107 espacios académicos adecuados de 109 existentes (Cto 301 de 2021).
</t>
  </si>
  <si>
    <t xml:space="preserve">Actualmente se continúa estructurando la política de comunicación institucional, esta fue enviada a la Oficina de Calidad para su respectiva revisión, en este sentido se recibieron observaciones a lugar, se proyecta una reunión con la respectiva Oficina. 
Plan de Marketing digital un no se ha estructurado. Teniendo en cuenta la Directiva presidencial de austeridad en el gasto, Se estructuran estrategias que no requieran gastos
Hacer una lista de los canales y los tipos de contenidos que se puedes llegar a socializar. 
Hacer uso de palabras clave que apoyan al posicionamiento institucional.
Disminuir el texto en las distintas piezas y publicaciones.
Videos para mostrar las actividades que se realizan al interior de la institución. 
</t>
  </si>
  <si>
    <t>Teniendo en cuenta la Directiva presidencial de austeridad en el gasto, Se estructuran estrategias que no requieran gastos
Hacer una lista de los canales y los tipos de contenidos que se puedes llegar a socializar. 
Hacer uso de palabras clave que apoyan al posicionamiento institucional.
Disminuir el texto en las distintas piezas y publicaciones.
Videos para mostrar las actividades que se realizan al interior de la institución. 
Vistas a instituciones para dar a conocer los servicios de la ETITC</t>
  </si>
  <si>
    <t>El plan de contingencias fue finalizado, en este se tuvieron en cuenta temáticas de retorno a la prespecialidad, Estructuración de parrillas de contenido, planes de trabajo con las diferentes áreas institucional.</t>
  </si>
  <si>
    <t>La parrilla de contenido se estructuro desde el 1° trimestre de la vigencia y obedece a las necesidades de cada área</t>
  </si>
  <si>
    <t xml:space="preserve">El seguimiento a las actividades realizadas se hace mediante el Formato a través del cual se apoya las diferentes áreas, sin embargo, es necesario contar con una mayor participación por las áreas. Así mismo, se ha visibilizado que para la elaboración de actividades es necesario desarrollar objetivos claros y de imapcto+AH89
</t>
  </si>
  <si>
    <t xml:space="preserve">Durante el trimestre evaluado se han desarrollado 4 programas de institución al día. </t>
  </si>
  <si>
    <t>Se estructuro un Formato de interno a través del ccual se verifica la pertinencia de las estrategias, lo anterior se realiza realizando análisis de la ejecución de las actividades. Se realizan asesorias de manera permanente a las áreas institucionales. 
13 evaluaciones en total.</t>
  </si>
  <si>
    <t>La caracterización se realizará a los estudiantes  que reciben atención en el CREA y como instrumento se utilizará la plataforma cognifit, especificamente el diagnóstico general de habilidades. En la actualidad un total de 68 estudiantes y 103 estudiantes han iniciado proceso de entrenamiento cognitivo.  
 El cargue de la información se realiza en adviser (RUSIA), no se comparte link de registro por ser información confidencial.</t>
  </si>
  <si>
    <t>Se evidencia atención a 208 estudiantes con un total de 456 apoyos en los servicios prestados por el CREA.   El cargue de la información se realiza en adviser (RUSIA), no se comparte link de registro por ser información confidencial.
Se han realizado 4 acompañamientos en ajustes razonables a estudiantes con dondición diferencial en los procesos de aprendizaje.
Teniendo en cuenta lo solicitado por la ME, se visibiliza que a la fecha se cumple el indicador (6,7%)</t>
  </si>
  <si>
    <t xml:space="preserve">1. Torneo de ajederez al cual se inscribieron 19 personas, torneo de habilidades lògicas para armar, se inscribieron 25 personas.
2. Talleres: Pon atenciòn a la atenciòn, se realizaron 5 talleres con un total de 129 estudiantes. Autoeficiencia 1 taller con la participaciòn de 16 estudiantes. Taller de prevenciòn al suicidio realizado con los estudiantes nuevos en el procesos de inducciòn con la participaciòn de 277 
3. Se llevò a cabo la ianuguraciòn del CREA y exposiciòn internacional 40x40, con una asistencia aproximada de 130 personas.
4. Presentaciòn del portafolio de servicios CREA a los docentes de planta, con una participaciòn de 70 personas.
5. Actividad de manejo de la ansiedad y del estrès en tiempo de parciales con una participaciòn de 150 estudiantes aproximadamente.
</t>
  </si>
  <si>
    <t>1. Se realizò el diseño de una encuesta para conocer al mes de septiembre la percepciòn de los estudiantes nuevos frente a su procesos de adaptaciòn a la ETITC, en aspectos acadèmicos, personales, sociales y emocionales.</t>
  </si>
  <si>
    <t>https://itceduco-my.sharepoint.com/:f:/g/personal/psicologia_itc_edu_co/EvQRr1JDnBRLlA0JXwfN6XwBOo9bNOUtZU0Y723jk65dDg?e=r4YsoR</t>
  </si>
  <si>
    <t>A la fecha se han estruturado y ofertado 5 diplamados: 
1. Educación financiera y Neworking, con 26 asistentes semanales
2. Empleabilidad y emprendimiento, con la participación de 12 estudiantes 
3.Periodismo y novela, con la participación de 9 estudiantes.
4. Lectura crítica y creación literaria, con la participación de 17 estudiantes
5. Curso de innovación social, con la participación de 130 personas, estudiantes y egresados.
Los diplomados tienen una duración semanal de 2 horas, con una duración promedio de 16 semanas. 
6. Se han estructurado las electivas de artes y deportes, (Se realiza una revión para su posterior presentación al Consejo Académico) así mismo en acompañamiento para la presentación de la prueba saber pro y T y T.
Los diplomados ya finalizaron y están en proceso para certificación.</t>
  </si>
  <si>
    <t>Diplomados (4),  cursos (1) y conferencias</t>
  </si>
  <si>
    <t>https://itceduco-my.sharepoint.com/:f:/g/personal/bienestaruniversitario_itc_edu_co/Em4XFxjPCdJPozNlvmkvwtwBJmjLh0Ye_JkhsbXabC60Vw?e=h7T7fy</t>
  </si>
  <si>
    <t>Para el trimestre en evaluación se realizo el proceso precontractual para llevar a cabo la Fase 3 del proyecto RUSIA.
Con relación al indicador se muestra que la totalidad de los estudiantes PES están registrados en la plataforma Rusia</t>
  </si>
  <si>
    <t>Esta actividad tendrá lugar una vez de comienzo el contrato de la 3° fase del proyecto RUSIA</t>
  </si>
  <si>
    <t>https://itceduco-my.sharepoint.com/:b:/g/personal/bienestaruniversitario_itc_edu_co/ES1JohYn82BJjSF3qdTUSmUBPr3YpYM6kiPi6xN0YCOc_Q?e=Vecc87</t>
  </si>
  <si>
    <t>Al finalizar el mes de Septiembre se identificaron 1657 alertas tempranas asociadas a la caracterización estudiantil aplicada a los estudiantes PES. A partir de esta identificación se realizan actividades de apoyo para su permanencia y bienestar.</t>
  </si>
  <si>
    <t>Al finalizar el mes de septiembre se aplicó el intrumento de caracterización estudiantil a  1657 estudiantes PES activos en el periodo 2022-2 y se realizó el informes de caracterización estudiantil.</t>
  </si>
  <si>
    <t>https://itceduco-my.sharepoint.com/personal/bienestaruniversitario_itc_edu_co/_layouts/15/onedrive.aspx?id=%2Fpersonal%2Fbienestaruniversitario%5Fitc%5Fedu%5Fco%2FDocuments%2FT%2ES%2E%202020%20EN%20ADELANTE%2FSEGUIIMINIENTO%20PLAN%20DE%20ACCI%C3%93N%2F2022%2FTRABAJO%20SOCIAL%2FME%2D35%20PROYECTO%20RUSIA%2FTERCER%20TRIMESTRE%2FCARACTERIZACI%C3%93N%20ESTUDIANTIL%20PES%202022%2D2&amp;ga=1</t>
  </si>
  <si>
    <t>Identificación alertas académicas (primer, segundo y tercer corte)</t>
  </si>
  <si>
    <t>A la fecha se reportan 3250 estudiantes con alertas académicas para primer corte septiembre</t>
  </si>
  <si>
    <t>https://itceduco-my.sharepoint.com/personal/bienestaruniversitario_itc_edu_co/_layouts/15/onedrive.aspx?id=%2Fpersonal%2Fbienestaruniversitario%5Fitc%5Fedu%5Fco%2FDocuments%2FT%2ES%2E%202020%20EN%20ADELANTE%2FSEGUIIMINIENTO%20PLAN%20DE%20ACCI%C3%93N%2F2022%2FTRABAJO%20SOCIAL%2FME%2D35%20PROYECTO%20RUSIA%2FTERCER%20TRIMESTRE%2Fpoblaciones%20en%20riesgo%20por%20desempe%C3%B1o%20acad%C3%A9mico%2Epdf&amp;parent=%2Fpersonal%2Fbienestaruniversitario%5Fitc%5Fedu%5Fco%2FDocuments%2FT%2ES%2E%202020%20EN%20ADELANTE%2FSEGUIIMINIENTO%20PLAN%20DE%20ACCI%C3%93N%2F2022%2FTRABAJO%20SOCIAL%2FME%2D35%20PROYECTO%20RUSIA%2FTERCER%20TRIMESTRE&amp;ga=1</t>
  </si>
  <si>
    <t xml:space="preserve">Abramos el mes del amor y la amistad
Celebración del día del amor y la amistad 
Inducción a estudiantes (25 al 29 de julio)
Con relación al indicador y teniendo en cuenta que se tienen los siguientes datos: 
Estudiantes PES: 3.068 
Administrativos de planta: 100
Docentes de planta: 95, para un total 3263, de los cuales han participado en los servicios de B.U. 810, correspondientes al 24,28%  de la comunidad educativa.
</t>
  </si>
  <si>
    <t xml:space="preserve">Se ha prestado el servicio de la siguiente manera
70 a estudiantes IBTI
295 En la estación Tintal
70 en Carvaja 
230 a 300 cenas estudiantes
</t>
  </si>
  <si>
    <t xml:space="preserve">Se han entregado 4 mercados
</t>
  </si>
  <si>
    <t>Esta actividad finalizo con lo reportado al 30 de junio de 2022</t>
  </si>
  <si>
    <t xml:space="preserve">1. Se han realizado en total 278 inscripciones al gimnasio.             
 2. Se realizo 1 caminata ecologica el 23 septiembre con la participacion de 13 personas.                               
3. se implemento la estratejia en bici al trabajo con el apoyo del IDRD, con la participacion de 64 personas.    
4. Se realizo una actividad transversal con el area de salud "circuito de cardio" el dia 28 de septiembre con la participacion de 33 personas                                      
 5. se realizaron la creacion de las seleciones de la disciplinas deportivas de futsal : 64 participantes entre estudiantes, administrativos y docenetes de tenis de mesa : 15 estudiantes, de voleibol 15 estudiantes y de baloncesto 12 estudiantes que dieron inicio en el mes de septiembre                            6. se realizo la inscripcion para torneos interenos para futsal: 103 estudiantes, baloncesto: 20 estudiantes, voleibol:  29 estduaintes se realizaron el 6 y 18 de septiembre las inscripciones.                                             7. se realizo partidos amistosos de futsal todos los vienes de septiembre con la participacion de 20 personas entre administrativos y docentes.                   8. el 28 de septiembre se realizo rumba aerobica en la sede de carvajal con la participacion de 10 personas. </t>
  </si>
  <si>
    <t xml:space="preserve">1.Durante el trimeste se han beneficciado 240 estudinates del prestamo de material deportivo en la sede de centro y la sede de carvajal 40. 
2. En rutinas peronalizas 85 personas.                                3. En entrenaminetos personalizados 10 de la sede carvajal.                                                                                 
4. se realizo pausas activas con adminisntarivos en el mes de julio con la participacion 33 personas.              
5 se realizo en el mes de julio aerobicos para los empleados de servicios generales con la participacion de 15 personas.                                                                    
6. se realizo torneo de rana para el personal de vigilancia con la participacion de 15 personas.                  </t>
  </si>
  <si>
    <t xml:space="preserve">A la fecha se realizaron una serie de campañas en promoción de la salud y prevención de la enfermedad a toda la comunidad educativa:  
1. Talleres en promoción y prevención, realizado el 11 de julio con un total de 36 participantes. 
2. Campañas de donación de sangre, realizada los días 23 y 24 de agosto con un total de 134 participantes en la sede central y 34 en la sede Tintal. 
3. Campaña para la prevención del consumo de sustancias psicoactivas, realizada el 21 de agosto con un total de 39 participantes.  
4. Campaña en educación sexual y reproductiva y sobre métodos de planificación familiar, realizada el 14 de agosto con un total de 20 participantes. 
5. Campaña cuidando mi sistema cardiovascular, realizada el 28 de agosto con un total de 32 participantes y 235 en la sede Tintal. 
6. Sensibilización conéctate con tus emociones en la sede Tintal, realizada al día el 13 de agosto con un total de 22 participantes.  
7. Se realizo la campaña promotores del cuidado en la sede Tintal con la participación de 212 personas de la comunidad educativa.  
8. Se hizo entrega de 1000 refrigerios en las unidades de desarrollo Tintal y Carvajal. 
9. Se realizan campañas visuales sobre hábitos de vida saludable, violentometro, dile adiós sobre los mitos de anticoncepción.  
 </t>
  </si>
  <si>
    <t>https://itceduco-my.sharepoint.com/personal/enfermeria_itc_edu_co/_layouts/15/onedrive.aspx?id=%2Fpersonal%2Fenfermeria%5Fitc%5Fedu%5Fco%2FDocuments%2FATENCI%C3%93N%20EN%20SALUD%20PES%202022%2FPLAN%20DE%20ACCI%C3%93N%2FTERCER%20TRIMESTRE&amp;ga=1</t>
  </si>
  <si>
    <t xml:space="preserve">1. Se realizaron 243 valoraciones físicas preactividad deportiva durantes los meses de julio a septiembre. 
2. Se realizaron 78 atenciones individuales de enfermería en la sede central, 20 atenciones en la jornada mañana sede tintal, 13 en la jornada tarde sede tintal, 15 en la sede carvajal. Por ser información confidencial no se adjunta evidencia, el cargue se realiza en el sistema adviser. </t>
  </si>
  <si>
    <t>Eucaristías: 
54 participantes. 
Reflexiones semanales: 
1345 correos enviados, 
Acompañamiento Espiritual 90 entre estudiantes y administrativos.
Talleres catedra por la PAZ: Se realiza el taller con un numero de 128 estudiantes.                           Se realizan dideo pe pildoras Espirituales: Se suben a stream 8 videos.</t>
  </si>
  <si>
    <t>1- sanaMENTE
Publicaciòn de 3 videos de lengua de señas
Se publicaron 4 estrategias para fortalecimiento de la salud mental (video, infografias, tik tok
Se transmitieron 4 programas Mètele Mente con un promedio de 550 reproducciones.
Se realizaron 3 tomas de espacios, los cuales estàn dirigidos a fortalecer estrategias de afrontamiento del estrès y ansiedad, martes y jueves de escucha.
En tiempo de parciles una excusa para estar bien, se han realizado 2 estrategias.</t>
  </si>
  <si>
    <t>https://itceduco-my.sharepoint.com/:f:/g/personal/practicantepsicologia1_itc_edu_co/Eu_xk_Sk3O5LocOzsPpegx0BF8taU-w16yBtzEO1Q3OHMQ?e=ypN5GE</t>
  </si>
  <si>
    <t>En este momento nos encontramos en la estructuraciòn de los estudios previos para contratar los servicios que van a hacer parte de la jornada de lanzamiento del proyecto, la cual se encuentra prevista para la tercera semana de noviembre.  Estàbamos a la espera de los recursos, la realizaciòn de la misma està sujeta a los recursos destinados para la misma.</t>
  </si>
  <si>
    <t>A la fecha se han atendido 165 personas entre estudiantes de las 3 unidades de desarrollo acadèmico y docentes .
No se adjunta evidencia por ser informaciòn confidencial, el cargue se realiza en adviser</t>
  </si>
  <si>
    <t>https://itceduco-my.sharepoint.com/personal/psicologia_itc_edu_co/_layouts/15/onedrive.aspx?id=%2Fpersonal%2Fpsicologia%5Fitc%5Fedu%5Fco%2FDocuments%2F2022%2F%C3%80REA%2F2022%2F2022%2D2%2FPSICOLOG%C3%8DA%2FINFORMES%2FATENCI%C3%92N%203%20TRIMESTRE%2Edocx&amp;parent=%2Fpersonal%2Fpsicologia%5Fitc%5Fedu%5Fco%2FDocuments%2F2022%2F%C3%80REA%2F2022%2F2022%2D2%2FPSICOLOG%C3%8DA%2FINFORMES</t>
  </si>
  <si>
    <t>Se cuenta con 70 estudiantes 
28 en guitarra
15 Trabajo Vocal
5 Bajo eléctrico
1 Contrabajo
1 Violoncello
5 Violín
10 Teclado
Docentes 3
2 guitarra
1 teclado
Administrativos 5
1trabajo vocal
3 guitarra
1 fluta traversa</t>
  </si>
  <si>
    <t xml:space="preserve">1. Conversatorio inpacto social de la música.
200 participantes.
2. Acompañamiento musical eucaristia .
30 participantes.
3. Acompañamiento musical inauguración crea 
150 participantes
4. Exposición artistica 40 x 40 
300 participantes
5. Programa institución al día hablemos de arte
2821 participantes
6. Acompañamiento musical territorios en movimiento por la paz
26 participantes
7. Programa Frecuencia Artística
Frcuencia Artística Vuelve
778 participantes
8. Acompañamiento musical territorios en movimiento por la paz
30 participantes
9. Programa Frecuencia Artística
Frcuencia Artística con Majawa
858 participantes
10. Asesoria festival de talentos
4 Participantes
11. Acompañamiento musical eucaristia .
40 participantes.
12. Acompañamiento musical territorios en movimiento por la paz
30 participantes
</t>
  </si>
  <si>
    <t>1. Gestión Concierto Ondas Pedagógicas.
20 Participantes. 
2. Gestión concierto de grado
30 Participantes
3. Gestión festival coros  voces unidas
30 Participantes
4. Gestión exposición de artes 40 x 20
40 Expositores
5.  Gestión convocatoria guinness record mural mas grande del miundo Mexico 
4 expositores 
6. Gestión gran concierto entrecuerdas
30 participantes</t>
  </si>
  <si>
    <t>26 ago - encuentro discap</t>
  </si>
  <si>
    <t>Se realizó identificación y focalización de estudiantes diversos que hacen parte de las estrategias de inclusión.
Se realizó el encuentro en Modo IN el 26 de agosto de 2022 -274 ESTUDIANTES</t>
  </si>
  <si>
    <t>INCLÚYEME - DISCAPACIDAD INTERCUL</t>
  </si>
  <si>
    <t xml:space="preserve">A la fecha se han llevado a cabo las siguientes acciones:
28/09/2022	Taller Participantes Jóvenes en Acción 2022-2	24 ESTUDIANTES
13/09/2022	CARGUE VERIF PERMANENCIA Y EXCELENCIA JeA 2022-1	344 ESTUDIANTES
10/09/2022	módulo Habilidades para la Vida	148 ESTUDIANTES
1/09/2022	Verificación condiciones de rezago y exclusión Gen E	19 ESTUDIANTES
22/08/2022	ExpoEmpleo Joven 2022	302 ESTUDIANTES
1/08/2022	Renovación Beneficio generación E - Matrícula 2022-2	463 ESTUDIANTES
1/08/2022	Pre-registro JeA 2022-2	104  ESTUDIANTES
</t>
  </si>
  <si>
    <t>https://itceduco-my.sharepoint.com/:b:/g/personal/bienestaruniversitario_itc_edu_co/EUMmPYmPbSBBtMjsGmVjo6wB-pOghWAdd8qEJIwJVjFaTw?e=lMLoyn</t>
  </si>
  <si>
    <t xml:space="preserve">A la fecha se han llevado a cabo las siguientes acciones:
29/09/2022	FERIA UNIVERSITARIA GUADUAS	62	PARTICIPANTES
16/09/2022	FERIA DE SERVICIOS EN TURMEQUÉ	65	PARTICIPANTES
7/09/2022	FORTALECIMIENTO RED CUIDADANA ETITC	12	PARTICIPANTES
</t>
  </si>
  <si>
    <t>EVIDENCIAS TERCER TRIMESTRE.pdf</t>
  </si>
  <si>
    <t>Se presentó la electiva “Éticamente” ante el Consejo Académico, dicha electiva fue revisada por el Decano de la facultad de Sistemas, como resultado se dio retroalimentación en cuanto a los procesos de seguimiento una vez implementada la Electiva. Se proyecta que durante el desarrollo de esta semestralmente invitar dos conferencistas.</t>
  </si>
  <si>
    <t>Acta de Consejo Acadèmico</t>
  </si>
  <si>
    <t xml:space="preserve">Con relación al Centro Docente se ha adelantado: 
Estructuración de espacio
Servicios de Centro de Atención al Docente: 8 servicios a ofrecer, 1.un coordinador de dicha Oficina.2.Servicio de Psicologia.3. Servicio de asesoría jurídica 4.Espacio físico 5. Equipo de eventos y celebraciones 6. Servicio de Asesoria 7 . Asesoria Laboral .8. Salud ocupacional Capacitación y estimulos-
Se establecio un esquema de acción por fases de estudio: 1. Identificación de problematica, 2. Prevalencia, causa y consecuencia, Diseño y ejecución del programa 4. Evaluación de la propuesta.
El rincón de maestro se adapto con la finalidad de crear un espacio en el que los docentes tengas esparcimiento (Celebraciones, Actividades psicopedagógicos, capacitaciones)
</t>
  </si>
  <si>
    <t>ME-50- Consolidar y fortalecer el vínculo entre empresa, estado - academia ETITC</t>
  </si>
  <si>
    <t>Programas, talleres y campañas realizadas</t>
  </si>
  <si>
    <t>Diplomados,  cursos y conferencia realizados</t>
  </si>
  <si>
    <t>Informe que consolide la informaci</t>
  </si>
  <si>
    <t xml:space="preserve">A comienzo de la vigencia la ETITC se presentó a la Propuesta Reto a la U, # 3, la cual fue ofertada por la Alcaldía a través de la SED.
Se realizó el debido diligenciamiento de los soportes requeridos, sin embargo, la Escuela Fue descalificada por tener un SPADIES (escala que mide la Deserción) negativo. Con relación al Indicador estratégico se muestra 1 convenio vigencia 2021 (Reto a la U.2). 
</t>
  </si>
  <si>
    <t>ME-29-  Lograr al 2023 el Registro Calificado de 1 Especialización Profesional, 1 Especialización Tecnológica, al 2024, 3 carrera profesional por ciclos y 1 Maestría.</t>
  </si>
  <si>
    <t xml:space="preserve">Actualmente se desarrolla el Contrato para la creación de estudios maestros para 3 especializaciones (Instrumentación industrial, mantenimiento industrial, Gestión y construcción de redes de media tensión).
Desde la vigencia 2021 se cuenta con las especializaciones: Diseño y Gestión de Sistemas y Dispositivos para Internet de las Cosas, Seguridad y Salud en el Trabajo. por ende, el indicador estratégico fue cumplido.. </t>
  </si>
  <si>
    <t xml:space="preserve">Proponer el proyecto para construcción de la Unidad de Apoyo B-Learning, </t>
  </si>
  <si>
    <t>Adquisición de elementos</t>
  </si>
  <si>
    <t xml:space="preserve"> </t>
  </si>
  <si>
    <t xml:space="preserve">DOTACIÓN DE COMPONENTES DE HARDWARE PARA FORTALECER LA GOBERNANZA DE SEGURIDAD DIGITAL  DE LA INFRAESTRUCTURA CRITICA DEL DATACENTER Y SERVICIOS ESENCIALES PARA APOYAR LA GESTIÓN DE RIESGOS CIBERNÉTICOS DE LA ETITC.  
</t>
  </si>
  <si>
    <r>
      <t xml:space="preserve">Trabajo que se realiza desde pastoral.
PRE ITC. Grupo de estudiantes egresados instruyen a posibles estudiantes nuevos grupo de egresados. Periodo del proyecto 20 de abril-24 de septiembre
Pruebas. 2 de octubre.
Sociabilización con la localidad de lo Mártires. 
proyectos: Rectores de los colegios, en este participan alrededor de 15 instituciones en promedio.
programas de educación.
Con relación al indicador se evidencia que se tiene 1.119.
</t>
    </r>
    <r>
      <rPr>
        <b/>
        <sz val="14"/>
        <rFont val="Calibri"/>
        <family val="2"/>
        <scheme val="minor"/>
      </rPr>
      <t xml:space="preserve">
</t>
    </r>
  </si>
  <si>
    <t xml:space="preserve">Inscripciones 8 al 16 de septiembre
2 de octubre. Aplicación de pruebas IBTI
6. de octubre. Citación a entrevistas.
12 de octubre resultado de pruebas académicas
10 al 14 entrega de documentación para matriculas académicas
24 y 28 de octubre. Entrevista de aspirantes 
Actividades se enmarcan en lo publicado en la página institucional
 </t>
  </si>
  <si>
    <t>Se realiza desde la parte técnica, coordinador de talleres. Desde psicología se realiza un proceso viendo los perfiles de los estudiantes. Ingenieras.</t>
  </si>
  <si>
    <t xml:space="preserve">se definieron las categorías de evaluación y se definieron los instrumentos de recolección de información.
Se cuenta con 12 objetivos, y una matriz “análisis de secuencia". una vez se publique el calendario escolar v. 2023 se procederá a calendarizar las actividades a desarrollar 2023
</t>
  </si>
  <si>
    <t xml:space="preserve">La evaluación de este indicador está sujeto a la realización de 2 actividades en específico:
1. Capacitaciones a docentes. Resultados de aprendizaje 
2. Ajuste de Syllabus con resultados de aprendizaje,
La matriz de competencias de competencias y resultados de aprendizaje (15 programas), fue entregada el 14 de octubre, es cumplimiento del PEI y del PEP.
Se realizó la actualización del formato de DES-FO-05 Syllabus. (18 de julio)
</t>
  </si>
  <si>
    <t xml:space="preserve">Desde la vigencia 2021 se pago un valor por 185.500.000 (Resolución 4114 de 2021), para 44 cargos externos y 9 cargos internos de ascenso.
Con la Resolución 373 de 2021 se realizo una modificación al manual de funciones, especificamente para los cargos que estarán en concursos durante la vigencia 2022. 
</t>
  </si>
  <si>
    <t xml:space="preserve">Se menciona que el ahorro de energia durante el cuatrenio no alcanzará al 10%.
Comparativamente de la vigencia 2021 con relación a la vigencia 2020, se evidencia un ahorro de energia total del 19.05%, sin embargo, no obedece a practicas de energia energetica de eficiencia, obedece a la . 
Para la medición del ahorro de energia es necesario contar con  </t>
  </si>
  <si>
    <t>Ñ</t>
  </si>
  <si>
    <t>Esta actividad no ha tenido avance durante el 4° trimestre</t>
  </si>
  <si>
    <t>Orientación profesional (36 HORAS)</t>
  </si>
  <si>
    <t>Con relación a la meta estrategica es necesario solicitar información a las Decanaturas. Desde extensión no se registran convenios con colegios.
Durante el 3° trimestre de la vigencia se ha realizado visitas a 7 -07- Cafam
5 - 08- Colegio JAZMIN
16-09- Turmeque Boyacá
29 - 09- Guaduas - Cundinamarca</t>
  </si>
  <si>
    <t>Adquisición de elementos y equipos: Computador- Celular institucional</t>
  </si>
  <si>
    <t>Renovación de contenidos y servicios  para la Biblioteca Digital E-Books 7-24, como apoyo a las actividades académicas e investigación de la comunidad en general durante doce (12).  Editorial Pearsons</t>
  </si>
  <si>
    <t xml:space="preserve">Plan anual de vacantes:
Integración del profesional de Decanaturas (404415).
Ingreso Auxiliar administrativo 08  
Ingreso Técnico administrativo de registro y control (124123)
</t>
  </si>
  <si>
    <t xml:space="preserve">1. Taller de Mecánica: Cto 247 por un valor de 29.000.000. Avance del 75%.
2. Taller de Automatización industrial: Cto 227 por un valor de 27715949. Avance del 85%.
3. Taller de FAB LAB: 
Mantenimiento: Cto 254 por un valor 7800000. Avance del 75%.
Cto 242 por un valor de 11043234. Avance del 100%.
4. Taller de industria 4.0: Cto 270 por un valor de 25.465.000. Avance del 50%.
5. Taller instalaciones eléctricas B.T.. Realizado por el laboratorista (sin costo)
6. Taller de domótica y taller de tratamientos térmicos: Estos proyectos pasan a ser prioritarios para la vigencia 2023.
</t>
  </si>
  <si>
    <t xml:space="preserve">1. Taller de Mecánica: Cto 247 por un valor de 29.000.000. Avance del 95%.
2. Taller de Automatización industrial: Cto 227 por un valor de 27715949. Avance del 100%.
3. Taller de FAB LAB: 
Mantenimiento: Cto 254 por un valor 7800000. Avance del 100%.
Cto 242 por un valor de 11043234. Avance del 100%.
4. Taller de industria 4.0: Cto 270 por un valor de 25.465.000. Avance del 90%.
5. Taller instalaciones eléctricas B.T.. Realizado por el laboratorista (sin costo)
6. Taller de domótica y taller de tratamientos térmicos: Estos proyectos pasan a ser prioritarios para la vigencia 2023.
</t>
  </si>
  <si>
    <t>Contratar   un   profesional   para   que   actualice  el   Plan   de Continuidad del Negocio y realicé de forma periódica simulacro de pruebas.</t>
  </si>
  <si>
    <t xml:space="preserve">El programa anual de auditorías fue aprobado mediante el acta No 1 del CICCI, el 26 de enero de 2022.
Para el mes de agosto se realizaron las siguientes auditorias:
Caja Menor: 16 fortalezas, 3 aspectos por mejorar y 3 hallazgos.
https://etitc.edu.co/archives/informeauditoriacm22.pdf
Talento Humano: 15 fortalezas, 27 aspectos por mejorar y 8 hallazgos.
https://etitc.edu.co/archives/informeauditoriath22.pdf
Septiembre:
Direccionamiento institucional.
7 fortalezas, 16 aspectos por mejorar y 9 hallazgos.
https://etitc.edu.co/archives/informeauditoriadie22.pdf </t>
  </si>
  <si>
    <t xml:space="preserve">Revisar observaciones </t>
  </si>
  <si>
    <t>Certificado de actualización de sistema eKOGUI 1° semestre 2022.
https://etitc.edu.co/archives/ekogui122.pdf</t>
  </si>
  <si>
    <t>Informe semestral de Evaluación Independiente del Sistema de Control Interno.
https://etitc.edu.co/archives/evaluacionisci12022.pdf.
Austeridad en el gasto 2° trimestre
https://etitc.edu.co/archives/informeausteridad28.pdf
PQRSD 1° semestre 2022
https://etitc.edu.co/archives/informepqrs122.pdf
Seguimiento a convenios de cooperación
https://etitc.edu.co/archives/infseguiconvenios22.pdf
Seguimiento a la meta de racionalización de tramites 2022
ley de Transparencia y acceso a la información
https://etitc.edu.co/archives/seguimientotranspa22.pdf
Avance a la estrategia Anticorrupción
https://etitc.edu.co/archives/seguimientoplanan222.pdf
Seguimiento a la ejecución presupuestal 2022
https://etitc.edu.co/archives/infoseguimientop822.pdf</t>
  </si>
  <si>
    <t xml:space="preserve">Seguimiento a la estrategia anticorrupción
https://etitc.edu.co/archives/seguimientoplanan222.pdf </t>
  </si>
  <si>
    <t>Esta actividad esta programada para el 4° trimestre de la vigencia</t>
  </si>
  <si>
    <t>Esta actividad se realizará durante el mes de octubre.
Se evidencia avance en la formulación de la campaña del 3° cuatrimestre</t>
  </si>
  <si>
    <t>De manera cuatrimestral se realiza seguimiento a los riesgos de corrupción a través del informe de seguimiento al PAAC.
https://etitc.edu.co/archives/seguimientoplanan222.pdf</t>
  </si>
  <si>
    <t xml:space="preserve">Presentadas en el momento del seguimiento </t>
  </si>
  <si>
    <t>A la fecha se han tramitado 564 Actos administrativos, para el 3º trimestre evaluado, se han expedido 219 actos administrativos.
En cuanto a aspectos de mejoramiento Normativos de han expedido:
Concejo Directivo: 2 actos administrativo, Acuerdo 06 y 07 de 2022
Consejo Académico: Acuerdo 06 "lineamientos académicos y curriculares de la ETITC"
Resolución 362de 2022 "Creación de la Red RediETITC"
3 circulares:
• Circular 13 de 15 de septiembre de 2022 - Jornada de trabajo en casa - 22 de septiembre
• Circular 12 de 26 de julio de 2022 - Cumplimiento de jornadas y horarios laborales / Prespecialidad con responsabilidad y uso de tapabocas
• Circular 11 de 19 de julio de 2022 - Términos y condiciones para la postulación de estudiantes del IBTI a las becas ofertadas por instituciones de Educación Superior, para el año 2022
Evidencia: https://www.etitc.edu.co/es/page/leytransparencia
2.1.2. Normativa aplicable</t>
  </si>
  <si>
    <t>Actualización al sistema Ekogui, según las Actuaciones se han realizado dentro de los diferente (2 actuaciones durante el trimestre)</t>
  </si>
  <si>
    <t>La profesional posesionada en el área de asuntos disciplinarios recibió la consigna de 30 procesos disciplinarios, de los cuales se han revisado de manera física 28 procesos y 2 de manera digital físicos. En este sentido de estos se ha revisado y cerrado por competo 23 proceso.</t>
  </si>
  <si>
    <t>Esta actividad está programada a realizar durante el 4 trimestre de la vigencia</t>
  </si>
  <si>
    <t>Se ha realizado la revisión previa de los documentos necesarias para optar por al grado por parte de los estudiantes de pregrado (400 personas aprobadas), así mismo, se ha programado la logística necesaria para el evento. Dicha ceremonia se tiene prevista a realizar el próximo 28 de octubre en la cámara de comercio de Bogotá.</t>
  </si>
  <si>
    <t xml:space="preserve">Se realizo el 2° seguimiento al PAAC 2022, para ello se realizaron diferentes reuniones con los responsables de cada área.
Se realizo el 2° seguimiento al Plan de Acción Institucional (instrumento de seguimiento e informe de seguimiento)
Se realizo el 2° seguimiento a las Metas estrategicas PDI 1° Trimestre. 
Se definieron cronogramas para la realización del 2° seguimiento al PAI Y PAAC.
Se llevo a cabo la actualización del espacio Participa, de forma que los dos botones dispuestos se articulen.
</t>
  </si>
  <si>
    <t xml:space="preserve">Se realizo el seguimiento al PPC 2° trimestre.
Se definió el cronograma de seguimiento al Plan de Participación Ciudadana para la 3° semana de septiembre. </t>
  </si>
  <si>
    <t xml:space="preserve">se continua asesorando las diferentes áreas institucionales en la correcta aplicación del MIPG, en eras de la mejora en la gestión institucional </t>
  </si>
  <si>
    <t>Se realizo el reporte ante el PGR corte 30 de septiembre</t>
  </si>
  <si>
    <t>Se realizo el reporte del PAS ante de MEN.
Reporte de los servicios públicos ante el DANE</t>
  </si>
  <si>
    <t xml:space="preserve">
Se realizo seguimiento a los 3 proyectos e inversión, especificamente con corte a septiembre. </t>
  </si>
  <si>
    <t xml:space="preserve">De manera mancominada con el proceso Bienestar universitario se lleva a cabo el proyecto "Observatorio Universitario". De esta manera se desarrollan pruebas piloto </t>
  </si>
  <si>
    <t>Esta actividad se proyecta realizar durante el mes de octubre.</t>
  </si>
  <si>
    <t>Desde el área se menciona que se realizaron las siguientes auditorias:
1. Docencia Bto. (Se ha recibido plan de mejoramiento)
2. G. Documental. (No se ha recibido plan de mejoramiento)
3. G. Adquisiciones (No se ha recibido plan de mejoramiento)
4. Talento humano (Se ha recibido plan de mejoramiento)</t>
  </si>
  <si>
    <t>Se a realizado la gestión necesaria para desarrollar la pre auditoria con ICONTEC (estudios previos), no se ha definido la fecha para realizar la actividad.</t>
  </si>
  <si>
    <t>Se realizo el informe de satisfacción del servicio prestado 2° trimestre.
Atención a la actualización, eliminación de documentos y actualización del listado maestro.
Se apoyo al seguimiento de riesgos de gestión.
https://www.etitc.edu.co/es/page/nosotros&amp;sg</t>
  </si>
  <si>
    <t>De los 4 informes de planes de mejoramiento por Facultad: Sistemas (revisado y ajustado y entregado para cargue en plataforma en el proceso de reacreditación de programa), Electromecánica, Procesos Industriales, Mecatrónica: Entregados y pendientes por revisión y completitud por parte delos respectivos Decanos, para hacer la revisión final y el respectivo cargue en la plataforma</t>
  </si>
  <si>
    <t>En el mes de agosto se realizo el boletin respectivo para el 2do cuatrimestre de la vigencia.
En este se hace mención en que La ETITC obtuvo concepto favorable, según la Sala de Evaluación de Trámites Institucionales de la CONACES, debido al cumplimiento de las condiciones de calidad institucionales. Con este concepto la institución podrá, por un término de siete (7) años, iniciar la etapa de radicación de solicitudes de registro calificado para Bogotá D.C., sin necesidad de surtir nuevamente la etapa de pre radicación. https://etitc.edu.co/archives/siacet3.pdf</t>
  </si>
  <si>
    <t>Se presento al Comité de Autoevaluación y Autorregulación antes "Comité del Sistema de Gestión del PDI y Autoevaluación con fines de Acreditación Institucional", las respectivas justificaciones, mismas que fueron aprobadas y se generó el respectivo documento del modelo de autoevaluación institucional.
Evidencia.
https://www.etitc.edu.co/archives/modelautoevaluacion.pdf</t>
  </si>
  <si>
    <t>Se socializo y aprobó las política de talento humano en el CIGD, sin embargo esta pendiente por aprobación en el Consejo Directivo.
Evidencia:
https://www.etitc.edu.co/archives/acuerdo042022.pdf</t>
  </si>
  <si>
    <t xml:space="preserve">Durante el periodo evaluado se presentaron 3 estrategias, las cuales fueron aprobadas en instancias de toma de decisión y desarrolladas a cabalidad. </t>
  </si>
  <si>
    <t>Se esta a la espera del concepto de la SDA, toda vez que no se cuenta con un laboratorio certificado en Colombia para la actividad</t>
  </si>
  <si>
    <t>La actividad no ha tenido avance, toda vez que la autoridad ambiental (SDA) no ha dado respuesta la solicitud con base en el concepto técnico del IDEAM , la cual menciona que solo existe un laboratorio en Colombia para la realización de esta medición.</t>
  </si>
  <si>
    <t>Esta actividad depende de la ejecución de la actividad anterior . Número de radicado 22ER235387</t>
  </si>
  <si>
    <t>El Cto - 019 de 2022 se ejecuta con normalidad y esta vigente hasta el 9 de diciembre.</t>
  </si>
  <si>
    <t>La actividad se suple a partir de la practica administrativa de una ingeniera sanitaria de la U. Distrital.</t>
  </si>
  <si>
    <t>En el marco del CTO 215 se realizo una segunda prueba, como resultado se encontró que no existe conexión de las cocinas con el Laboratorio de Química.
La actividad queda bajo la responsabilidad del área Planta física</t>
  </si>
  <si>
    <t>El Cto 215 de 2022, se encuentra en un avance del 50%.
PRESTACIÓN DE SERVICIOS PARA REALIZAR LA CARACTERIZACIÓN DE AGUAS RESIDUALES NO DOMÉSTICAS GENERADOS EN LA SEDE CENTRAL DE LA ESCUELA TECNOLÓGICA INSTITUTO TÉCNICO CENTRAL- Inicio el 22 de agosto.</t>
  </si>
  <si>
    <t>Esta actividad se tiene prevista para el mes de noviembre</t>
  </si>
  <si>
    <t>la ejecución de los Contratos 016 Y 137 de 2022 se ejecutan con normalidad para el 3° triemstre</t>
  </si>
  <si>
    <t>Esta actividad finalizo con lo reportartado a 30 de junio de 2022</t>
  </si>
  <si>
    <t>Por parte de las áreas de Contabilidad y tesorería el manual fue revisado y aprobado, este se envio al área de calidad para su 1° revisión.</t>
  </si>
  <si>
    <t>Este proyecto será modificado teniendo en cuenta que la naturaleza del proyecto ya no corresponde a la realizadad institucional</t>
  </si>
  <si>
    <t>La actividades de la oficina de Contratación se continuan realizado de manera permanente y de acuerdo a lo planeacio en el PAA</t>
  </si>
  <si>
    <t>Se cuenta con la renovación del software</t>
  </si>
  <si>
    <t xml:space="preserve">Con relación a las fases
Inaugura el centro de atención al doncete. 
Actividades. :
Actividades realizadas:
celebración del día del maestro y día de trabajo. 
Jornada de aeróbicos de maestros con motivo del día mundial de maestro
jornada cultural deportiva. (16 de 08)
Jornada pedagógica (16.08)
enseñanza tecnologías 
2 jornada cultura y deportiva. 7 de septiembre
Con relación al indicador, han participado la totalidad: 95 docentes.  (95 % de participación) 
La inauguración del centro de docentes fue el 15 de mayo.
</t>
  </si>
  <si>
    <t>Esta actividad no ha tenido avance durante le 3° trimestre</t>
  </si>
  <si>
    <t>A la fecha del seguimiento se desarrollan las actividades con normalidad</t>
  </si>
  <si>
    <t>El apoyo se realizo según lo solicitado pór las áreas correspondientes</t>
  </si>
  <si>
    <t xml:space="preserve">Actividades de apoyo realizadas </t>
  </si>
  <si>
    <t xml:space="preserve">Actividades de gestión realziadas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</si>
</sst>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XDR&quot;* #,##0_-;\-&quot;XDR&quot;* #,##0_-;_-&quot;XDR&quot;* &quot;-&quot;_-;_-@_-"/>
    <numFmt numFmtId="165" formatCode="yyyy\-mm\-dd;@"/>
    <numFmt numFmtId="166" formatCode="_-* #,##0_-;\-* #,##0_-;_-* &quot;-&quot;??_-;_-@_-"/>
    <numFmt numFmtId="167" formatCode="_-&quot;$&quot;\ * #,##0_-;\-&quot;$&quot;\ * #,##0_-;_-&quot;$&quot;\ * &quot;-&quot;??_-;_-@_-"/>
    <numFmt numFmtId="168" formatCode="[$$-240A]\ #,##0"/>
    <numFmt numFmtId="169" formatCode="0.0%"/>
    <numFmt numFmtId="170" formatCode="_-[$$-2C0A]\ * #,##0_-;\-[$$-2C0A]\ * #,##0_-;_-[$$-2C0A]\ * &quot;-&quot;??_-;_-@_-"/>
    <numFmt numFmtId="171" formatCode="0.0"/>
  </numFmts>
  <fonts count="86" x14ac:knownFonts="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4"/>
      <name val="Calibri"/>
      <family val="2"/>
      <scheme val="minor"/>
    </font>
    <font>
      <b/>
      <sz val="14"/>
      <name val="Arial"/>
      <family val="2"/>
    </font>
    <font>
      <u/>
      <sz val="11"/>
      <color theme="10"/>
      <name val="Calibri"/>
      <family val="2"/>
    </font>
    <font>
      <b/>
      <sz val="16"/>
      <color theme="1"/>
      <name val="Arial"/>
      <family val="2"/>
    </font>
    <font>
      <sz val="10"/>
      <name val="Arial"/>
      <family val="2"/>
    </font>
    <font>
      <b/>
      <sz val="14"/>
      <color theme="1"/>
      <name val="Calibri"/>
      <family val="2"/>
      <scheme val="minor"/>
    </font>
    <font>
      <b/>
      <sz val="14"/>
      <color rgb="FF000000"/>
      <name val="Calibri"/>
      <family val="2"/>
      <scheme val="minor"/>
    </font>
    <font>
      <sz val="14"/>
      <name val="Arial"/>
      <family val="2"/>
    </font>
    <font>
      <sz val="12"/>
      <name val="Arial"/>
      <family val="2"/>
    </font>
    <font>
      <sz val="14"/>
      <name val="Calibri"/>
      <family val="2"/>
      <scheme val="minor"/>
    </font>
    <font>
      <sz val="14"/>
      <color theme="1"/>
      <name val="Calibri"/>
      <family val="2"/>
      <scheme val="minor"/>
    </font>
    <font>
      <sz val="12"/>
      <color theme="1"/>
      <name val="Arial Narrow"/>
      <family val="2"/>
    </font>
    <font>
      <sz val="10"/>
      <name val="Arial"/>
      <family val="2"/>
    </font>
    <font>
      <sz val="14"/>
      <color rgb="FF000000"/>
      <name val="Calibri"/>
      <family val="2"/>
      <scheme val="minor"/>
    </font>
    <font>
      <sz val="14"/>
      <color theme="1"/>
      <name val="Arial Narrow"/>
      <family val="2"/>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sz val="16"/>
      <color theme="1"/>
      <name val="Arial Narrow"/>
      <family val="2"/>
    </font>
    <font>
      <sz val="11"/>
      <color rgb="FFFF0000"/>
      <name val="Arial Narrow"/>
      <family val="2"/>
    </font>
    <font>
      <sz val="11"/>
      <color theme="1"/>
      <name val="Arial Narrow"/>
      <family val="2"/>
    </font>
    <font>
      <b/>
      <sz val="12"/>
      <color rgb="FF00B050"/>
      <name val="Calibri Light"/>
      <family val="2"/>
    </font>
    <font>
      <b/>
      <sz val="14"/>
      <color rgb="FF00B050"/>
      <name val="Arial Black"/>
      <family val="2"/>
    </font>
    <font>
      <sz val="14"/>
      <color rgb="FF00B050"/>
      <name val="Calibri Light"/>
      <family val="2"/>
    </font>
    <font>
      <sz val="12"/>
      <color theme="0"/>
      <name val="Calibri Light"/>
      <family val="2"/>
    </font>
    <font>
      <b/>
      <sz val="11"/>
      <color theme="0"/>
      <name val="Arial Narrow"/>
      <family val="2"/>
    </font>
    <font>
      <sz val="12"/>
      <color theme="1"/>
      <name val="Calibri Light"/>
      <family val="2"/>
    </font>
    <font>
      <b/>
      <sz val="10"/>
      <color theme="0"/>
      <name val="Calibri Light"/>
      <family val="2"/>
    </font>
    <font>
      <b/>
      <sz val="10"/>
      <color theme="1"/>
      <name val="Calibri Light"/>
      <family val="2"/>
    </font>
    <font>
      <b/>
      <sz val="10"/>
      <color theme="1"/>
      <name val="Calibri"/>
      <family val="2"/>
      <scheme val="minor"/>
    </font>
    <font>
      <sz val="12"/>
      <name val="Calibri Light"/>
      <family val="2"/>
    </font>
    <font>
      <sz val="12"/>
      <color theme="1"/>
      <name val="Calibri Light"/>
      <family val="2"/>
      <scheme val="major"/>
    </font>
    <font>
      <b/>
      <sz val="12"/>
      <color theme="1"/>
      <name val="Calibri Light"/>
      <family val="2"/>
    </font>
    <font>
      <b/>
      <sz val="12"/>
      <color rgb="FFFF0000"/>
      <name val="Calibri Light"/>
      <family val="2"/>
      <scheme val="major"/>
    </font>
    <font>
      <b/>
      <sz val="12"/>
      <color rgb="FF00B050"/>
      <name val="Calibri Light"/>
      <family val="2"/>
      <scheme val="major"/>
    </font>
    <font>
      <b/>
      <sz val="11"/>
      <color theme="1"/>
      <name val="Calibri Light"/>
      <family val="2"/>
      <scheme val="major"/>
    </font>
    <font>
      <b/>
      <sz val="12"/>
      <color theme="1"/>
      <name val="Calibri Light"/>
      <family val="2"/>
      <scheme val="major"/>
    </font>
    <font>
      <b/>
      <sz val="12"/>
      <color theme="0"/>
      <name val="Calibri Light"/>
      <family val="2"/>
    </font>
    <font>
      <b/>
      <sz val="12"/>
      <color theme="0"/>
      <name val="Calibri Light"/>
      <family val="2"/>
      <scheme val="major"/>
    </font>
    <font>
      <b/>
      <sz val="10"/>
      <color theme="0"/>
      <name val="Calibri Light"/>
      <family val="2"/>
      <scheme val="major"/>
    </font>
    <font>
      <sz val="10"/>
      <color theme="1"/>
      <name val="Calibri Light"/>
      <family val="2"/>
      <scheme val="major"/>
    </font>
    <font>
      <sz val="12"/>
      <name val="Calibri Light"/>
      <family val="2"/>
      <scheme val="major"/>
    </font>
    <font>
      <b/>
      <sz val="12"/>
      <name val="Calibri Light"/>
      <family val="2"/>
      <scheme val="major"/>
    </font>
    <font>
      <i/>
      <sz val="12"/>
      <color rgb="FFFF0000"/>
      <name val="Calibri Light"/>
      <family val="2"/>
      <scheme val="major"/>
    </font>
    <font>
      <sz val="12"/>
      <color rgb="FFFF0000"/>
      <name val="Calibri Light"/>
      <family val="2"/>
      <scheme val="major"/>
    </font>
    <font>
      <strike/>
      <sz val="12"/>
      <name val="Calibri Light"/>
      <family val="2"/>
      <scheme val="major"/>
    </font>
    <font>
      <sz val="12"/>
      <color rgb="FF000000"/>
      <name val="Calibri Light"/>
      <family val="2"/>
      <scheme val="major"/>
    </font>
    <font>
      <b/>
      <sz val="11"/>
      <color rgb="FFFF0000"/>
      <name val="Arial Narrow"/>
      <family val="2"/>
    </font>
    <font>
      <b/>
      <sz val="12"/>
      <color rgb="FF00B050"/>
      <name val="Arial Narrow"/>
      <family val="2"/>
    </font>
    <font>
      <b/>
      <sz val="14"/>
      <color theme="1"/>
      <name val="Arial Narrow"/>
      <family val="2"/>
    </font>
    <font>
      <b/>
      <sz val="16"/>
      <color theme="0"/>
      <name val="Arial Narrow"/>
      <family val="2"/>
    </font>
    <font>
      <b/>
      <sz val="9"/>
      <color theme="0"/>
      <name val="Arial Narrow"/>
      <family val="2"/>
    </font>
    <font>
      <b/>
      <sz val="9"/>
      <color theme="0"/>
      <name val="Calibri"/>
      <family val="2"/>
      <scheme val="minor"/>
    </font>
    <font>
      <b/>
      <sz val="9"/>
      <color theme="1"/>
      <name val="Calibri"/>
      <family val="2"/>
      <scheme val="minor"/>
    </font>
    <font>
      <b/>
      <sz val="14"/>
      <color indexed="9"/>
      <name val="Calibri"/>
      <family val="2"/>
      <scheme val="minor"/>
    </font>
    <font>
      <b/>
      <sz val="14"/>
      <color rgb="FF00B050"/>
      <name val="Calibri"/>
      <family val="2"/>
      <scheme val="minor"/>
    </font>
    <font>
      <b/>
      <sz val="14"/>
      <color theme="7"/>
      <name val="Calibri"/>
      <family val="2"/>
      <scheme val="minor"/>
    </font>
    <font>
      <b/>
      <sz val="14"/>
      <color theme="5"/>
      <name val="Calibri"/>
      <family val="2"/>
      <scheme val="minor"/>
    </font>
    <font>
      <b/>
      <sz val="14"/>
      <color theme="4"/>
      <name val="Calibri"/>
      <family val="2"/>
      <scheme val="minor"/>
    </font>
    <font>
      <b/>
      <sz val="16"/>
      <color indexed="9"/>
      <name val="Calibri"/>
      <family val="2"/>
      <scheme val="minor"/>
    </font>
    <font>
      <b/>
      <sz val="36"/>
      <color indexed="9"/>
      <name val="Calibri"/>
      <family val="2"/>
      <scheme val="minor"/>
    </font>
    <font>
      <sz val="36"/>
      <name val="Calibri"/>
      <family val="2"/>
      <scheme val="minor"/>
    </font>
    <font>
      <b/>
      <sz val="36"/>
      <color rgb="FF00B050"/>
      <name val="Calibri"/>
      <family val="2"/>
      <scheme val="minor"/>
    </font>
    <font>
      <sz val="36"/>
      <name val="Arial"/>
      <family val="2"/>
    </font>
    <font>
      <sz val="11"/>
      <color rgb="FF00B050"/>
      <name val="Arial Narrow"/>
      <family val="2"/>
    </font>
    <font>
      <b/>
      <sz val="11"/>
      <name val="Calibri Light"/>
      <family val="2"/>
      <scheme val="major"/>
    </font>
    <font>
      <b/>
      <sz val="11"/>
      <color rgb="FF00B050"/>
      <name val="Calibri Light"/>
      <family val="2"/>
      <scheme val="major"/>
    </font>
    <font>
      <sz val="14"/>
      <color indexed="9"/>
      <name val="Calibri"/>
      <family val="2"/>
      <scheme val="minor"/>
    </font>
    <font>
      <b/>
      <sz val="14"/>
      <color rgb="FFFF0000"/>
      <name val="Calibri"/>
      <family val="2"/>
      <scheme val="minor"/>
    </font>
    <font>
      <b/>
      <sz val="11"/>
      <color theme="1"/>
      <name val="Arial"/>
      <family val="2"/>
    </font>
    <font>
      <sz val="11"/>
      <name val="Arial"/>
      <family val="2"/>
    </font>
    <font>
      <b/>
      <sz val="10"/>
      <color theme="1"/>
      <name val="Arial"/>
      <family val="2"/>
    </font>
    <font>
      <sz val="16"/>
      <color theme="1"/>
      <name val="Arial"/>
      <family val="2"/>
    </font>
    <font>
      <u/>
      <sz val="10"/>
      <color theme="10"/>
      <name val="Arial"/>
      <family val="2"/>
    </font>
    <font>
      <b/>
      <sz val="12"/>
      <name val="Calibri Light"/>
      <family val="2"/>
    </font>
    <font>
      <b/>
      <sz val="10"/>
      <name val="Arial"/>
      <family val="2"/>
    </font>
    <font>
      <u/>
      <sz val="10"/>
      <color rgb="FF0563C1"/>
      <name val="Arial"/>
      <family val="2"/>
    </font>
    <font>
      <sz val="14"/>
      <color rgb="FF000000"/>
      <name val="Calibri"/>
      <family val="2"/>
    </font>
    <font>
      <b/>
      <sz val="20"/>
      <color theme="0"/>
      <name val="Calibri"/>
      <family val="2"/>
      <scheme val="minor"/>
    </font>
  </fonts>
  <fills count="40">
    <fill>
      <patternFill patternType="none"/>
    </fill>
    <fill>
      <patternFill patternType="gray125"/>
    </fill>
    <fill>
      <patternFill patternType="solid">
        <fgColor indexed="17"/>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00B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2"/>
        <bgColor indexed="64"/>
      </patternFill>
    </fill>
    <fill>
      <patternFill patternType="solid">
        <fgColor theme="2" tint="-0.249977111117893"/>
        <bgColor indexed="64"/>
      </patternFill>
    </fill>
    <fill>
      <patternFill patternType="solid">
        <fgColor theme="4" tint="-0.249977111117893"/>
        <bgColor indexed="64"/>
      </patternFill>
    </fill>
    <fill>
      <patternFill patternType="solid">
        <fgColor theme="2" tint="-0.499984740745262"/>
        <bgColor indexed="64"/>
      </patternFill>
    </fill>
    <fill>
      <patternFill patternType="solid">
        <fgColor rgb="FF07731C"/>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0"/>
        <bgColor rgb="FF000000"/>
      </patternFill>
    </fill>
    <fill>
      <patternFill patternType="solid">
        <fgColor rgb="FFFFFF00"/>
        <bgColor indexed="64"/>
      </patternFill>
    </fill>
    <fill>
      <patternFill patternType="solid">
        <fgColor rgb="FFFF0000"/>
        <bgColor indexed="64"/>
      </patternFill>
    </fill>
    <fill>
      <patternFill patternType="solid">
        <fgColor rgb="FF00CC99"/>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top style="medium">
        <color rgb="FF92D050"/>
      </top>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style="medium">
        <color theme="9"/>
      </top>
      <bottom style="medium">
        <color theme="9"/>
      </bottom>
      <diagonal/>
    </border>
    <border>
      <left/>
      <right/>
      <top style="medium">
        <color theme="9"/>
      </top>
      <bottom style="medium">
        <color theme="9"/>
      </bottom>
      <diagonal/>
    </border>
    <border>
      <left/>
      <right style="medium">
        <color theme="9"/>
      </right>
      <top style="medium">
        <color theme="9"/>
      </top>
      <bottom style="medium">
        <color theme="9"/>
      </bottom>
      <diagonal/>
    </border>
    <border>
      <left style="medium">
        <color theme="9"/>
      </left>
      <right/>
      <top/>
      <bottom style="medium">
        <color theme="9"/>
      </bottom>
      <diagonal/>
    </border>
    <border>
      <left/>
      <right/>
      <top/>
      <bottom style="medium">
        <color theme="9"/>
      </bottom>
      <diagonal/>
    </border>
    <border>
      <left style="thin">
        <color indexed="64"/>
      </left>
      <right/>
      <top style="medium">
        <color theme="9"/>
      </top>
      <bottom style="thin">
        <color indexed="64"/>
      </bottom>
      <diagonal/>
    </border>
    <border>
      <left/>
      <right/>
      <top style="medium">
        <color theme="9"/>
      </top>
      <bottom style="thin">
        <color indexed="64"/>
      </bottom>
      <diagonal/>
    </border>
    <border>
      <left/>
      <right style="thin">
        <color indexed="64"/>
      </right>
      <top style="medium">
        <color theme="9"/>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theme="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theme="9" tint="0.39997558519241921"/>
      </top>
      <bottom style="medium">
        <color theme="9" tint="0.39997558519241921"/>
      </bottom>
      <diagonal/>
    </border>
    <border>
      <left/>
      <right style="medium">
        <color theme="9" tint="0.39997558519241921"/>
      </right>
      <top style="medium">
        <color theme="9" tint="0.39997558519241921"/>
      </top>
      <bottom style="medium">
        <color theme="9" tint="0.39997558519241921"/>
      </bottom>
      <diagonal/>
    </border>
    <border>
      <left style="thin">
        <color theme="1"/>
      </left>
      <right/>
      <top/>
      <bottom style="thin">
        <color theme="1"/>
      </bottom>
      <diagonal/>
    </border>
    <border>
      <left/>
      <right/>
      <top/>
      <bottom style="thin">
        <color theme="1"/>
      </bottom>
      <diagonal/>
    </border>
    <border>
      <left style="thin">
        <color theme="1"/>
      </left>
      <right style="thin">
        <color theme="1"/>
      </right>
      <top style="thin">
        <color theme="1"/>
      </top>
      <bottom style="thin">
        <color theme="1"/>
      </bottom>
      <diagonal/>
    </border>
    <border>
      <left style="thin">
        <color indexed="64"/>
      </left>
      <right style="medium">
        <color theme="1"/>
      </right>
      <top/>
      <bottom style="thin">
        <color indexed="64"/>
      </bottom>
      <diagonal/>
    </border>
    <border>
      <left style="thin">
        <color indexed="64"/>
      </left>
      <right style="medium">
        <color theme="1"/>
      </right>
      <top style="thin">
        <color indexed="64"/>
      </top>
      <bottom style="thin">
        <color indexed="64"/>
      </bottom>
      <diagonal/>
    </border>
    <border>
      <left style="thin">
        <color indexed="64"/>
      </left>
      <right style="medium">
        <color theme="1"/>
      </right>
      <top style="thin">
        <color indexed="64"/>
      </top>
      <bottom style="medium">
        <color theme="1"/>
      </bottom>
      <diagonal/>
    </border>
    <border>
      <left style="medium">
        <color theme="9"/>
      </left>
      <right/>
      <top/>
      <bottom style="medium">
        <color rgb="FF92D050"/>
      </bottom>
      <diagonal/>
    </border>
    <border>
      <left/>
      <right/>
      <top/>
      <bottom style="medium">
        <color rgb="FF92D050"/>
      </bottom>
      <diagonal/>
    </border>
    <border>
      <left style="medium">
        <color theme="9"/>
      </left>
      <right/>
      <top style="medium">
        <color rgb="FF92D050"/>
      </top>
      <bottom/>
      <diagonal/>
    </border>
    <border>
      <left/>
      <right style="medium">
        <color indexed="64"/>
      </right>
      <top style="thin">
        <color indexed="64"/>
      </top>
      <bottom style="thin">
        <color indexed="64"/>
      </bottom>
      <diagonal/>
    </border>
    <border>
      <left style="medium">
        <color indexed="64"/>
      </left>
      <right/>
      <top/>
      <bottom/>
      <diagonal/>
    </border>
    <border>
      <left/>
      <right style="thin">
        <color indexed="64"/>
      </right>
      <top/>
      <bottom style="thin">
        <color theme="1"/>
      </bottom>
      <diagonal/>
    </border>
    <border>
      <left style="medium">
        <color indexed="64"/>
      </left>
      <right/>
      <top style="medium">
        <color theme="9"/>
      </top>
      <bottom style="thin">
        <color indexed="64"/>
      </bottom>
      <diagonal/>
    </border>
    <border>
      <left style="medium">
        <color theme="9"/>
      </left>
      <right/>
      <top/>
      <bottom/>
      <diagonal/>
    </border>
    <border>
      <left/>
      <right style="medium">
        <color theme="9"/>
      </right>
      <top/>
      <bottom/>
      <diagonal/>
    </border>
    <border>
      <left style="thin">
        <color theme="9"/>
      </left>
      <right style="medium">
        <color theme="9"/>
      </right>
      <top/>
      <bottom/>
      <diagonal/>
    </border>
    <border>
      <left style="thin">
        <color rgb="FF92D050"/>
      </left>
      <right style="thin">
        <color rgb="FF92D050"/>
      </right>
      <top style="thin">
        <color rgb="FF92D050"/>
      </top>
      <bottom style="thin">
        <color rgb="FF92D050"/>
      </bottom>
      <diagonal/>
    </border>
    <border>
      <left style="thin">
        <color theme="1"/>
      </left>
      <right style="thin">
        <color theme="1"/>
      </right>
      <top style="thin">
        <color theme="1"/>
      </top>
      <bottom/>
      <diagonal/>
    </border>
    <border>
      <left style="thin">
        <color rgb="FF92D050"/>
      </left>
      <right style="thin">
        <color rgb="FF92D050"/>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medium">
        <color indexed="64"/>
      </right>
      <top style="thick">
        <color auto="1"/>
      </top>
      <bottom/>
      <diagonal/>
    </border>
    <border>
      <left/>
      <right style="medium">
        <color indexed="64"/>
      </right>
      <top/>
      <bottom style="thick">
        <color auto="1"/>
      </bottom>
      <diagonal/>
    </border>
    <border>
      <left/>
      <right style="thick">
        <color auto="1"/>
      </right>
      <top style="medium">
        <color indexed="64"/>
      </top>
      <bottom/>
      <diagonal/>
    </border>
    <border>
      <left/>
      <right style="thick">
        <color auto="1"/>
      </right>
      <top/>
      <bottom style="medium">
        <color indexed="64"/>
      </bottom>
      <diagonal/>
    </border>
    <border>
      <left style="medium">
        <color indexed="64"/>
      </left>
      <right style="thick">
        <color auto="1"/>
      </right>
      <top style="thick">
        <color auto="1"/>
      </top>
      <bottom/>
      <diagonal/>
    </border>
    <border>
      <left style="medium">
        <color indexed="64"/>
      </left>
      <right style="thick">
        <color auto="1"/>
      </right>
      <top/>
      <bottom style="thick">
        <color auto="1"/>
      </bottom>
      <diagonal/>
    </border>
    <border>
      <left style="thin">
        <color indexed="64"/>
      </left>
      <right/>
      <top style="medium">
        <color theme="9"/>
      </top>
      <bottom style="medium">
        <color theme="9"/>
      </bottom>
      <diagonal/>
    </border>
    <border>
      <left/>
      <right style="thin">
        <color indexed="64"/>
      </right>
      <top style="medium">
        <color theme="9"/>
      </top>
      <bottom style="medium">
        <color theme="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s>
  <cellStyleXfs count="17">
    <xf numFmtId="0" fontId="0" fillId="0" borderId="0" applyFill="0"/>
    <xf numFmtId="9" fontId="4" fillId="0" borderId="0" applyFont="0" applyFill="0" applyBorder="0" applyAlignment="0" applyProtection="0"/>
    <xf numFmtId="42"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0" fontId="3" fillId="0" borderId="0"/>
    <xf numFmtId="9" fontId="3" fillId="0" borderId="0" applyFont="0" applyFill="0" applyBorder="0" applyAlignment="0" applyProtection="0"/>
    <xf numFmtId="0" fontId="7" fillId="0" borderId="0" applyNumberFormat="0" applyFill="0" applyBorder="0" applyAlignment="0" applyProtection="0">
      <alignment vertical="top"/>
      <protection locked="0"/>
    </xf>
    <xf numFmtId="43" fontId="1" fillId="0" borderId="0" applyFont="0" applyFill="0" applyBorder="0" applyAlignment="0" applyProtection="0"/>
    <xf numFmtId="43" fontId="3" fillId="0" borderId="0" applyFont="0" applyFill="0" applyBorder="0" applyAlignment="0" applyProtection="0"/>
    <xf numFmtId="44" fontId="9" fillId="0" borderId="0" applyFont="0" applyFill="0" applyBorder="0" applyAlignment="0" applyProtection="0"/>
    <xf numFmtId="164" fontId="17" fillId="0" borderId="0" applyFont="0" applyFill="0" applyBorder="0" applyAlignment="0" applyProtection="0"/>
    <xf numFmtId="0" fontId="3" fillId="0" borderId="0"/>
    <xf numFmtId="41" fontId="21" fillId="0" borderId="0" applyFon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cellStyleXfs>
  <cellXfs count="963">
    <xf numFmtId="0" fontId="0" fillId="0" borderId="0" xfId="0" applyFill="1"/>
    <xf numFmtId="0" fontId="5" fillId="7" borderId="1" xfId="0" applyFont="1" applyFill="1" applyBorder="1" applyAlignment="1">
      <alignment horizontal="left" vertical="top" wrapText="1"/>
    </xf>
    <xf numFmtId="0" fontId="14" fillId="7" borderId="1" xfId="0" applyFont="1" applyFill="1" applyBorder="1" applyAlignment="1">
      <alignment horizontal="left" vertical="top" wrapText="1"/>
    </xf>
    <xf numFmtId="0" fontId="5" fillId="5" borderId="1" xfId="0" applyFont="1" applyFill="1" applyBorder="1" applyAlignment="1">
      <alignment horizontal="left" vertical="top" wrapText="1"/>
    </xf>
    <xf numFmtId="0" fontId="14" fillId="5" borderId="1" xfId="0" applyFont="1" applyFill="1" applyBorder="1" applyAlignment="1">
      <alignment horizontal="left" vertical="top" wrapText="1"/>
    </xf>
    <xf numFmtId="0" fontId="14" fillId="11" borderId="1" xfId="0" applyFont="1" applyFill="1" applyBorder="1" applyAlignment="1">
      <alignment horizontal="left" vertical="top" wrapText="1"/>
    </xf>
    <xf numFmtId="0" fontId="3" fillId="0" borderId="0" xfId="0" applyFont="1" applyFill="1" applyAlignment="1">
      <alignment horizontal="left" vertical="top" wrapText="1"/>
    </xf>
    <xf numFmtId="0" fontId="12" fillId="0" borderId="0" xfId="0" applyFont="1" applyFill="1" applyAlignment="1">
      <alignment horizontal="left" vertical="top" wrapText="1"/>
    </xf>
    <xf numFmtId="0" fontId="14" fillId="15" borderId="1" xfId="0" applyFont="1" applyFill="1" applyBorder="1" applyAlignment="1">
      <alignment horizontal="left" vertical="top" wrapText="1"/>
    </xf>
    <xf numFmtId="0" fontId="14" fillId="25" borderId="1" xfId="0" applyFont="1" applyFill="1" applyBorder="1" applyAlignment="1">
      <alignment horizontal="left" vertical="top" wrapText="1"/>
    </xf>
    <xf numFmtId="0" fontId="10" fillId="7" borderId="1" xfId="0" applyFont="1" applyFill="1" applyBorder="1" applyAlignment="1">
      <alignment horizontal="left" vertical="top" wrapText="1"/>
    </xf>
    <xf numFmtId="0" fontId="15" fillId="7" borderId="1" xfId="0" applyFont="1" applyFill="1" applyBorder="1" applyAlignment="1">
      <alignment horizontal="left" vertical="top" wrapText="1"/>
    </xf>
    <xf numFmtId="0" fontId="14" fillId="29" borderId="1" xfId="0" applyFont="1" applyFill="1" applyBorder="1" applyAlignment="1">
      <alignment horizontal="left" vertical="top" wrapText="1"/>
    </xf>
    <xf numFmtId="0" fontId="25" fillId="0" borderId="0" xfId="0" applyFont="1" applyAlignment="1">
      <alignment horizontal="center" vertical="center" wrapText="1"/>
    </xf>
    <xf numFmtId="0" fontId="0" fillId="0" borderId="0" xfId="0" applyAlignment="1">
      <alignment vertical="top"/>
    </xf>
    <xf numFmtId="0" fontId="0" fillId="0" borderId="0" xfId="0"/>
    <xf numFmtId="0" fontId="0" fillId="0" borderId="0" xfId="0" applyAlignment="1">
      <alignment horizontal="center" vertical="center"/>
    </xf>
    <xf numFmtId="0" fontId="27" fillId="0" borderId="0" xfId="0" applyFont="1"/>
    <xf numFmtId="0" fontId="0" fillId="0" borderId="0" xfId="0" applyAlignment="1">
      <alignment vertical="center"/>
    </xf>
    <xf numFmtId="0" fontId="26" fillId="0" borderId="0" xfId="0" applyFont="1"/>
    <xf numFmtId="0" fontId="28" fillId="0" borderId="29" xfId="0" applyFont="1" applyBorder="1" applyAlignment="1">
      <alignment horizontal="left" vertical="center" wrapText="1"/>
    </xf>
    <xf numFmtId="0" fontId="28" fillId="0" borderId="30" xfId="0" applyFont="1" applyBorder="1" applyAlignment="1">
      <alignment horizontal="left" vertical="center" wrapText="1"/>
    </xf>
    <xf numFmtId="0" fontId="15" fillId="0" borderId="29" xfId="0" applyFont="1" applyBorder="1" applyAlignment="1">
      <alignment vertical="center"/>
    </xf>
    <xf numFmtId="0" fontId="15" fillId="0" borderId="30" xfId="0" applyFont="1" applyBorder="1" applyAlignment="1">
      <alignment vertical="center"/>
    </xf>
    <xf numFmtId="0" fontId="30" fillId="0" borderId="0" xfId="0" applyFont="1" applyAlignment="1">
      <alignment vertical="center" wrapText="1"/>
    </xf>
    <xf numFmtId="0" fontId="19" fillId="0" borderId="0" xfId="0" applyFont="1"/>
    <xf numFmtId="0" fontId="15" fillId="0" borderId="0" xfId="0" applyFont="1" applyAlignment="1">
      <alignment vertical="center"/>
    </xf>
    <xf numFmtId="0" fontId="31" fillId="32" borderId="0" xfId="0" applyFont="1" applyFill="1" applyAlignment="1">
      <alignment horizontal="center" vertical="center" wrapText="1"/>
    </xf>
    <xf numFmtId="0" fontId="33" fillId="0" borderId="0" xfId="0" applyFont="1"/>
    <xf numFmtId="0" fontId="34" fillId="32" borderId="1" xfId="0" applyFont="1" applyFill="1" applyBorder="1" applyAlignment="1">
      <alignment horizontal="center" vertical="center" wrapText="1"/>
    </xf>
    <xf numFmtId="0" fontId="34" fillId="32" borderId="2" xfId="0" applyFont="1" applyFill="1" applyBorder="1" applyAlignment="1">
      <alignment horizontal="center" vertical="center" wrapText="1"/>
    </xf>
    <xf numFmtId="0" fontId="34" fillId="32" borderId="21" xfId="0" applyFont="1" applyFill="1" applyBorder="1" applyAlignment="1">
      <alignment horizontal="center" vertical="center" wrapText="1"/>
    </xf>
    <xf numFmtId="0" fontId="34" fillId="32" borderId="34" xfId="0" applyFont="1" applyFill="1" applyBorder="1" applyAlignment="1">
      <alignment horizontal="center" vertical="center" wrapText="1"/>
    </xf>
    <xf numFmtId="0" fontId="35" fillId="0" borderId="0" xfId="0" applyFont="1" applyAlignment="1">
      <alignment vertical="center" wrapText="1"/>
    </xf>
    <xf numFmtId="0" fontId="36" fillId="0" borderId="0" xfId="0" applyFont="1" applyAlignment="1">
      <alignment horizontal="center" vertical="center" wrapText="1"/>
    </xf>
    <xf numFmtId="0" fontId="33" fillId="25" borderId="3" xfId="0" applyFont="1" applyFill="1" applyBorder="1" applyAlignment="1">
      <alignment horizontal="center" vertical="center" wrapText="1"/>
    </xf>
    <xf numFmtId="0" fontId="33" fillId="25" borderId="1" xfId="0" applyFont="1" applyFill="1" applyBorder="1" applyAlignment="1">
      <alignment horizontal="center" vertical="center" wrapText="1"/>
    </xf>
    <xf numFmtId="0" fontId="33" fillId="25" borderId="16" xfId="0" applyFont="1" applyFill="1" applyBorder="1" applyAlignment="1">
      <alignment horizontal="center" vertical="center" wrapText="1"/>
    </xf>
    <xf numFmtId="0" fontId="33" fillId="25" borderId="34" xfId="0" applyFont="1" applyFill="1" applyBorder="1" applyAlignment="1">
      <alignment horizontal="left" vertical="top" wrapText="1"/>
    </xf>
    <xf numFmtId="0" fontId="33" fillId="33" borderId="1" xfId="0" applyFont="1" applyFill="1" applyBorder="1" applyAlignment="1">
      <alignment horizontal="left" vertical="top" wrapText="1"/>
    </xf>
    <xf numFmtId="9" fontId="33" fillId="25" borderId="1" xfId="0" applyNumberFormat="1" applyFont="1" applyFill="1" applyBorder="1" applyAlignment="1">
      <alignment horizontal="left" vertical="top" wrapText="1"/>
    </xf>
    <xf numFmtId="0" fontId="33" fillId="25" borderId="16" xfId="0" applyFont="1" applyFill="1" applyBorder="1" applyAlignment="1">
      <alignment horizontal="left" vertical="top" wrapText="1"/>
    </xf>
    <xf numFmtId="0" fontId="33" fillId="25" borderId="15" xfId="0" applyFont="1" applyFill="1" applyBorder="1" applyAlignment="1">
      <alignment horizontal="left" vertical="top" wrapText="1"/>
    </xf>
    <xf numFmtId="0" fontId="33" fillId="25" borderId="0" xfId="0" applyFont="1" applyFill="1" applyAlignment="1">
      <alignment horizontal="left" vertical="center" wrapText="1"/>
    </xf>
    <xf numFmtId="0" fontId="0" fillId="25" borderId="0" xfId="0" applyFill="1" applyAlignment="1">
      <alignment vertical="center"/>
    </xf>
    <xf numFmtId="0" fontId="33" fillId="0" borderId="16" xfId="0" applyFont="1" applyBorder="1" applyAlignment="1">
      <alignment horizontal="center" vertical="center" wrapText="1"/>
    </xf>
    <xf numFmtId="0" fontId="33" fillId="0" borderId="34" xfId="0" applyFont="1" applyBorder="1" applyAlignment="1">
      <alignment horizontal="left" vertical="top" wrapText="1"/>
    </xf>
    <xf numFmtId="0" fontId="37" fillId="0" borderId="1" xfId="0" applyFont="1" applyBorder="1" applyAlignment="1">
      <alignment horizontal="left" vertical="top" wrapText="1"/>
    </xf>
    <xf numFmtId="9" fontId="37" fillId="0" borderId="1" xfId="0" applyNumberFormat="1" applyFont="1" applyBorder="1" applyAlignment="1">
      <alignment horizontal="left" vertical="top" wrapText="1"/>
    </xf>
    <xf numFmtId="0" fontId="33" fillId="0" borderId="1" xfId="0" applyFont="1" applyBorder="1" applyAlignment="1">
      <alignment horizontal="left" vertical="top" wrapText="1"/>
    </xf>
    <xf numFmtId="0" fontId="33" fillId="33" borderId="16" xfId="0" applyFont="1" applyFill="1" applyBorder="1" applyAlignment="1">
      <alignment horizontal="left" vertical="top" wrapText="1"/>
    </xf>
    <xf numFmtId="0" fontId="33" fillId="33" borderId="15" xfId="0" applyFont="1" applyFill="1" applyBorder="1" applyAlignment="1">
      <alignment horizontal="left" vertical="top" wrapText="1"/>
    </xf>
    <xf numFmtId="9" fontId="33" fillId="0" borderId="1" xfId="0" applyNumberFormat="1" applyFont="1" applyBorder="1" applyAlignment="1">
      <alignment horizontal="left" vertical="top" wrapText="1"/>
    </xf>
    <xf numFmtId="0" fontId="33" fillId="0" borderId="16" xfId="0" applyFont="1" applyBorder="1" applyAlignment="1">
      <alignment horizontal="left" vertical="top" wrapText="1"/>
    </xf>
    <xf numFmtId="0" fontId="33" fillId="0" borderId="15" xfId="0" applyFont="1" applyBorder="1" applyAlignment="1">
      <alignment horizontal="left" vertical="top" wrapText="1"/>
    </xf>
    <xf numFmtId="0" fontId="33" fillId="0" borderId="0" xfId="0" applyFont="1" applyAlignment="1">
      <alignment horizontal="left" vertical="center" wrapText="1"/>
    </xf>
    <xf numFmtId="0" fontId="33" fillId="0" borderId="0" xfId="0" applyFont="1" applyAlignment="1">
      <alignment vertical="center" wrapText="1"/>
    </xf>
    <xf numFmtId="10" fontId="33" fillId="25" borderId="1" xfId="0" applyNumberFormat="1" applyFont="1" applyFill="1" applyBorder="1" applyAlignment="1">
      <alignment horizontal="left" vertical="top" wrapText="1"/>
    </xf>
    <xf numFmtId="10" fontId="33" fillId="33" borderId="1" xfId="0" applyNumberFormat="1" applyFont="1" applyFill="1" applyBorder="1" applyAlignment="1">
      <alignment horizontal="left" vertical="top" wrapText="1"/>
    </xf>
    <xf numFmtId="0" fontId="33" fillId="33" borderId="0" xfId="0" applyFont="1" applyFill="1" applyAlignment="1">
      <alignment vertical="center" wrapText="1"/>
    </xf>
    <xf numFmtId="0" fontId="0" fillId="26" borderId="0" xfId="0" applyFill="1" applyAlignment="1">
      <alignment vertical="center"/>
    </xf>
    <xf numFmtId="0" fontId="33" fillId="25" borderId="0" xfId="0" applyFont="1" applyFill="1" applyAlignment="1">
      <alignment vertical="center" wrapText="1"/>
    </xf>
    <xf numFmtId="9" fontId="37" fillId="25" borderId="1" xfId="0" applyNumberFormat="1" applyFont="1" applyFill="1" applyBorder="1" applyAlignment="1">
      <alignment horizontal="left" vertical="top" wrapText="1"/>
    </xf>
    <xf numFmtId="0" fontId="37" fillId="33" borderId="16" xfId="0" applyFont="1" applyFill="1" applyBorder="1" applyAlignment="1">
      <alignment horizontal="left" vertical="top" wrapText="1"/>
    </xf>
    <xf numFmtId="9" fontId="37" fillId="33" borderId="1" xfId="0" applyNumberFormat="1" applyFont="1" applyFill="1" applyBorder="1" applyAlignment="1">
      <alignment horizontal="left" vertical="top" wrapText="1"/>
    </xf>
    <xf numFmtId="0" fontId="37" fillId="33" borderId="15" xfId="0" applyFont="1" applyFill="1" applyBorder="1" applyAlignment="1">
      <alignment horizontal="left" vertical="top" wrapText="1"/>
    </xf>
    <xf numFmtId="0" fontId="37" fillId="33" borderId="0" xfId="0" applyFont="1" applyFill="1" applyAlignment="1">
      <alignment vertical="center" wrapText="1"/>
    </xf>
    <xf numFmtId="0" fontId="37" fillId="25" borderId="16" xfId="0" applyFont="1" applyFill="1" applyBorder="1" applyAlignment="1">
      <alignment horizontal="left" vertical="top" wrapText="1"/>
    </xf>
    <xf numFmtId="0" fontId="37" fillId="25" borderId="15" xfId="0" applyFont="1" applyFill="1" applyBorder="1" applyAlignment="1">
      <alignment horizontal="left" vertical="top" wrapText="1"/>
    </xf>
    <xf numFmtId="0" fontId="37" fillId="25" borderId="0" xfId="0" applyFont="1" applyFill="1" applyAlignment="1">
      <alignment vertical="center" wrapText="1"/>
    </xf>
    <xf numFmtId="0" fontId="16" fillId="25" borderId="0" xfId="0" applyFont="1" applyFill="1" applyAlignment="1">
      <alignment vertical="center" wrapText="1"/>
    </xf>
    <xf numFmtId="0" fontId="33" fillId="26" borderId="1" xfId="0" applyFont="1" applyFill="1" applyBorder="1" applyAlignment="1">
      <alignment horizontal="center" vertical="center" wrapText="1"/>
    </xf>
    <xf numFmtId="9" fontId="33" fillId="33" borderId="1" xfId="0" applyNumberFormat="1" applyFont="1" applyFill="1" applyBorder="1" applyAlignment="1">
      <alignment horizontal="left" vertical="top" wrapText="1"/>
    </xf>
    <xf numFmtId="0" fontId="33" fillId="25" borderId="36" xfId="0" applyFont="1" applyFill="1" applyBorder="1" applyAlignment="1">
      <alignment horizontal="left" vertical="top" wrapText="1"/>
    </xf>
    <xf numFmtId="0" fontId="37" fillId="0" borderId="15" xfId="0" applyFont="1" applyBorder="1" applyAlignment="1">
      <alignment horizontal="left" vertical="top" wrapText="1"/>
    </xf>
    <xf numFmtId="0" fontId="0" fillId="25" borderId="0" xfId="0" applyFill="1"/>
    <xf numFmtId="169" fontId="33" fillId="25" borderId="1" xfId="0" applyNumberFormat="1" applyFont="1" applyFill="1" applyBorder="1" applyAlignment="1">
      <alignment horizontal="left" vertical="top" wrapText="1"/>
    </xf>
    <xf numFmtId="0" fontId="38" fillId="25" borderId="37" xfId="0" applyFont="1" applyFill="1" applyBorder="1" applyAlignment="1">
      <alignment horizontal="left" vertical="top" wrapText="1"/>
    </xf>
    <xf numFmtId="0" fontId="33" fillId="26" borderId="35" xfId="0" applyFont="1" applyFill="1" applyBorder="1" applyAlignment="1">
      <alignment horizontal="center" vertical="center" wrapText="1"/>
    </xf>
    <xf numFmtId="0" fontId="37" fillId="0" borderId="16" xfId="0" applyFont="1" applyBorder="1" applyAlignment="1">
      <alignment horizontal="left" vertical="top" wrapText="1"/>
    </xf>
    <xf numFmtId="0" fontId="33" fillId="25" borderId="0" xfId="0" applyFont="1" applyFill="1" applyAlignment="1">
      <alignment horizontal="left" vertical="top" wrapText="1"/>
    </xf>
    <xf numFmtId="0" fontId="33" fillId="25" borderId="38" xfId="0" applyFont="1" applyFill="1" applyBorder="1" applyAlignment="1">
      <alignment horizontal="left" vertical="top" wrapText="1"/>
    </xf>
    <xf numFmtId="0" fontId="33" fillId="33" borderId="2" xfId="0" applyFont="1" applyFill="1" applyBorder="1" applyAlignment="1">
      <alignment horizontal="left" vertical="top" wrapText="1"/>
    </xf>
    <xf numFmtId="0" fontId="37" fillId="25" borderId="2" xfId="0" applyFont="1" applyFill="1" applyBorder="1" applyAlignment="1">
      <alignment horizontal="left" vertical="top" wrapText="1"/>
    </xf>
    <xf numFmtId="9" fontId="33" fillId="25" borderId="2" xfId="0" applyNumberFormat="1" applyFont="1" applyFill="1" applyBorder="1" applyAlignment="1">
      <alignment horizontal="left" vertical="top" wrapText="1"/>
    </xf>
    <xf numFmtId="0" fontId="33" fillId="25" borderId="21" xfId="0" applyFont="1" applyFill="1" applyBorder="1" applyAlignment="1">
      <alignment horizontal="left" vertical="top" wrapText="1"/>
    </xf>
    <xf numFmtId="0" fontId="33" fillId="25" borderId="39" xfId="0" applyFont="1" applyFill="1" applyBorder="1" applyAlignment="1">
      <alignment horizontal="left" vertical="top" wrapText="1"/>
    </xf>
    <xf numFmtId="0" fontId="33" fillId="0" borderId="0" xfId="0" applyFont="1" applyAlignment="1">
      <alignment horizontal="center" vertical="center" wrapText="1"/>
    </xf>
    <xf numFmtId="2" fontId="0" fillId="0" borderId="0" xfId="0" applyNumberFormat="1" applyAlignment="1">
      <alignment horizontal="center" vertical="center"/>
    </xf>
    <xf numFmtId="0" fontId="0" fillId="0" borderId="0" xfId="0" applyAlignment="1">
      <alignment horizontal="center" vertical="center" wrapText="1"/>
    </xf>
    <xf numFmtId="0" fontId="0" fillId="0" borderId="1" xfId="0" applyBorder="1" applyAlignment="1">
      <alignment horizontal="center" vertical="center"/>
    </xf>
    <xf numFmtId="0" fontId="0" fillId="0" borderId="1" xfId="0" applyBorder="1"/>
    <xf numFmtId="0" fontId="40" fillId="0" borderId="0" xfId="0" applyFont="1" applyAlignment="1">
      <alignment vertical="top"/>
    </xf>
    <xf numFmtId="0" fontId="38" fillId="0" borderId="0" xfId="0" applyFont="1" applyAlignment="1">
      <alignment horizontal="left" vertical="top"/>
    </xf>
    <xf numFmtId="0" fontId="41" fillId="0" borderId="0" xfId="0" applyFont="1" applyAlignment="1">
      <alignment vertical="top"/>
    </xf>
    <xf numFmtId="0" fontId="43" fillId="0" borderId="0" xfId="0" applyFont="1" applyAlignment="1">
      <alignment vertical="top" wrapText="1"/>
    </xf>
    <xf numFmtId="0" fontId="45" fillId="25" borderId="0" xfId="0" applyFont="1" applyFill="1" applyAlignment="1">
      <alignment vertical="top" wrapText="1"/>
    </xf>
    <xf numFmtId="0" fontId="38" fillId="25" borderId="0" xfId="0" applyFont="1" applyFill="1" applyAlignment="1">
      <alignment horizontal="left" vertical="top"/>
    </xf>
    <xf numFmtId="0" fontId="46" fillId="32" borderId="44" xfId="0" applyFont="1" applyFill="1" applyBorder="1" applyAlignment="1">
      <alignment horizontal="center" vertical="center" wrapText="1"/>
    </xf>
    <xf numFmtId="0" fontId="47" fillId="25" borderId="0" xfId="0" applyFont="1" applyFill="1" applyAlignment="1">
      <alignment horizontal="center" vertical="center" wrapText="1"/>
    </xf>
    <xf numFmtId="0" fontId="47" fillId="0" borderId="0" xfId="0" applyFont="1" applyAlignment="1">
      <alignment horizontal="center" vertical="center" wrapText="1"/>
    </xf>
    <xf numFmtId="0" fontId="48" fillId="25" borderId="44" xfId="0" applyFont="1" applyFill="1" applyBorder="1" applyAlignment="1">
      <alignment horizontal="left" vertical="top" wrapText="1"/>
    </xf>
    <xf numFmtId="0" fontId="38" fillId="0" borderId="3" xfId="0" applyFont="1" applyBorder="1" applyAlignment="1">
      <alignment horizontal="left" vertical="top" wrapText="1"/>
    </xf>
    <xf numFmtId="169" fontId="38" fillId="0" borderId="3" xfId="1" applyNumberFormat="1" applyFont="1" applyBorder="1" applyAlignment="1">
      <alignment horizontal="left" vertical="top" wrapText="1"/>
    </xf>
    <xf numFmtId="9" fontId="38" fillId="0" borderId="3" xfId="0" applyNumberFormat="1" applyFont="1" applyBorder="1" applyAlignment="1">
      <alignment horizontal="left" vertical="top" wrapText="1"/>
    </xf>
    <xf numFmtId="9" fontId="38" fillId="33" borderId="3" xfId="0" applyNumberFormat="1" applyFont="1" applyFill="1" applyBorder="1" applyAlignment="1">
      <alignment horizontal="left" vertical="top" wrapText="1"/>
    </xf>
    <xf numFmtId="9" fontId="38" fillId="33" borderId="45" xfId="0" applyNumberFormat="1" applyFont="1" applyFill="1" applyBorder="1" applyAlignment="1">
      <alignment horizontal="left" vertical="top" wrapText="1"/>
    </xf>
    <xf numFmtId="9" fontId="38" fillId="25" borderId="1" xfId="0" applyNumberFormat="1" applyFont="1" applyFill="1" applyBorder="1" applyAlignment="1">
      <alignment horizontal="left" vertical="top" wrapText="1"/>
    </xf>
    <xf numFmtId="9" fontId="38" fillId="33" borderId="1" xfId="0" applyNumberFormat="1" applyFont="1" applyFill="1" applyBorder="1" applyAlignment="1">
      <alignment horizontal="left" vertical="top" wrapText="1"/>
    </xf>
    <xf numFmtId="9" fontId="38" fillId="33" borderId="46" xfId="0" applyNumberFormat="1" applyFont="1" applyFill="1" applyBorder="1" applyAlignment="1">
      <alignment horizontal="left" vertical="top" wrapText="1"/>
    </xf>
    <xf numFmtId="0" fontId="38" fillId="33" borderId="1" xfId="0" applyFont="1" applyFill="1" applyBorder="1" applyAlignment="1">
      <alignment horizontal="left" vertical="top" wrapText="1"/>
    </xf>
    <xf numFmtId="9" fontId="38" fillId="0" borderId="1" xfId="0" applyNumberFormat="1" applyFont="1" applyBorder="1" applyAlignment="1">
      <alignment horizontal="left" vertical="top" wrapText="1"/>
    </xf>
    <xf numFmtId="9" fontId="48" fillId="0" borderId="1" xfId="0" applyNumberFormat="1" applyFont="1" applyBorder="1" applyAlignment="1">
      <alignment horizontal="left" vertical="top" wrapText="1"/>
    </xf>
    <xf numFmtId="0" fontId="48" fillId="0" borderId="46" xfId="0" applyFont="1" applyBorder="1" applyAlignment="1">
      <alignment horizontal="left" vertical="top" wrapText="1"/>
    </xf>
    <xf numFmtId="9" fontId="38" fillId="25" borderId="46" xfId="0" applyNumberFormat="1" applyFont="1" applyFill="1" applyBorder="1" applyAlignment="1">
      <alignment horizontal="left" vertical="top" wrapText="1"/>
    </xf>
    <xf numFmtId="9" fontId="48" fillId="0" borderId="1" xfId="1" applyFont="1" applyFill="1" applyBorder="1" applyAlignment="1">
      <alignment horizontal="left" vertical="top" wrapText="1"/>
    </xf>
    <xf numFmtId="9" fontId="48" fillId="0" borderId="46" xfId="1" applyFont="1" applyFill="1" applyBorder="1" applyAlignment="1">
      <alignment horizontal="left" vertical="top" wrapText="1"/>
    </xf>
    <xf numFmtId="9" fontId="48" fillId="25" borderId="1" xfId="0" applyNumberFormat="1" applyFont="1" applyFill="1" applyBorder="1" applyAlignment="1">
      <alignment horizontal="left" vertical="top" wrapText="1"/>
    </xf>
    <xf numFmtId="9" fontId="53" fillId="25" borderId="1" xfId="0" applyNumberFormat="1" applyFont="1" applyFill="1" applyBorder="1" applyAlignment="1">
      <alignment horizontal="left" vertical="top" wrapText="1"/>
    </xf>
    <xf numFmtId="0" fontId="38" fillId="25" borderId="46" xfId="0" applyFont="1" applyFill="1" applyBorder="1" applyAlignment="1">
      <alignment horizontal="left" vertical="top" wrapText="1"/>
    </xf>
    <xf numFmtId="0" fontId="38" fillId="25" borderId="2" xfId="0" applyFont="1" applyFill="1" applyBorder="1" applyAlignment="1">
      <alignment horizontal="left" vertical="top" wrapText="1"/>
    </xf>
    <xf numFmtId="0" fontId="38" fillId="33" borderId="2" xfId="0" applyFont="1" applyFill="1" applyBorder="1" applyAlignment="1">
      <alignment horizontal="left" vertical="top" wrapText="1"/>
    </xf>
    <xf numFmtId="10" fontId="38" fillId="25" borderId="2" xfId="0" applyNumberFormat="1" applyFont="1" applyFill="1" applyBorder="1" applyAlignment="1">
      <alignment horizontal="left" vertical="top" wrapText="1"/>
    </xf>
    <xf numFmtId="0" fontId="38" fillId="25" borderId="47" xfId="0" applyFont="1" applyFill="1" applyBorder="1" applyAlignment="1">
      <alignment horizontal="left" vertical="top" wrapText="1"/>
    </xf>
    <xf numFmtId="0" fontId="38" fillId="0" borderId="0" xfId="0" applyFont="1" applyAlignment="1">
      <alignment horizontal="left" vertical="top" wrapText="1"/>
    </xf>
    <xf numFmtId="2" fontId="38" fillId="0" borderId="0" xfId="0" applyNumberFormat="1" applyFont="1" applyAlignment="1">
      <alignment horizontal="left" vertical="top"/>
    </xf>
    <xf numFmtId="0" fontId="54" fillId="0" borderId="23" xfId="0" applyFont="1" applyBorder="1" applyAlignment="1">
      <alignment vertical="top"/>
    </xf>
    <xf numFmtId="0" fontId="54" fillId="0" borderId="0" xfId="0" applyFont="1" applyAlignment="1">
      <alignment vertical="top"/>
    </xf>
    <xf numFmtId="0" fontId="54" fillId="0" borderId="0" xfId="0" applyFont="1" applyAlignment="1">
      <alignment horizontal="left" vertical="top"/>
    </xf>
    <xf numFmtId="0" fontId="0" fillId="0" borderId="0" xfId="0" applyAlignment="1">
      <alignment horizontal="left" vertical="top"/>
    </xf>
    <xf numFmtId="0" fontId="54" fillId="0" borderId="48" xfId="0" applyFont="1" applyBorder="1" applyAlignment="1">
      <alignment vertical="top"/>
    </xf>
    <xf numFmtId="0" fontId="55" fillId="0" borderId="0" xfId="0" applyFont="1" applyAlignment="1">
      <alignment vertical="top" wrapText="1"/>
    </xf>
    <xf numFmtId="0" fontId="55" fillId="0" borderId="0" xfId="0" applyFont="1" applyAlignment="1">
      <alignment horizontal="left" vertical="top" wrapText="1"/>
    </xf>
    <xf numFmtId="0" fontId="56" fillId="0" borderId="0" xfId="0" applyFont="1" applyAlignment="1">
      <alignment vertical="top" wrapText="1"/>
    </xf>
    <xf numFmtId="0" fontId="56" fillId="0" borderId="0" xfId="0" applyFont="1" applyAlignment="1">
      <alignment horizontal="left" vertical="top" wrapText="1"/>
    </xf>
    <xf numFmtId="0" fontId="57" fillId="32" borderId="0" xfId="0" applyFont="1" applyFill="1" applyAlignment="1">
      <alignment horizontal="left" vertical="top"/>
    </xf>
    <xf numFmtId="0" fontId="32" fillId="25" borderId="0" xfId="0" applyFont="1" applyFill="1" applyAlignment="1">
      <alignment vertical="top" wrapText="1"/>
    </xf>
    <xf numFmtId="0" fontId="57" fillId="25" borderId="0" xfId="0" applyFont="1" applyFill="1" applyAlignment="1">
      <alignment horizontal="left" vertical="top"/>
    </xf>
    <xf numFmtId="0" fontId="0" fillId="25" borderId="0" xfId="0" applyFill="1" applyAlignment="1">
      <alignment horizontal="left" vertical="top"/>
    </xf>
    <xf numFmtId="0" fontId="58" fillId="32" borderId="0" xfId="0" applyFont="1" applyFill="1" applyAlignment="1">
      <alignment horizontal="center" vertical="center"/>
    </xf>
    <xf numFmtId="0" fontId="58" fillId="32" borderId="1" xfId="0" applyFont="1" applyFill="1" applyBorder="1" applyAlignment="1">
      <alignment horizontal="center" vertical="center" wrapText="1"/>
    </xf>
    <xf numFmtId="0" fontId="58" fillId="32" borderId="16" xfId="0" applyFont="1" applyFill="1" applyBorder="1" applyAlignment="1">
      <alignment horizontal="center" vertical="center" wrapText="1"/>
    </xf>
    <xf numFmtId="0" fontId="58" fillId="32" borderId="34" xfId="0" applyFont="1" applyFill="1" applyBorder="1" applyAlignment="1">
      <alignment horizontal="center" vertical="center" wrapText="1"/>
    </xf>
    <xf numFmtId="0" fontId="59" fillId="32" borderId="1" xfId="0" applyFont="1" applyFill="1" applyBorder="1" applyAlignment="1">
      <alignment horizontal="center" vertical="center" wrapText="1"/>
    </xf>
    <xf numFmtId="0" fontId="58" fillId="32" borderId="1" xfId="0" applyFont="1" applyFill="1" applyBorder="1" applyAlignment="1">
      <alignment horizontal="center" vertical="center"/>
    </xf>
    <xf numFmtId="0" fontId="58" fillId="25" borderId="0" xfId="0" applyFont="1" applyFill="1" applyAlignment="1">
      <alignment horizontal="center" vertical="center"/>
    </xf>
    <xf numFmtId="0" fontId="58" fillId="25" borderId="0" xfId="0" applyFont="1" applyFill="1" applyAlignment="1">
      <alignment horizontal="center" vertical="center" wrapText="1"/>
    </xf>
    <xf numFmtId="0" fontId="59" fillId="25" borderId="0" xfId="0" applyFont="1" applyFill="1" applyAlignment="1">
      <alignment horizontal="center" vertical="center" wrapText="1"/>
    </xf>
    <xf numFmtId="0" fontId="60" fillId="25" borderId="0" xfId="0" applyFont="1" applyFill="1" applyAlignment="1">
      <alignment horizontal="center" vertical="center"/>
    </xf>
    <xf numFmtId="0" fontId="60" fillId="0" borderId="0" xfId="0" applyFont="1" applyAlignment="1">
      <alignment horizontal="center" vertical="center"/>
    </xf>
    <xf numFmtId="0" fontId="38" fillId="25" borderId="16" xfId="0" applyFont="1" applyFill="1" applyBorder="1" applyAlignment="1">
      <alignment horizontal="left" vertical="top" wrapText="1"/>
    </xf>
    <xf numFmtId="0" fontId="38" fillId="25" borderId="34" xfId="0" applyFont="1" applyFill="1" applyBorder="1" applyAlignment="1">
      <alignment horizontal="left" vertical="top" wrapText="1"/>
    </xf>
    <xf numFmtId="0" fontId="38" fillId="25" borderId="15" xfId="0" applyFont="1" applyFill="1" applyBorder="1" applyAlignment="1">
      <alignment horizontal="left" vertical="top" wrapText="1"/>
    </xf>
    <xf numFmtId="0" fontId="38" fillId="0" borderId="16" xfId="0" applyFont="1" applyBorder="1" applyAlignment="1">
      <alignment horizontal="left" vertical="top" wrapText="1"/>
    </xf>
    <xf numFmtId="0" fontId="38" fillId="0" borderId="34" xfId="0" applyFont="1" applyBorder="1" applyAlignment="1">
      <alignment horizontal="left" vertical="top" wrapText="1"/>
    </xf>
    <xf numFmtId="9" fontId="38" fillId="25" borderId="18" xfId="0" applyNumberFormat="1" applyFont="1" applyFill="1" applyBorder="1" applyAlignment="1">
      <alignment horizontal="left" vertical="top" wrapText="1"/>
    </xf>
    <xf numFmtId="0" fontId="38" fillId="25" borderId="51" xfId="0" applyFont="1" applyFill="1" applyBorder="1" applyAlignment="1">
      <alignment horizontal="left" vertical="top" wrapText="1"/>
    </xf>
    <xf numFmtId="9" fontId="48" fillId="0" borderId="18" xfId="0" applyNumberFormat="1" applyFont="1" applyBorder="1" applyAlignment="1">
      <alignment horizontal="left" vertical="top" wrapText="1"/>
    </xf>
    <xf numFmtId="0" fontId="48" fillId="0" borderId="51" xfId="0" applyFont="1" applyBorder="1" applyAlignment="1">
      <alignment horizontal="left" vertical="top" wrapText="1"/>
    </xf>
    <xf numFmtId="0" fontId="48" fillId="33" borderId="1" xfId="0" applyFont="1" applyFill="1" applyBorder="1" applyAlignment="1">
      <alignment horizontal="left" vertical="top" wrapText="1"/>
    </xf>
    <xf numFmtId="9" fontId="48" fillId="33" borderId="18" xfId="0" applyNumberFormat="1" applyFont="1" applyFill="1" applyBorder="1" applyAlignment="1">
      <alignment horizontal="left" vertical="top" wrapText="1"/>
    </xf>
    <xf numFmtId="0" fontId="48" fillId="33" borderId="51" xfId="0" applyFont="1" applyFill="1" applyBorder="1" applyAlignment="1">
      <alignment horizontal="left" vertical="top" wrapText="1"/>
    </xf>
    <xf numFmtId="9" fontId="48" fillId="25" borderId="18" xfId="0" applyNumberFormat="1" applyFont="1" applyFill="1" applyBorder="1" applyAlignment="1">
      <alignment horizontal="left" vertical="top" wrapText="1"/>
    </xf>
    <xf numFmtId="0" fontId="48" fillId="25" borderId="51" xfId="0" applyFont="1" applyFill="1" applyBorder="1" applyAlignment="1">
      <alignment horizontal="left" vertical="top" wrapText="1"/>
    </xf>
    <xf numFmtId="9" fontId="48" fillId="0" borderId="15" xfId="1" applyFont="1" applyFill="1" applyBorder="1" applyAlignment="1">
      <alignment horizontal="left" vertical="top" wrapText="1"/>
    </xf>
    <xf numFmtId="0" fontId="48" fillId="33" borderId="15" xfId="0" applyFont="1" applyFill="1" applyBorder="1" applyAlignment="1">
      <alignment horizontal="left" vertical="top" wrapText="1"/>
    </xf>
    <xf numFmtId="0" fontId="38" fillId="25" borderId="16" xfId="0" applyFont="1" applyFill="1" applyBorder="1" applyAlignment="1">
      <alignment horizontal="left" vertical="top"/>
    </xf>
    <xf numFmtId="9" fontId="38" fillId="25" borderId="15" xfId="0" applyNumberFormat="1" applyFont="1" applyFill="1" applyBorder="1" applyAlignment="1">
      <alignment horizontal="left" vertical="top" wrapText="1"/>
    </xf>
    <xf numFmtId="9" fontId="48" fillId="25" borderId="2" xfId="0" applyNumberFormat="1" applyFont="1" applyFill="1" applyBorder="1" applyAlignment="1">
      <alignment horizontal="left" vertical="top" wrapText="1"/>
    </xf>
    <xf numFmtId="9" fontId="38" fillId="25" borderId="2" xfId="0" applyNumberFormat="1" applyFont="1" applyFill="1" applyBorder="1" applyAlignment="1">
      <alignment horizontal="left" vertical="top" wrapText="1"/>
    </xf>
    <xf numFmtId="9" fontId="38" fillId="25" borderId="13" xfId="0" applyNumberFormat="1" applyFont="1" applyFill="1" applyBorder="1" applyAlignment="1">
      <alignment horizontal="left" vertical="top" wrapText="1"/>
    </xf>
    <xf numFmtId="0" fontId="27" fillId="0" borderId="0" xfId="0" applyFont="1" applyAlignment="1">
      <alignment horizontal="left" vertical="top"/>
    </xf>
    <xf numFmtId="0" fontId="0" fillId="0" borderId="0" xfId="0" applyAlignment="1">
      <alignment horizontal="left" vertical="top" wrapText="1"/>
    </xf>
    <xf numFmtId="2" fontId="0" fillId="0" borderId="0" xfId="0" applyNumberFormat="1" applyAlignment="1">
      <alignment horizontal="left" vertical="top"/>
    </xf>
    <xf numFmtId="0" fontId="22" fillId="26" borderId="1" xfId="0" applyFont="1" applyFill="1" applyBorder="1" applyAlignment="1">
      <alignment horizontal="center" vertical="top" wrapText="1"/>
    </xf>
    <xf numFmtId="0" fontId="22" fillId="26" borderId="11" xfId="0" applyFont="1" applyFill="1" applyBorder="1" applyAlignment="1">
      <alignment horizontal="center" vertical="top" wrapText="1"/>
    </xf>
    <xf numFmtId="0" fontId="0" fillId="0" borderId="1" xfId="0" applyBorder="1" applyAlignment="1">
      <alignment horizontal="left" vertical="top"/>
    </xf>
    <xf numFmtId="9" fontId="0" fillId="0" borderId="1" xfId="1" applyFont="1" applyBorder="1" applyAlignment="1">
      <alignment horizontal="left" vertical="top"/>
    </xf>
    <xf numFmtId="0" fontId="0" fillId="0" borderId="1" xfId="0" applyBorder="1" applyAlignment="1">
      <alignment horizontal="left"/>
    </xf>
    <xf numFmtId="0" fontId="36" fillId="0" borderId="34" xfId="0" applyFont="1" applyBorder="1" applyAlignment="1">
      <alignment horizontal="center" vertical="center" wrapText="1"/>
    </xf>
    <xf numFmtId="0" fontId="36" fillId="0" borderId="1" xfId="0" applyFont="1" applyBorder="1" applyAlignment="1">
      <alignment horizontal="center" vertical="center" wrapText="1"/>
    </xf>
    <xf numFmtId="0" fontId="0" fillId="0" borderId="34" xfId="0" applyBorder="1" applyAlignment="1">
      <alignment vertical="top"/>
    </xf>
    <xf numFmtId="9" fontId="0" fillId="0" borderId="15" xfId="1" applyFont="1" applyBorder="1" applyAlignment="1">
      <alignment horizontal="left" vertical="top"/>
    </xf>
    <xf numFmtId="0" fontId="0" fillId="0" borderId="12" xfId="0" applyBorder="1" applyAlignment="1">
      <alignment vertical="top"/>
    </xf>
    <xf numFmtId="0" fontId="0" fillId="0" borderId="13" xfId="0" applyBorder="1" applyAlignment="1">
      <alignment horizontal="left" vertical="top"/>
    </xf>
    <xf numFmtId="9" fontId="0" fillId="0" borderId="14" xfId="1" applyFont="1" applyBorder="1" applyAlignment="1">
      <alignment horizontal="left" vertical="top"/>
    </xf>
    <xf numFmtId="0" fontId="43" fillId="26" borderId="1" xfId="0" applyFont="1" applyFill="1" applyBorder="1" applyAlignment="1">
      <alignment horizontal="left" vertical="top" wrapText="1"/>
    </xf>
    <xf numFmtId="0" fontId="22" fillId="26" borderId="1" xfId="0" applyFont="1" applyFill="1" applyBorder="1" applyAlignment="1">
      <alignment horizontal="left"/>
    </xf>
    <xf numFmtId="9" fontId="22" fillId="26" borderId="1" xfId="1" applyFont="1" applyFill="1" applyBorder="1" applyAlignment="1">
      <alignment horizontal="left"/>
    </xf>
    <xf numFmtId="0" fontId="0" fillId="0" borderId="0" xfId="0" applyAlignment="1">
      <alignment wrapText="1"/>
    </xf>
    <xf numFmtId="0" fontId="20" fillId="0" borderId="0" xfId="0" applyFont="1"/>
    <xf numFmtId="0" fontId="38" fillId="25" borderId="38" xfId="0" applyFont="1" applyFill="1" applyBorder="1" applyAlignment="1">
      <alignment horizontal="left" vertical="top" wrapText="1"/>
    </xf>
    <xf numFmtId="9" fontId="38" fillId="25" borderId="39" xfId="0" applyNumberFormat="1" applyFont="1" applyFill="1" applyBorder="1" applyAlignment="1">
      <alignment horizontal="left" vertical="top" wrapText="1"/>
    </xf>
    <xf numFmtId="0" fontId="48" fillId="25" borderId="13" xfId="0" applyFont="1" applyFill="1" applyBorder="1" applyAlignment="1">
      <alignment horizontal="left" vertical="top" wrapText="1"/>
    </xf>
    <xf numFmtId="9" fontId="48" fillId="25" borderId="13" xfId="0" applyNumberFormat="1" applyFont="1" applyFill="1" applyBorder="1" applyAlignment="1">
      <alignment horizontal="left" vertical="top" wrapText="1"/>
    </xf>
    <xf numFmtId="0" fontId="14" fillId="9" borderId="1" xfId="0" applyFont="1" applyFill="1" applyBorder="1" applyAlignment="1">
      <alignment horizontal="left" vertical="top" wrapText="1"/>
    </xf>
    <xf numFmtId="0" fontId="14" fillId="10" borderId="1" xfId="0" applyFont="1" applyFill="1" applyBorder="1" applyAlignment="1">
      <alignment horizontal="left" vertical="top" wrapText="1"/>
    </xf>
    <xf numFmtId="9" fontId="38" fillId="25" borderId="1" xfId="0" applyNumberFormat="1" applyFont="1" applyFill="1" applyBorder="1" applyAlignment="1">
      <alignment horizontal="left" vertical="top"/>
    </xf>
    <xf numFmtId="0" fontId="48" fillId="25" borderId="46" xfId="0" applyFont="1" applyFill="1" applyBorder="1" applyAlignment="1">
      <alignment horizontal="left" vertical="top" wrapText="1"/>
    </xf>
    <xf numFmtId="0" fontId="38" fillId="15" borderId="1" xfId="0" applyFont="1" applyFill="1" applyBorder="1" applyAlignment="1">
      <alignment horizontal="left" vertical="top" wrapText="1"/>
    </xf>
    <xf numFmtId="9" fontId="38" fillId="15" borderId="1" xfId="0" applyNumberFormat="1" applyFont="1" applyFill="1" applyBorder="1" applyAlignment="1">
      <alignment horizontal="left" vertical="top" wrapText="1"/>
    </xf>
    <xf numFmtId="49" fontId="38" fillId="25" borderId="1" xfId="14" applyNumberFormat="1" applyFont="1" applyFill="1" applyBorder="1" applyAlignment="1">
      <alignment horizontal="left" vertical="top" wrapText="1"/>
    </xf>
    <xf numFmtId="0" fontId="38" fillId="25" borderId="46" xfId="0" applyFont="1" applyFill="1" applyBorder="1" applyAlignment="1">
      <alignment horizontal="left" vertical="top"/>
    </xf>
    <xf numFmtId="0" fontId="37" fillId="0" borderId="36" xfId="0" applyFont="1" applyBorder="1" applyAlignment="1">
      <alignment horizontal="left" vertical="top" wrapText="1"/>
    </xf>
    <xf numFmtId="9" fontId="48" fillId="25" borderId="44" xfId="0" applyNumberFormat="1" applyFont="1" applyFill="1" applyBorder="1" applyAlignment="1">
      <alignment horizontal="left" vertical="top" wrapText="1"/>
    </xf>
    <xf numFmtId="9" fontId="38" fillId="25" borderId="1" xfId="0" applyNumberFormat="1" applyFont="1" applyFill="1" applyBorder="1" applyAlignment="1">
      <alignment vertical="top" wrapText="1"/>
    </xf>
    <xf numFmtId="0" fontId="48" fillId="15" borderId="44" xfId="0" applyFont="1" applyFill="1" applyBorder="1" applyAlignment="1">
      <alignment horizontal="left" vertical="top" wrapText="1"/>
    </xf>
    <xf numFmtId="0" fontId="38" fillId="25" borderId="44" xfId="0" applyFont="1" applyFill="1" applyBorder="1" applyAlignment="1">
      <alignment horizontal="left" vertical="top" wrapText="1"/>
    </xf>
    <xf numFmtId="9" fontId="38" fillId="25" borderId="1" xfId="1" applyFont="1" applyFill="1" applyBorder="1" applyAlignment="1">
      <alignment horizontal="left" vertical="top" wrapText="1"/>
    </xf>
    <xf numFmtId="0" fontId="37" fillId="15" borderId="1" xfId="0" applyFont="1" applyFill="1" applyBorder="1" applyAlignment="1">
      <alignment horizontal="left" vertical="top" wrapText="1"/>
    </xf>
    <xf numFmtId="0" fontId="33" fillId="15" borderId="1" xfId="0" applyFont="1" applyFill="1" applyBorder="1" applyAlignment="1">
      <alignment horizontal="left" vertical="top" wrapText="1"/>
    </xf>
    <xf numFmtId="9" fontId="38" fillId="0" borderId="1" xfId="1" applyFont="1" applyBorder="1" applyAlignment="1">
      <alignment horizontal="left" vertical="top" wrapText="1"/>
    </xf>
    <xf numFmtId="0" fontId="3" fillId="0" borderId="1" xfId="0" applyFont="1" applyBorder="1" applyAlignment="1">
      <alignment horizontal="left" vertical="top" wrapText="1"/>
    </xf>
    <xf numFmtId="9" fontId="0" fillId="0" borderId="1" xfId="0" applyNumberFormat="1" applyBorder="1" applyAlignment="1">
      <alignment horizontal="left" vertical="top"/>
    </xf>
    <xf numFmtId="9" fontId="38" fillId="0" borderId="1" xfId="0" applyNumberFormat="1" applyFont="1" applyBorder="1" applyAlignment="1">
      <alignment horizontal="left" vertical="top"/>
    </xf>
    <xf numFmtId="9" fontId="3" fillId="0" borderId="1" xfId="1" applyFont="1" applyBorder="1" applyAlignment="1">
      <alignment horizontal="left" vertical="top"/>
    </xf>
    <xf numFmtId="9" fontId="48" fillId="25" borderId="59" xfId="0" applyNumberFormat="1" applyFont="1" applyFill="1" applyBorder="1" applyAlignment="1">
      <alignment horizontal="left" vertical="top" wrapText="1"/>
    </xf>
    <xf numFmtId="0" fontId="3" fillId="0" borderId="3" xfId="0" applyFont="1" applyBorder="1" applyAlignment="1">
      <alignment horizontal="left" vertical="top" wrapText="1"/>
    </xf>
    <xf numFmtId="0" fontId="38" fillId="10" borderId="58" xfId="0" applyFont="1" applyFill="1" applyBorder="1" applyAlignment="1">
      <alignment horizontal="center" vertical="top" wrapText="1"/>
    </xf>
    <xf numFmtId="0" fontId="39" fillId="10" borderId="58" xfId="0" applyFont="1" applyFill="1" applyBorder="1" applyAlignment="1">
      <alignment horizontal="left" vertical="top" wrapText="1"/>
    </xf>
    <xf numFmtId="9" fontId="39" fillId="10" borderId="58" xfId="0" applyNumberFormat="1" applyFont="1" applyFill="1" applyBorder="1" applyAlignment="1">
      <alignment horizontal="left" vertical="top" wrapText="1"/>
    </xf>
    <xf numFmtId="0" fontId="39" fillId="10" borderId="58" xfId="0" applyFont="1" applyFill="1" applyBorder="1" applyAlignment="1">
      <alignment horizontal="left" vertical="top"/>
    </xf>
    <xf numFmtId="9" fontId="39" fillId="10" borderId="57" xfId="1" applyFont="1" applyFill="1" applyBorder="1" applyAlignment="1">
      <alignment horizontal="left" vertical="top"/>
    </xf>
    <xf numFmtId="9" fontId="39" fillId="10" borderId="25" xfId="1" applyFont="1" applyFill="1" applyBorder="1" applyAlignment="1">
      <alignment horizontal="left" vertical="top"/>
    </xf>
    <xf numFmtId="9" fontId="0" fillId="0" borderId="3" xfId="0" applyNumberFormat="1" applyBorder="1" applyAlignment="1">
      <alignment horizontal="left" vertical="top"/>
    </xf>
    <xf numFmtId="0" fontId="3" fillId="0" borderId="0" xfId="0" applyFont="1"/>
    <xf numFmtId="0" fontId="3" fillId="26" borderId="1" xfId="0" applyFont="1" applyFill="1" applyBorder="1"/>
    <xf numFmtId="0" fontId="0" fillId="0" borderId="60" xfId="0" applyBorder="1"/>
    <xf numFmtId="0" fontId="3" fillId="0" borderId="1" xfId="0" applyFont="1" applyBorder="1"/>
    <xf numFmtId="0" fontId="3" fillId="0" borderId="1" xfId="0" applyFont="1" applyBorder="1" applyAlignment="1">
      <alignment horizontal="left"/>
    </xf>
    <xf numFmtId="0" fontId="20" fillId="0" borderId="1" xfId="0" applyFont="1" applyBorder="1" applyAlignment="1">
      <alignment horizontal="left"/>
    </xf>
    <xf numFmtId="0" fontId="36" fillId="0" borderId="15" xfId="0" applyFont="1" applyBorder="1" applyAlignment="1">
      <alignment horizontal="center" vertical="center" wrapText="1"/>
    </xf>
    <xf numFmtId="0" fontId="0" fillId="0" borderId="15" xfId="0" applyBorder="1" applyAlignment="1">
      <alignment horizontal="left" vertical="top"/>
    </xf>
    <xf numFmtId="0" fontId="0" fillId="0" borderId="14" xfId="0" applyBorder="1" applyAlignment="1">
      <alignment horizontal="left" vertical="top"/>
    </xf>
    <xf numFmtId="0" fontId="3" fillId="26" borderId="0" xfId="0" applyFont="1" applyFill="1"/>
    <xf numFmtId="0" fontId="5" fillId="18" borderId="1" xfId="0" applyFont="1" applyFill="1" applyBorder="1" applyAlignment="1">
      <alignment horizontal="left" vertical="top" wrapText="1"/>
    </xf>
    <xf numFmtId="0" fontId="15" fillId="27" borderId="1" xfId="0" applyFont="1" applyFill="1" applyBorder="1" applyAlignment="1">
      <alignment horizontal="left" vertical="top" wrapText="1"/>
    </xf>
    <xf numFmtId="0" fontId="14" fillId="4" borderId="1" xfId="3" applyFont="1" applyFill="1" applyBorder="1" applyAlignment="1">
      <alignment horizontal="left" vertical="top" wrapText="1"/>
    </xf>
    <xf numFmtId="0" fontId="14" fillId="28" borderId="1" xfId="0" applyFont="1" applyFill="1" applyBorder="1" applyAlignment="1">
      <alignment horizontal="left" vertical="top" wrapText="1"/>
    </xf>
    <xf numFmtId="0" fontId="14" fillId="35" borderId="1" xfId="0" applyFont="1" applyFill="1" applyBorder="1" applyAlignment="1">
      <alignment horizontal="left" vertical="top" wrapText="1"/>
    </xf>
    <xf numFmtId="0" fontId="13" fillId="25" borderId="0" xfId="0" applyFont="1" applyFill="1" applyAlignment="1">
      <alignment horizontal="left" vertical="top" wrapText="1"/>
    </xf>
    <xf numFmtId="0" fontId="5" fillId="28" borderId="1" xfId="0" applyFont="1" applyFill="1" applyBorder="1" applyAlignment="1">
      <alignment horizontal="left" vertical="top" wrapText="1"/>
    </xf>
    <xf numFmtId="0" fontId="5" fillId="15" borderId="1" xfId="0" applyFont="1" applyFill="1" applyBorder="1" applyAlignment="1">
      <alignment horizontal="left" vertical="top" wrapText="1"/>
    </xf>
    <xf numFmtId="0" fontId="14" fillId="21" borderId="1" xfId="0" applyFont="1" applyFill="1" applyBorder="1" applyAlignment="1">
      <alignment horizontal="left" vertical="top" wrapText="1"/>
    </xf>
    <xf numFmtId="0" fontId="15" fillId="27" borderId="4" xfId="0" applyFont="1" applyFill="1" applyBorder="1" applyAlignment="1">
      <alignment horizontal="left" vertical="top" wrapText="1"/>
    </xf>
    <xf numFmtId="0" fontId="18" fillId="23" borderId="1" xfId="0" applyFont="1" applyFill="1" applyBorder="1" applyAlignment="1" applyProtection="1">
      <alignment horizontal="left" vertical="top" wrapText="1"/>
      <protection locked="0"/>
    </xf>
    <xf numFmtId="165" fontId="14" fillId="25" borderId="1" xfId="0" applyNumberFormat="1" applyFont="1" applyFill="1" applyBorder="1" applyAlignment="1">
      <alignment horizontal="left" vertical="top" wrapText="1"/>
    </xf>
    <xf numFmtId="0" fontId="5" fillId="23" borderId="1" xfId="0" applyFont="1" applyFill="1" applyBorder="1" applyAlignment="1">
      <alignment horizontal="left" vertical="top" wrapText="1"/>
    </xf>
    <xf numFmtId="0" fontId="5" fillId="21" borderId="1" xfId="0" applyFont="1" applyFill="1" applyBorder="1" applyAlignment="1">
      <alignment horizontal="left" vertical="top" wrapText="1"/>
    </xf>
    <xf numFmtId="0" fontId="14" fillId="14" borderId="1" xfId="0" applyFont="1" applyFill="1" applyBorder="1" applyAlignment="1">
      <alignment horizontal="left" vertical="top" wrapText="1"/>
    </xf>
    <xf numFmtId="0" fontId="14" fillId="14" borderId="2" xfId="0" applyFont="1" applyFill="1" applyBorder="1" applyAlignment="1">
      <alignment horizontal="left" vertical="top" wrapText="1"/>
    </xf>
    <xf numFmtId="0" fontId="0" fillId="0" borderId="0" xfId="0" applyFill="1" applyAlignment="1">
      <alignment horizontal="left" vertical="top" wrapText="1"/>
    </xf>
    <xf numFmtId="9" fontId="0" fillId="0" borderId="0" xfId="1" applyFont="1" applyFill="1" applyAlignment="1">
      <alignment horizontal="left" vertical="top" wrapText="1"/>
    </xf>
    <xf numFmtId="0" fontId="6" fillId="0" borderId="0" xfId="0" applyFont="1" applyFill="1" applyAlignment="1">
      <alignment horizontal="left" vertical="top" wrapText="1"/>
    </xf>
    <xf numFmtId="2" fontId="0" fillId="0" borderId="0" xfId="0" applyNumberFormat="1" applyFill="1" applyAlignment="1">
      <alignment horizontal="left" vertical="top" wrapText="1"/>
    </xf>
    <xf numFmtId="0" fontId="0" fillId="0" borderId="0" xfId="0" applyAlignment="1">
      <alignment vertical="top" wrapText="1"/>
    </xf>
    <xf numFmtId="0" fontId="18" fillId="25" borderId="1" xfId="0" applyFont="1" applyFill="1" applyBorder="1" applyAlignment="1">
      <alignment horizontal="left" vertical="top" wrapText="1"/>
    </xf>
    <xf numFmtId="167" fontId="18" fillId="25" borderId="1" xfId="0" applyNumberFormat="1" applyFont="1" applyFill="1" applyBorder="1" applyAlignment="1">
      <alignment horizontal="left" vertical="top" wrapText="1"/>
    </xf>
    <xf numFmtId="0" fontId="18" fillId="25" borderId="1" xfId="0" applyFont="1" applyFill="1" applyBorder="1" applyAlignment="1" applyProtection="1">
      <alignment horizontal="left" vertical="top" wrapText="1"/>
      <protection locked="0"/>
    </xf>
    <xf numFmtId="0" fontId="5" fillId="0" borderId="1" xfId="4" applyFont="1" applyBorder="1" applyAlignment="1">
      <alignment horizontal="left" vertical="top" wrapText="1"/>
    </xf>
    <xf numFmtId="0" fontId="5" fillId="0" borderId="2" xfId="4" applyFont="1" applyBorder="1" applyAlignment="1">
      <alignment horizontal="left" vertical="top" wrapText="1"/>
    </xf>
    <xf numFmtId="0" fontId="5" fillId="0" borderId="4" xfId="4" applyFont="1" applyBorder="1" applyAlignment="1">
      <alignment horizontal="left" vertical="top" wrapText="1"/>
    </xf>
    <xf numFmtId="0" fontId="5" fillId="0" borderId="3" xfId="4" applyFont="1" applyBorder="1" applyAlignment="1">
      <alignment horizontal="left" vertical="top" wrapText="1"/>
    </xf>
    <xf numFmtId="165" fontId="14" fillId="0" borderId="1" xfId="0" applyNumberFormat="1" applyFont="1" applyFill="1" applyBorder="1" applyAlignment="1">
      <alignment horizontal="left" vertical="top" wrapText="1"/>
    </xf>
    <xf numFmtId="10" fontId="14" fillId="0" borderId="1" xfId="1" applyNumberFormat="1" applyFont="1" applyFill="1" applyBorder="1" applyAlignment="1">
      <alignment horizontal="left" vertical="top" wrapText="1"/>
    </xf>
    <xf numFmtId="9" fontId="5" fillId="0" borderId="1" xfId="1" applyFont="1" applyFill="1" applyBorder="1" applyAlignment="1">
      <alignment horizontal="left" vertical="top" wrapText="1"/>
    </xf>
    <xf numFmtId="9" fontId="14" fillId="0" borderId="1" xfId="1" applyFont="1" applyFill="1" applyBorder="1" applyAlignment="1">
      <alignment horizontal="left" vertical="top" wrapText="1"/>
    </xf>
    <xf numFmtId="2" fontId="14" fillId="0" borderId="1" xfId="0" applyNumberFormat="1" applyFont="1" applyFill="1" applyBorder="1" applyAlignment="1">
      <alignment horizontal="left" vertical="top" wrapText="1"/>
    </xf>
    <xf numFmtId="0" fontId="14" fillId="0" borderId="1" xfId="0" applyFont="1" applyFill="1" applyBorder="1" applyAlignment="1">
      <alignment horizontal="left" vertical="top" wrapText="1"/>
    </xf>
    <xf numFmtId="0" fontId="14" fillId="0" borderId="0" xfId="0" applyFont="1" applyFill="1" applyAlignment="1">
      <alignment horizontal="left" vertical="top" wrapText="1"/>
    </xf>
    <xf numFmtId="10" fontId="14" fillId="0" borderId="0" xfId="1" applyNumberFormat="1" applyFont="1" applyFill="1" applyAlignment="1">
      <alignment horizontal="left" vertical="top" wrapText="1"/>
    </xf>
    <xf numFmtId="0" fontId="14" fillId="25" borderId="0" xfId="0" applyFont="1" applyFill="1" applyAlignment="1">
      <alignment horizontal="left" vertical="top" wrapText="1"/>
    </xf>
    <xf numFmtId="9" fontId="15" fillId="0" borderId="1" xfId="1" applyFont="1" applyFill="1" applyBorder="1" applyAlignment="1">
      <alignment horizontal="left" vertical="top" wrapText="1"/>
    </xf>
    <xf numFmtId="169" fontId="5" fillId="0" borderId="1" xfId="1" applyNumberFormat="1" applyFont="1" applyFill="1" applyBorder="1" applyAlignment="1">
      <alignment horizontal="left" vertical="top" wrapText="1"/>
    </xf>
    <xf numFmtId="169" fontId="14" fillId="0" borderId="1" xfId="1" applyNumberFormat="1" applyFont="1" applyFill="1" applyBorder="1" applyAlignment="1">
      <alignment horizontal="left" vertical="top" wrapText="1"/>
    </xf>
    <xf numFmtId="43" fontId="5" fillId="0" borderId="9" xfId="0" applyNumberFormat="1" applyFont="1" applyFill="1" applyBorder="1" applyAlignment="1">
      <alignment horizontal="left" vertical="top" wrapText="1"/>
    </xf>
    <xf numFmtId="166" fontId="5" fillId="0" borderId="10" xfId="0" applyNumberFormat="1" applyFont="1" applyFill="1" applyBorder="1" applyAlignment="1">
      <alignment horizontal="left" vertical="top" wrapText="1"/>
    </xf>
    <xf numFmtId="9" fontId="10" fillId="0" borderId="1" xfId="1" applyFont="1" applyFill="1" applyBorder="1" applyAlignment="1">
      <alignment horizontal="left" vertical="top" wrapText="1"/>
    </xf>
    <xf numFmtId="9" fontId="5" fillId="34" borderId="1" xfId="1" applyFont="1" applyFill="1" applyBorder="1" applyAlignment="1">
      <alignment horizontal="left" vertical="top" wrapText="1"/>
    </xf>
    <xf numFmtId="167" fontId="14" fillId="0" borderId="0" xfId="0" applyNumberFormat="1" applyFont="1" applyFill="1" applyAlignment="1">
      <alignment horizontal="left" vertical="top" wrapText="1"/>
    </xf>
    <xf numFmtId="14" fontId="18" fillId="0" borderId="1" xfId="6" applyNumberFormat="1" applyFont="1" applyBorder="1" applyAlignment="1" applyProtection="1">
      <alignment horizontal="left" vertical="top" wrapText="1"/>
      <protection locked="0"/>
    </xf>
    <xf numFmtId="0" fontId="14" fillId="0" borderId="3" xfId="0" applyFont="1" applyFill="1" applyBorder="1" applyAlignment="1">
      <alignment horizontal="left" vertical="top" wrapText="1"/>
    </xf>
    <xf numFmtId="2" fontId="14" fillId="0" borderId="3" xfId="0" applyNumberFormat="1" applyFont="1" applyFill="1" applyBorder="1" applyAlignment="1">
      <alignment horizontal="left" vertical="top" wrapText="1"/>
    </xf>
    <xf numFmtId="0" fontId="5" fillId="0" borderId="0" xfId="0" applyFont="1" applyFill="1" applyAlignment="1">
      <alignment horizontal="left" vertical="top" wrapText="1"/>
    </xf>
    <xf numFmtId="0" fontId="5" fillId="25" borderId="0" xfId="0" applyFont="1" applyFill="1" applyAlignment="1">
      <alignment horizontal="left" vertical="top" wrapText="1"/>
    </xf>
    <xf numFmtId="2" fontId="14" fillId="0" borderId="0" xfId="0" applyNumberFormat="1" applyFont="1" applyFill="1" applyAlignment="1">
      <alignment horizontal="left" vertical="top" wrapText="1"/>
    </xf>
    <xf numFmtId="0" fontId="14" fillId="4" borderId="1" xfId="0" applyFont="1" applyFill="1" applyBorder="1" applyAlignment="1">
      <alignment horizontal="left" vertical="top" wrapText="1"/>
    </xf>
    <xf numFmtId="0" fontId="14" fillId="23" borderId="1" xfId="0" applyFont="1" applyFill="1" applyBorder="1" applyAlignment="1">
      <alignment horizontal="left" vertical="top" wrapText="1"/>
    </xf>
    <xf numFmtId="0" fontId="5" fillId="3" borderId="1" xfId="0" applyFont="1" applyFill="1" applyBorder="1" applyAlignment="1">
      <alignment horizontal="left" vertical="top" wrapText="1"/>
    </xf>
    <xf numFmtId="10" fontId="0" fillId="0" borderId="0" xfId="1" applyNumberFormat="1" applyFont="1" applyFill="1" applyAlignment="1">
      <alignment horizontal="left" vertical="top" wrapText="1"/>
    </xf>
    <xf numFmtId="0" fontId="33" fillId="25" borderId="7" xfId="0" applyFont="1" applyFill="1" applyBorder="1" applyAlignment="1">
      <alignment vertical="top" wrapText="1"/>
    </xf>
    <xf numFmtId="0" fontId="33" fillId="25" borderId="1" xfId="0" applyFont="1" applyFill="1" applyBorder="1" applyAlignment="1">
      <alignment vertical="top" wrapText="1"/>
    </xf>
    <xf numFmtId="9" fontId="48" fillId="25" borderId="1" xfId="1" applyFont="1" applyFill="1" applyBorder="1" applyAlignment="1">
      <alignment horizontal="left" vertical="top" wrapText="1"/>
    </xf>
    <xf numFmtId="9" fontId="48" fillId="33" borderId="46" xfId="0" applyNumberFormat="1" applyFont="1" applyFill="1" applyBorder="1" applyAlignment="1">
      <alignment horizontal="left" vertical="top" wrapText="1"/>
    </xf>
    <xf numFmtId="0" fontId="34" fillId="32" borderId="16" xfId="0" applyFont="1" applyFill="1" applyBorder="1" applyAlignment="1">
      <alignment horizontal="center" vertical="center" wrapText="1"/>
    </xf>
    <xf numFmtId="0" fontId="48" fillId="0" borderId="1" xfId="0" applyFont="1" applyBorder="1" applyAlignment="1">
      <alignment vertical="top" wrapText="1"/>
    </xf>
    <xf numFmtId="165" fontId="69" fillId="0" borderId="1" xfId="0" applyNumberFormat="1" applyFont="1" applyFill="1" applyBorder="1" applyAlignment="1">
      <alignment horizontal="left" vertical="top" wrapText="1"/>
    </xf>
    <xf numFmtId="0" fontId="10" fillId="6" borderId="1" xfId="0" applyFont="1" applyFill="1" applyBorder="1" applyAlignment="1">
      <alignment horizontal="left" vertical="top" wrapText="1"/>
    </xf>
    <xf numFmtId="0" fontId="5" fillId="11" borderId="1" xfId="0" applyFont="1" applyFill="1" applyBorder="1" applyAlignment="1">
      <alignment horizontal="left" vertical="top" wrapText="1"/>
    </xf>
    <xf numFmtId="0" fontId="5" fillId="14" borderId="1" xfId="0" applyFont="1" applyFill="1" applyBorder="1" applyAlignment="1">
      <alignment horizontal="left" vertical="top" wrapText="1"/>
    </xf>
    <xf numFmtId="0" fontId="11" fillId="23" borderId="1" xfId="0" applyFont="1" applyFill="1" applyBorder="1" applyAlignment="1" applyProtection="1">
      <alignment horizontal="left" vertical="top" wrapText="1"/>
      <protection locked="0"/>
    </xf>
    <xf numFmtId="0" fontId="6" fillId="0" borderId="1" xfId="0" applyFont="1" applyFill="1" applyBorder="1" applyAlignment="1">
      <alignment horizontal="left" vertical="top" wrapText="1"/>
    </xf>
    <xf numFmtId="167" fontId="15" fillId="25" borderId="1" xfId="11" applyNumberFormat="1" applyFont="1" applyFill="1" applyBorder="1" applyAlignment="1">
      <alignment horizontal="left" vertical="top" wrapText="1"/>
    </xf>
    <xf numFmtId="168" fontId="15" fillId="25" borderId="1" xfId="11" applyNumberFormat="1" applyFont="1" applyFill="1" applyBorder="1" applyAlignment="1">
      <alignment horizontal="left" vertical="top" wrapText="1"/>
    </xf>
    <xf numFmtId="167" fontId="18" fillId="25" borderId="15" xfId="11" applyNumberFormat="1" applyFont="1" applyFill="1" applyBorder="1" applyAlignment="1">
      <alignment horizontal="left" vertical="top" wrapText="1"/>
    </xf>
    <xf numFmtId="167" fontId="18" fillId="25" borderId="16" xfId="11" applyNumberFormat="1" applyFont="1" applyFill="1" applyBorder="1" applyAlignment="1">
      <alignment horizontal="left" vertical="top" wrapText="1"/>
    </xf>
    <xf numFmtId="167" fontId="18" fillId="25" borderId="1" xfId="11" applyNumberFormat="1" applyFont="1" applyFill="1" applyBorder="1" applyAlignment="1">
      <alignment horizontal="left" vertical="top" wrapText="1"/>
    </xf>
    <xf numFmtId="44" fontId="18" fillId="25" borderId="1" xfId="11" applyFont="1" applyFill="1" applyBorder="1" applyAlignment="1">
      <alignment horizontal="left" vertical="top" wrapText="1"/>
    </xf>
    <xf numFmtId="167" fontId="15" fillId="25" borderId="1" xfId="12" applyNumberFormat="1" applyFont="1" applyFill="1" applyBorder="1" applyAlignment="1">
      <alignment horizontal="left" vertical="top" wrapText="1"/>
    </xf>
    <xf numFmtId="14" fontId="69" fillId="0" borderId="1" xfId="0" applyNumberFormat="1" applyFont="1" applyFill="1" applyBorder="1" applyAlignment="1">
      <alignment horizontal="left" vertical="top" wrapText="1"/>
    </xf>
    <xf numFmtId="6" fontId="14" fillId="36" borderId="1" xfId="0" applyNumberFormat="1" applyFont="1" applyFill="1" applyBorder="1" applyAlignment="1">
      <alignment horizontal="left" vertical="top" wrapText="1"/>
    </xf>
    <xf numFmtId="6" fontId="14" fillId="36" borderId="18" xfId="0" applyNumberFormat="1" applyFont="1" applyFill="1" applyBorder="1" applyAlignment="1">
      <alignment horizontal="left" vertical="top" wrapText="1"/>
    </xf>
    <xf numFmtId="6" fontId="14" fillId="25" borderId="1" xfId="0" applyNumberFormat="1" applyFont="1" applyFill="1" applyBorder="1" applyAlignment="1">
      <alignment horizontal="left" vertical="top" wrapText="1"/>
    </xf>
    <xf numFmtId="170" fontId="14" fillId="25" borderId="1" xfId="0" applyNumberFormat="1" applyFont="1" applyFill="1" applyBorder="1" applyAlignment="1">
      <alignment horizontal="left" vertical="top" wrapText="1"/>
    </xf>
    <xf numFmtId="170" fontId="15" fillId="25" borderId="1" xfId="10" applyNumberFormat="1" applyFont="1" applyFill="1" applyBorder="1" applyAlignment="1">
      <alignment horizontal="left" vertical="top" wrapText="1"/>
    </xf>
    <xf numFmtId="170" fontId="14" fillId="25" borderId="1" xfId="11" applyNumberFormat="1" applyFont="1" applyFill="1" applyBorder="1" applyAlignment="1">
      <alignment horizontal="left" vertical="top" wrapText="1"/>
    </xf>
    <xf numFmtId="167" fontId="14" fillId="25" borderId="1" xfId="11" applyNumberFormat="1" applyFont="1" applyFill="1" applyBorder="1" applyAlignment="1">
      <alignment horizontal="left" vertical="top" wrapText="1"/>
    </xf>
    <xf numFmtId="14" fontId="69" fillId="0" borderId="8" xfId="0" applyNumberFormat="1" applyFont="1" applyFill="1" applyBorder="1" applyAlignment="1">
      <alignment horizontal="left" vertical="top" wrapText="1"/>
    </xf>
    <xf numFmtId="0" fontId="68" fillId="0" borderId="0" xfId="0" applyFont="1" applyFill="1" applyAlignment="1">
      <alignment horizontal="left" vertical="top" wrapText="1"/>
    </xf>
    <xf numFmtId="0" fontId="70" fillId="0" borderId="0" xfId="0" applyFont="1" applyFill="1" applyAlignment="1">
      <alignment horizontal="left" vertical="top" wrapText="1"/>
    </xf>
    <xf numFmtId="10" fontId="61" fillId="2" borderId="1" xfId="1" applyNumberFormat="1" applyFont="1" applyFill="1" applyBorder="1" applyAlignment="1">
      <alignment horizontal="left" vertical="top" wrapText="1"/>
    </xf>
    <xf numFmtId="2" fontId="61" fillId="2" borderId="1" xfId="0" applyNumberFormat="1" applyFont="1" applyFill="1" applyBorder="1" applyAlignment="1">
      <alignment horizontal="left" vertical="top" wrapText="1"/>
    </xf>
    <xf numFmtId="0" fontId="61" fillId="2" borderId="4" xfId="0" applyFont="1" applyFill="1" applyBorder="1" applyAlignment="1">
      <alignment horizontal="left" vertical="top" wrapText="1"/>
    </xf>
    <xf numFmtId="0" fontId="61" fillId="2" borderId="4" xfId="0" applyFont="1" applyFill="1" applyBorder="1" applyAlignment="1">
      <alignment horizontal="left" vertical="top"/>
    </xf>
    <xf numFmtId="0" fontId="74" fillId="2" borderId="2" xfId="0" applyFont="1" applyFill="1" applyBorder="1" applyAlignment="1">
      <alignment horizontal="left" vertical="top" wrapText="1"/>
    </xf>
    <xf numFmtId="2" fontId="77" fillId="0" borderId="0" xfId="0" applyNumberFormat="1" applyFont="1" applyFill="1" applyAlignment="1">
      <alignment horizontal="left" vertical="top" wrapText="1"/>
    </xf>
    <xf numFmtId="0" fontId="77" fillId="0" borderId="0" xfId="0" applyFont="1" applyFill="1" applyAlignment="1">
      <alignment horizontal="left" vertical="top" wrapText="1"/>
    </xf>
    <xf numFmtId="2" fontId="3" fillId="0" borderId="0" xfId="0" applyNumberFormat="1" applyFont="1" applyFill="1" applyAlignment="1">
      <alignment horizontal="left" vertical="top" wrapText="1"/>
    </xf>
    <xf numFmtId="0" fontId="74" fillId="2" borderId="1" xfId="0" applyFont="1" applyFill="1" applyBorder="1" applyAlignment="1">
      <alignment horizontal="left" vertical="top" wrapText="1"/>
    </xf>
    <xf numFmtId="167" fontId="14" fillId="0" borderId="1" xfId="1" applyNumberFormat="1" applyFont="1" applyFill="1" applyBorder="1" applyAlignment="1">
      <alignment horizontal="left" vertical="top" wrapText="1"/>
    </xf>
    <xf numFmtId="9" fontId="14" fillId="0" borderId="3" xfId="1" applyFont="1" applyFill="1" applyBorder="1" applyAlignment="1">
      <alignment horizontal="left" vertical="top" wrapText="1"/>
    </xf>
    <xf numFmtId="0" fontId="14" fillId="0" borderId="1" xfId="1" applyNumberFormat="1" applyFont="1" applyFill="1" applyBorder="1" applyAlignment="1">
      <alignment horizontal="left" vertical="top" wrapText="1"/>
    </xf>
    <xf numFmtId="0" fontId="14" fillId="0" borderId="3" xfId="1" applyNumberFormat="1" applyFont="1" applyFill="1" applyBorder="1" applyAlignment="1">
      <alignment horizontal="left" vertical="top" wrapText="1"/>
    </xf>
    <xf numFmtId="0" fontId="80" fillId="0" borderId="1" xfId="15" applyNumberFormat="1" applyFill="1" applyBorder="1" applyAlignment="1">
      <alignment horizontal="left" vertical="top" wrapText="1"/>
    </xf>
    <xf numFmtId="9" fontId="14" fillId="13" borderId="1" xfId="1" applyFont="1" applyFill="1" applyBorder="1" applyAlignment="1">
      <alignment horizontal="left" vertical="top" wrapText="1"/>
    </xf>
    <xf numFmtId="9" fontId="14" fillId="25" borderId="1" xfId="1" applyFont="1" applyFill="1" applyBorder="1" applyAlignment="1">
      <alignment horizontal="left" vertical="top" wrapText="1"/>
    </xf>
    <xf numFmtId="167" fontId="14" fillId="3" borderId="1" xfId="11" applyNumberFormat="1" applyFont="1" applyFill="1" applyBorder="1" applyAlignment="1">
      <alignment horizontal="left" vertical="top" wrapText="1"/>
    </xf>
    <xf numFmtId="168" fontId="15" fillId="3" borderId="1" xfId="11" applyNumberFormat="1" applyFont="1" applyFill="1" applyBorder="1" applyAlignment="1">
      <alignment horizontal="left" vertical="top" wrapText="1"/>
    </xf>
    <xf numFmtId="167" fontId="15" fillId="3" borderId="1" xfId="12" applyNumberFormat="1" applyFont="1" applyFill="1" applyBorder="1" applyAlignment="1">
      <alignment horizontal="left" vertical="top" wrapText="1"/>
    </xf>
    <xf numFmtId="168" fontId="15" fillId="27" borderId="1" xfId="11" applyNumberFormat="1" applyFont="1" applyFill="1" applyBorder="1" applyAlignment="1">
      <alignment horizontal="left" vertical="top" wrapText="1"/>
    </xf>
    <xf numFmtId="44" fontId="14" fillId="0" borderId="1" xfId="11" applyFont="1" applyFill="1" applyBorder="1" applyAlignment="1">
      <alignment horizontal="left" vertical="top" wrapText="1"/>
    </xf>
    <xf numFmtId="167" fontId="14" fillId="0" borderId="1" xfId="11" applyNumberFormat="1" applyFont="1" applyFill="1" applyBorder="1" applyAlignment="1">
      <alignment horizontal="left" vertical="top" wrapText="1"/>
    </xf>
    <xf numFmtId="44" fontId="14" fillId="25" borderId="1" xfId="11" applyFont="1" applyFill="1" applyBorder="1" applyAlignment="1">
      <alignment horizontal="left" vertical="top" wrapText="1"/>
    </xf>
    <xf numFmtId="167" fontId="14" fillId="25" borderId="1" xfId="0" applyNumberFormat="1" applyFont="1" applyFill="1" applyBorder="1" applyAlignment="1">
      <alignment horizontal="left" vertical="top" wrapText="1"/>
    </xf>
    <xf numFmtId="0" fontId="5" fillId="23" borderId="2" xfId="0" applyFont="1" applyFill="1" applyBorder="1" applyAlignment="1">
      <alignment horizontal="center" vertical="top" wrapText="1"/>
    </xf>
    <xf numFmtId="0" fontId="14" fillId="0" borderId="3" xfId="0" applyFont="1" applyFill="1" applyBorder="1" applyAlignment="1">
      <alignment horizontal="center" vertical="top" wrapText="1"/>
    </xf>
    <xf numFmtId="6" fontId="14" fillId="25" borderId="2" xfId="0" applyNumberFormat="1" applyFont="1" applyFill="1" applyBorder="1" applyAlignment="1">
      <alignment horizontal="left" vertical="top" wrapText="1"/>
    </xf>
    <xf numFmtId="6" fontId="14" fillId="25" borderId="0" xfId="0" applyNumberFormat="1" applyFont="1" applyFill="1" applyAlignment="1">
      <alignment horizontal="left" vertical="top" wrapText="1"/>
    </xf>
    <xf numFmtId="0" fontId="34" fillId="32" borderId="3" xfId="0" applyFont="1" applyFill="1" applyBorder="1" applyAlignment="1">
      <alignment horizontal="center" vertical="center" wrapText="1"/>
    </xf>
    <xf numFmtId="0" fontId="34" fillId="32" borderId="0" xfId="0" applyFont="1" applyFill="1" applyAlignment="1">
      <alignment horizontal="center" vertical="center" wrapText="1"/>
    </xf>
    <xf numFmtId="9" fontId="14" fillId="9" borderId="1" xfId="1" applyFont="1" applyFill="1" applyBorder="1" applyAlignment="1">
      <alignment horizontal="left" vertical="top" wrapText="1"/>
    </xf>
    <xf numFmtId="0" fontId="80" fillId="0" borderId="0" xfId="15"/>
    <xf numFmtId="0" fontId="11" fillId="23" borderId="2" xfId="0" applyFont="1" applyFill="1" applyBorder="1" applyAlignment="1" applyProtection="1">
      <alignment vertical="top" wrapText="1"/>
      <protection locked="0"/>
    </xf>
    <xf numFmtId="0" fontId="18" fillId="23" borderId="1" xfId="0" applyFont="1" applyFill="1" applyBorder="1" applyAlignment="1" applyProtection="1">
      <alignment vertical="top" wrapText="1"/>
      <protection locked="0"/>
    </xf>
    <xf numFmtId="0" fontId="13" fillId="0" borderId="1" xfId="1" applyNumberFormat="1" applyFont="1" applyFill="1" applyBorder="1" applyAlignment="1">
      <alignment horizontal="left" vertical="top" wrapText="1"/>
    </xf>
    <xf numFmtId="0" fontId="80" fillId="0" borderId="2" xfId="16" applyNumberFormat="1" applyFill="1" applyBorder="1" applyAlignment="1">
      <alignment horizontal="left" vertical="top" wrapText="1"/>
    </xf>
    <xf numFmtId="9" fontId="14" fillId="25" borderId="2" xfId="1" applyFont="1" applyFill="1" applyBorder="1" applyAlignment="1">
      <alignment horizontal="left" vertical="top" wrapText="1"/>
    </xf>
    <xf numFmtId="9" fontId="14" fillId="25" borderId="3" xfId="1" applyFont="1" applyFill="1" applyBorder="1" applyAlignment="1">
      <alignment horizontal="left" vertical="top" wrapText="1"/>
    </xf>
    <xf numFmtId="0" fontId="3" fillId="0" borderId="1" xfId="0" applyFont="1" applyFill="1" applyBorder="1" applyAlignment="1">
      <alignment horizontal="left" vertical="top" wrapText="1"/>
    </xf>
    <xf numFmtId="0" fontId="80" fillId="0" borderId="1" xfId="16" applyNumberFormat="1" applyFill="1" applyBorder="1" applyAlignment="1">
      <alignment horizontal="left" vertical="top" wrapText="1"/>
    </xf>
    <xf numFmtId="2" fontId="80" fillId="0" borderId="1" xfId="16" applyNumberFormat="1" applyFill="1" applyBorder="1" applyAlignment="1">
      <alignment horizontal="left" vertical="top" wrapText="1"/>
    </xf>
    <xf numFmtId="0" fontId="5" fillId="0" borderId="1" xfId="1" applyNumberFormat="1" applyFont="1" applyFill="1" applyBorder="1" applyAlignment="1">
      <alignment horizontal="left" vertical="top" wrapText="1"/>
    </xf>
    <xf numFmtId="0" fontId="80" fillId="0" borderId="0" xfId="16" applyFill="1" applyAlignment="1">
      <alignment horizontal="left" wrapText="1"/>
    </xf>
    <xf numFmtId="0" fontId="80" fillId="0" borderId="82" xfId="16" applyFill="1" applyBorder="1" applyAlignment="1">
      <alignment horizontal="left" vertical="center" wrapText="1"/>
    </xf>
    <xf numFmtId="0" fontId="80" fillId="0" borderId="83" xfId="16" applyFill="1" applyBorder="1" applyAlignment="1">
      <alignment horizontal="left" vertical="center" wrapText="1"/>
    </xf>
    <xf numFmtId="0" fontId="18" fillId="25" borderId="2" xfId="0" applyFont="1" applyFill="1" applyBorder="1" applyAlignment="1" applyProtection="1">
      <alignment horizontal="left" vertical="top" wrapText="1"/>
      <protection locked="0"/>
    </xf>
    <xf numFmtId="10" fontId="5" fillId="0" borderId="9" xfId="0" applyNumberFormat="1" applyFont="1" applyFill="1" applyBorder="1" applyAlignment="1">
      <alignment horizontal="left" vertical="top" wrapText="1"/>
    </xf>
    <xf numFmtId="10" fontId="5" fillId="0" borderId="9" xfId="1" applyNumberFormat="1" applyFont="1" applyFill="1" applyBorder="1" applyAlignment="1">
      <alignment horizontal="left" vertical="top" wrapText="1"/>
    </xf>
    <xf numFmtId="9" fontId="37" fillId="17" borderId="1" xfId="0" applyNumberFormat="1" applyFont="1" applyFill="1" applyBorder="1" applyAlignment="1">
      <alignment horizontal="left" vertical="top" wrapText="1"/>
    </xf>
    <xf numFmtId="9" fontId="0" fillId="0" borderId="0" xfId="1" applyFont="1"/>
    <xf numFmtId="169" fontId="22" fillId="26" borderId="1" xfId="1" applyNumberFormat="1" applyFont="1" applyFill="1" applyBorder="1" applyAlignment="1">
      <alignment horizontal="left"/>
    </xf>
    <xf numFmtId="9" fontId="33" fillId="38" borderId="1" xfId="0" applyNumberFormat="1" applyFont="1" applyFill="1" applyBorder="1" applyAlignment="1">
      <alignment horizontal="left" vertical="top" wrapText="1"/>
    </xf>
    <xf numFmtId="9" fontId="33" fillId="38" borderId="2" xfId="0" applyNumberFormat="1" applyFont="1" applyFill="1" applyBorder="1" applyAlignment="1">
      <alignment horizontal="left" vertical="top" wrapText="1"/>
    </xf>
    <xf numFmtId="9" fontId="48" fillId="38" borderId="44" xfId="0" applyNumberFormat="1" applyFont="1" applyFill="1" applyBorder="1" applyAlignment="1">
      <alignment horizontal="left" vertical="top" wrapText="1"/>
    </xf>
    <xf numFmtId="9" fontId="38" fillId="38" borderId="1" xfId="0" applyNumberFormat="1" applyFont="1" applyFill="1" applyBorder="1" applyAlignment="1">
      <alignment horizontal="left" vertical="top" wrapText="1"/>
    </xf>
    <xf numFmtId="9" fontId="48" fillId="38" borderId="2" xfId="0" applyNumberFormat="1" applyFont="1" applyFill="1" applyBorder="1" applyAlignment="1">
      <alignment horizontal="left" vertical="top" wrapText="1"/>
    </xf>
    <xf numFmtId="9" fontId="38" fillId="25" borderId="3" xfId="0" applyNumberFormat="1" applyFont="1" applyFill="1" applyBorder="1" applyAlignment="1">
      <alignment horizontal="left" vertical="top" wrapText="1"/>
    </xf>
    <xf numFmtId="9" fontId="33" fillId="16" borderId="1" xfId="0" applyNumberFormat="1" applyFont="1" applyFill="1" applyBorder="1" applyAlignment="1">
      <alignment horizontal="left" vertical="top" wrapText="1"/>
    </xf>
    <xf numFmtId="0" fontId="0" fillId="0" borderId="1" xfId="0" applyBorder="1" applyAlignment="1">
      <alignment horizontal="left" vertical="top" wrapText="1"/>
    </xf>
    <xf numFmtId="9" fontId="0" fillId="0" borderId="1" xfId="1" applyFont="1" applyBorder="1"/>
    <xf numFmtId="9" fontId="0" fillId="0" borderId="1" xfId="0" applyNumberFormat="1" applyBorder="1" applyAlignment="1">
      <alignment horizontal="left" vertical="top" wrapText="1"/>
    </xf>
    <xf numFmtId="0" fontId="0" fillId="0" borderId="1" xfId="11" applyNumberFormat="1" applyFont="1" applyBorder="1"/>
    <xf numFmtId="0" fontId="0" fillId="0" borderId="1" xfId="0" applyBorder="1" applyAlignment="1">
      <alignment wrapText="1"/>
    </xf>
    <xf numFmtId="9" fontId="0" fillId="0" borderId="1" xfId="1" applyFont="1" applyBorder="1" applyAlignment="1">
      <alignment wrapText="1"/>
    </xf>
    <xf numFmtId="9" fontId="0" fillId="0" borderId="1" xfId="0" applyNumberFormat="1" applyBorder="1"/>
    <xf numFmtId="0" fontId="3" fillId="26" borderId="1" xfId="0" applyFont="1" applyFill="1" applyBorder="1" applyAlignment="1">
      <alignment horizontal="left" vertical="top" wrapText="1"/>
    </xf>
    <xf numFmtId="0" fontId="0" fillId="26" borderId="1" xfId="0" applyFill="1" applyBorder="1"/>
    <xf numFmtId="169" fontId="0" fillId="26" borderId="1" xfId="1" applyNumberFormat="1" applyFont="1" applyFill="1" applyBorder="1"/>
    <xf numFmtId="0" fontId="14" fillId="21" borderId="3" xfId="0" applyFont="1" applyFill="1" applyBorder="1" applyAlignment="1">
      <alignment horizontal="left" vertical="top" wrapText="1"/>
    </xf>
    <xf numFmtId="165" fontId="14" fillId="25" borderId="3" xfId="0" applyNumberFormat="1" applyFont="1" applyFill="1" applyBorder="1" applyAlignment="1">
      <alignment horizontal="left" vertical="top" wrapText="1"/>
    </xf>
    <xf numFmtId="0" fontId="5" fillId="15" borderId="2" xfId="0" applyFont="1" applyFill="1" applyBorder="1" applyAlignment="1">
      <alignment horizontal="left" vertical="top" wrapText="1"/>
    </xf>
    <xf numFmtId="0" fontId="14" fillId="15" borderId="2" xfId="0" applyFont="1" applyFill="1" applyBorder="1" applyAlignment="1">
      <alignment horizontal="left" vertical="top" wrapText="1"/>
    </xf>
    <xf numFmtId="9" fontId="14" fillId="0" borderId="16" xfId="1" applyFont="1" applyFill="1" applyBorder="1" applyAlignment="1">
      <alignment horizontal="left" vertical="top" wrapText="1"/>
    </xf>
    <xf numFmtId="9" fontId="14" fillId="0" borderId="17" xfId="1" applyFont="1" applyFill="1" applyBorder="1" applyAlignment="1">
      <alignment horizontal="left" vertical="top" wrapText="1"/>
    </xf>
    <xf numFmtId="9" fontId="14" fillId="0" borderId="18" xfId="1" applyFont="1" applyFill="1" applyBorder="1" applyAlignment="1">
      <alignment horizontal="left" vertical="top" wrapText="1"/>
    </xf>
    <xf numFmtId="0" fontId="5" fillId="15" borderId="4" xfId="0" applyFont="1" applyFill="1" applyBorder="1" applyAlignment="1">
      <alignment horizontal="left" vertical="top" wrapText="1"/>
    </xf>
    <xf numFmtId="0" fontId="14" fillId="4" borderId="2" xfId="0" applyFont="1" applyFill="1" applyBorder="1" applyAlignment="1">
      <alignment horizontal="left" vertical="top" wrapText="1"/>
    </xf>
    <xf numFmtId="0" fontId="5" fillId="5" borderId="2"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4"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27" borderId="4" xfId="0" applyFont="1" applyFill="1" applyBorder="1" applyAlignment="1">
      <alignment horizontal="left" vertical="top" wrapText="1"/>
    </xf>
    <xf numFmtId="0" fontId="14" fillId="27" borderId="3" xfId="0" applyFont="1" applyFill="1" applyBorder="1" applyAlignment="1">
      <alignment horizontal="left" vertical="top" wrapText="1"/>
    </xf>
    <xf numFmtId="0" fontId="5" fillId="0" borderId="4" xfId="0" applyFont="1" applyFill="1" applyBorder="1" applyAlignment="1">
      <alignment horizontal="left" vertical="top" wrapText="1"/>
    </xf>
    <xf numFmtId="0" fontId="5" fillId="18" borderId="2" xfId="0" applyFont="1" applyFill="1" applyBorder="1" applyAlignment="1">
      <alignment horizontal="left" vertical="top" wrapText="1"/>
    </xf>
    <xf numFmtId="0" fontId="5" fillId="8" borderId="2" xfId="0" applyFont="1" applyFill="1" applyBorder="1" applyAlignment="1">
      <alignment horizontal="left" vertical="top" wrapText="1"/>
    </xf>
    <xf numFmtId="0" fontId="5" fillId="4" borderId="2" xfId="0" applyFont="1" applyFill="1" applyBorder="1" applyAlignment="1">
      <alignment horizontal="left" vertical="top" wrapText="1"/>
    </xf>
    <xf numFmtId="0" fontId="5" fillId="0" borderId="19" xfId="0" applyFont="1" applyFill="1" applyBorder="1" applyAlignment="1">
      <alignment horizontal="left" vertical="top" wrapText="1"/>
    </xf>
    <xf numFmtId="0" fontId="14" fillId="5" borderId="2" xfId="0" applyFont="1" applyFill="1" applyBorder="1" applyAlignment="1">
      <alignment horizontal="left" vertical="top" wrapText="1"/>
    </xf>
    <xf numFmtId="0" fontId="14" fillId="11" borderId="2" xfId="0" applyFont="1" applyFill="1" applyBorder="1" applyAlignment="1">
      <alignment horizontal="left" vertical="top" wrapText="1"/>
    </xf>
    <xf numFmtId="0" fontId="14" fillId="18" borderId="2" xfId="0" applyFont="1" applyFill="1" applyBorder="1" applyAlignment="1">
      <alignment horizontal="left" vertical="top" wrapText="1"/>
    </xf>
    <xf numFmtId="0" fontId="14" fillId="18" borderId="3" xfId="0" applyFont="1" applyFill="1" applyBorder="1" applyAlignment="1">
      <alignment horizontal="left" vertical="top" wrapText="1"/>
    </xf>
    <xf numFmtId="0" fontId="10" fillId="4" borderId="1" xfId="0" applyFont="1" applyFill="1" applyBorder="1" applyAlignment="1">
      <alignment horizontal="left" vertical="top" wrapText="1"/>
    </xf>
    <xf numFmtId="0" fontId="5" fillId="3" borderId="2" xfId="0" applyFont="1" applyFill="1" applyBorder="1" applyAlignment="1">
      <alignment horizontal="left" vertical="top" wrapText="1"/>
    </xf>
    <xf numFmtId="0" fontId="5" fillId="3" borderId="4" xfId="0" applyFont="1" applyFill="1" applyBorder="1" applyAlignment="1">
      <alignment horizontal="left" vertical="top" wrapText="1"/>
    </xf>
    <xf numFmtId="0" fontId="5" fillId="4" borderId="1" xfId="0" applyFont="1" applyFill="1" applyBorder="1" applyAlignment="1">
      <alignment horizontal="left" vertical="top" wrapText="1"/>
    </xf>
    <xf numFmtId="0" fontId="14" fillId="23" borderId="2" xfId="0" applyFont="1" applyFill="1" applyBorder="1" applyAlignment="1">
      <alignment horizontal="left" vertical="top" wrapText="1"/>
    </xf>
    <xf numFmtId="0" fontId="14" fillId="15" borderId="4" xfId="0" applyFont="1" applyFill="1" applyBorder="1" applyAlignment="1">
      <alignment horizontal="left" vertical="top" wrapText="1"/>
    </xf>
    <xf numFmtId="0" fontId="14" fillId="35" borderId="2" xfId="0" applyFont="1" applyFill="1" applyBorder="1" applyAlignment="1">
      <alignment horizontal="left" vertical="top" wrapText="1"/>
    </xf>
    <xf numFmtId="0" fontId="61" fillId="2" borderId="1" xfId="0" applyFont="1" applyFill="1" applyBorder="1" applyAlignment="1">
      <alignment horizontal="left" vertical="top" wrapText="1"/>
    </xf>
    <xf numFmtId="0" fontId="67" fillId="2" borderId="1" xfId="0" applyFont="1" applyFill="1" applyBorder="1" applyAlignment="1">
      <alignment horizontal="left" vertical="top" wrapText="1"/>
    </xf>
    <xf numFmtId="0" fontId="61" fillId="2" borderId="2" xfId="0" applyFont="1" applyFill="1" applyBorder="1" applyAlignment="1">
      <alignment horizontal="left" vertical="top" wrapText="1"/>
    </xf>
    <xf numFmtId="0" fontId="61" fillId="2" borderId="3" xfId="0" applyFont="1" applyFill="1" applyBorder="1" applyAlignment="1">
      <alignment horizontal="left" vertical="top" wrapText="1"/>
    </xf>
    <xf numFmtId="0" fontId="14" fillId="13" borderId="3" xfId="0" applyFont="1" applyFill="1" applyBorder="1" applyAlignment="1">
      <alignment horizontal="left" vertical="top" wrapText="1"/>
    </xf>
    <xf numFmtId="0" fontId="18" fillId="15" borderId="2" xfId="0" applyFont="1" applyFill="1" applyBorder="1" applyAlignment="1" applyProtection="1">
      <alignment horizontal="left" vertical="top" wrapText="1"/>
      <protection locked="0"/>
    </xf>
    <xf numFmtId="0" fontId="18" fillId="15" borderId="4" xfId="0" applyFont="1" applyFill="1" applyBorder="1" applyAlignment="1" applyProtection="1">
      <alignment horizontal="left" vertical="top" wrapText="1"/>
      <protection locked="0"/>
    </xf>
    <xf numFmtId="0" fontId="18" fillId="15" borderId="3" xfId="0" applyFont="1" applyFill="1" applyBorder="1" applyAlignment="1" applyProtection="1">
      <alignment horizontal="left" vertical="top" wrapText="1"/>
      <protection locked="0"/>
    </xf>
    <xf numFmtId="0" fontId="11" fillId="23" borderId="2" xfId="0" applyFont="1" applyFill="1" applyBorder="1" applyAlignment="1" applyProtection="1">
      <alignment horizontal="left" vertical="top" wrapText="1"/>
      <protection locked="0"/>
    </xf>
    <xf numFmtId="0" fontId="18" fillId="23" borderId="4" xfId="0" applyFont="1" applyFill="1" applyBorder="1" applyAlignment="1" applyProtection="1">
      <alignment horizontal="left" vertical="top" wrapText="1"/>
      <protection locked="0"/>
    </xf>
    <xf numFmtId="0" fontId="18" fillId="23" borderId="3" xfId="0" applyFont="1" applyFill="1" applyBorder="1" applyAlignment="1" applyProtection="1">
      <alignment horizontal="left" vertical="top" wrapText="1"/>
      <protection locked="0"/>
    </xf>
    <xf numFmtId="0" fontId="14" fillId="18" borderId="1" xfId="0" applyFont="1" applyFill="1" applyBorder="1" applyAlignment="1">
      <alignment horizontal="left" vertical="top" wrapText="1"/>
    </xf>
    <xf numFmtId="0" fontId="5" fillId="35" borderId="1" xfId="0" applyFont="1" applyFill="1" applyBorder="1" applyAlignment="1">
      <alignment horizontal="left" vertical="top" wrapText="1"/>
    </xf>
    <xf numFmtId="0" fontId="5" fillId="35" borderId="2" xfId="0" applyFont="1" applyFill="1" applyBorder="1" applyAlignment="1">
      <alignment horizontal="left" vertical="top" wrapText="1"/>
    </xf>
    <xf numFmtId="0" fontId="33" fillId="25" borderId="1" xfId="0" applyFont="1" applyFill="1" applyBorder="1" applyAlignment="1">
      <alignment horizontal="left" vertical="top" wrapText="1"/>
    </xf>
    <xf numFmtId="0" fontId="39" fillId="10" borderId="27" xfId="0" applyFont="1" applyFill="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7" fillId="25" borderId="1" xfId="0" applyFont="1" applyFill="1" applyBorder="1" applyAlignment="1">
      <alignment horizontal="left" vertical="top" wrapText="1"/>
    </xf>
    <xf numFmtId="0" fontId="32" fillId="32" borderId="3" xfId="0" applyFont="1" applyFill="1" applyBorder="1" applyAlignment="1">
      <alignment horizontal="center" vertical="top" wrapText="1"/>
    </xf>
    <xf numFmtId="0" fontId="38" fillId="10" borderId="27" xfId="0" applyFont="1" applyFill="1" applyBorder="1" applyAlignment="1">
      <alignment horizontal="center" vertical="top" wrapText="1"/>
    </xf>
    <xf numFmtId="0" fontId="38" fillId="0" borderId="1" xfId="0" applyFont="1" applyBorder="1" applyAlignment="1">
      <alignment horizontal="left" vertical="top" wrapText="1"/>
    </xf>
    <xf numFmtId="0" fontId="38" fillId="25" borderId="1" xfId="0" applyFont="1" applyFill="1" applyBorder="1" applyAlignment="1">
      <alignment horizontal="left" vertical="top" wrapText="1"/>
    </xf>
    <xf numFmtId="0" fontId="48" fillId="25" borderId="1" xfId="0" applyFont="1" applyFill="1" applyBorder="1" applyAlignment="1">
      <alignment horizontal="left" vertical="top" wrapText="1"/>
    </xf>
    <xf numFmtId="0" fontId="48" fillId="25" borderId="2" xfId="0" applyFont="1" applyFill="1" applyBorder="1" applyAlignment="1">
      <alignment horizontal="left" vertical="top" wrapText="1"/>
    </xf>
    <xf numFmtId="0" fontId="45" fillId="25" borderId="0" xfId="0" applyFont="1" applyFill="1" applyAlignment="1">
      <alignment horizontal="left" vertical="top"/>
    </xf>
    <xf numFmtId="0" fontId="48" fillId="0" borderId="1" xfId="0" applyFont="1" applyBorder="1" applyAlignment="1">
      <alignment horizontal="left" vertical="top" wrapText="1"/>
    </xf>
    <xf numFmtId="0" fontId="38" fillId="10" borderId="0" xfId="0" applyFont="1" applyFill="1" applyAlignment="1">
      <alignment horizontal="center" vertical="top"/>
    </xf>
    <xf numFmtId="0" fontId="38" fillId="25" borderId="1" xfId="0" applyFont="1" applyFill="1" applyBorder="1" applyAlignment="1">
      <alignment horizontal="left" vertical="top"/>
    </xf>
    <xf numFmtId="0" fontId="11" fillId="15" borderId="2" xfId="0" applyFont="1" applyFill="1" applyBorder="1" applyAlignment="1" applyProtection="1">
      <alignment horizontal="left" vertical="top" wrapText="1"/>
      <protection locked="0"/>
    </xf>
    <xf numFmtId="0" fontId="14" fillId="7" borderId="4" xfId="0" applyFont="1" applyFill="1" applyBorder="1" applyAlignment="1">
      <alignment horizontal="left" vertical="top" wrapText="1"/>
    </xf>
    <xf numFmtId="0" fontId="14" fillId="18" borderId="3" xfId="0" applyFont="1" applyFill="1" applyBorder="1" applyAlignment="1">
      <alignment horizontal="left" vertical="top"/>
    </xf>
    <xf numFmtId="0" fontId="14" fillId="28" borderId="3" xfId="0" applyFont="1" applyFill="1" applyBorder="1" applyAlignment="1">
      <alignment horizontal="left" vertical="top" wrapText="1"/>
    </xf>
    <xf numFmtId="0" fontId="79" fillId="0" borderId="0" xfId="0" applyFont="1" applyAlignment="1">
      <alignment horizontal="left" vertical="top" wrapText="1"/>
    </xf>
    <xf numFmtId="0" fontId="80" fillId="0" borderId="1" xfId="15" applyFill="1" applyBorder="1" applyAlignment="1">
      <alignment horizontal="left" vertical="top" wrapText="1"/>
    </xf>
    <xf numFmtId="0" fontId="5" fillId="28" borderId="2" xfId="0" applyFont="1" applyFill="1" applyBorder="1" applyAlignment="1">
      <alignment vertical="top" wrapText="1"/>
    </xf>
    <xf numFmtId="167" fontId="18" fillId="39" borderId="1" xfId="11" applyNumberFormat="1" applyFont="1" applyFill="1" applyBorder="1" applyAlignment="1">
      <alignment horizontal="left" vertical="top" wrapText="1"/>
    </xf>
    <xf numFmtId="0" fontId="80" fillId="0" borderId="84" xfId="16" applyFill="1" applyBorder="1" applyAlignment="1">
      <alignment horizontal="left" vertical="center" wrapText="1"/>
    </xf>
    <xf numFmtId="0" fontId="80" fillId="0" borderId="5" xfId="16" applyNumberFormat="1" applyFill="1" applyBorder="1" applyAlignment="1">
      <alignment horizontal="left" vertical="top" wrapText="1"/>
    </xf>
    <xf numFmtId="0" fontId="14" fillId="6" borderId="4" xfId="3" applyFont="1" applyFill="1" applyBorder="1" applyAlignment="1">
      <alignment horizontal="left" vertical="top" wrapText="1"/>
    </xf>
    <xf numFmtId="0" fontId="14" fillId="3" borderId="1" xfId="0" applyFont="1" applyFill="1" applyBorder="1" applyAlignment="1">
      <alignment horizontal="left" vertical="top" wrapText="1"/>
    </xf>
    <xf numFmtId="0" fontId="14" fillId="5" borderId="2" xfId="0" applyFont="1" applyFill="1" applyBorder="1" applyAlignment="1">
      <alignment horizontal="left" vertical="top" wrapText="1"/>
    </xf>
    <xf numFmtId="0" fontId="14" fillId="35" borderId="3" xfId="0" applyFont="1" applyFill="1" applyBorder="1" applyAlignment="1">
      <alignment horizontal="left" vertical="top" wrapText="1"/>
    </xf>
    <xf numFmtId="9" fontId="14" fillId="0" borderId="1" xfId="1" applyNumberFormat="1" applyFont="1" applyFill="1" applyBorder="1" applyAlignment="1">
      <alignment horizontal="left" vertical="top" wrapText="1"/>
    </xf>
    <xf numFmtId="0" fontId="14" fillId="0" borderId="1" xfId="0" applyFont="1" applyFill="1" applyBorder="1" applyAlignment="1">
      <alignment horizontal="left" vertical="center" wrapText="1"/>
    </xf>
    <xf numFmtId="165" fontId="14" fillId="27" borderId="1" xfId="0" applyNumberFormat="1" applyFont="1" applyFill="1" applyBorder="1" applyAlignment="1">
      <alignment horizontal="left" vertical="top" wrapText="1"/>
    </xf>
    <xf numFmtId="167" fontId="14" fillId="17" borderId="1" xfId="11" applyNumberFormat="1" applyFont="1" applyFill="1" applyBorder="1" applyAlignment="1">
      <alignment horizontal="left" vertical="top" wrapText="1"/>
    </xf>
    <xf numFmtId="0" fontId="5" fillId="0" borderId="1" xfId="0" applyFont="1" applyFill="1" applyBorder="1" applyAlignment="1">
      <alignment horizontal="left" vertical="center" wrapText="1"/>
    </xf>
    <xf numFmtId="0" fontId="5" fillId="0" borderId="1" xfId="0" applyFont="1" applyFill="1" applyBorder="1" applyAlignment="1">
      <alignment horizontal="left" vertical="top" wrapText="1"/>
    </xf>
    <xf numFmtId="0" fontId="14" fillId="4" borderId="2" xfId="0" applyFont="1" applyFill="1" applyBorder="1" applyAlignment="1">
      <alignment horizontal="left" vertical="top" wrapText="1"/>
    </xf>
    <xf numFmtId="0" fontId="5" fillId="28" borderId="2" xfId="0" applyFont="1" applyFill="1" applyBorder="1" applyAlignment="1">
      <alignment horizontal="left" vertical="top" wrapText="1"/>
    </xf>
    <xf numFmtId="0" fontId="5" fillId="28" borderId="3" xfId="0" applyFont="1" applyFill="1" applyBorder="1" applyAlignment="1">
      <alignment horizontal="left" vertical="top" wrapText="1"/>
    </xf>
    <xf numFmtId="0" fontId="33" fillId="25" borderId="1" xfId="0" applyFont="1" applyFill="1" applyBorder="1" applyAlignment="1">
      <alignment horizontal="left" vertical="top" wrapText="1"/>
    </xf>
    <xf numFmtId="0" fontId="39" fillId="0" borderId="1" xfId="0" applyFont="1" applyBorder="1" applyAlignment="1">
      <alignment horizontal="left" vertical="top" wrapText="1"/>
    </xf>
    <xf numFmtId="0" fontId="33" fillId="37" borderId="1" xfId="0" applyFont="1" applyFill="1" applyBorder="1" applyAlignment="1">
      <alignment horizontal="left" vertical="top" wrapText="1"/>
    </xf>
    <xf numFmtId="0" fontId="14" fillId="28" borderId="4" xfId="0" applyFont="1" applyFill="1" applyBorder="1" applyAlignment="1">
      <alignment horizontal="left" vertical="top" wrapText="1"/>
    </xf>
    <xf numFmtId="0" fontId="37" fillId="37" borderId="1" xfId="0" applyFont="1" applyFill="1" applyBorder="1" applyAlignment="1">
      <alignment horizontal="left" vertical="top" wrapText="1"/>
    </xf>
    <xf numFmtId="0" fontId="81" fillId="25" borderId="1" xfId="0" applyFont="1" applyFill="1" applyBorder="1" applyAlignment="1">
      <alignment horizontal="left" vertical="top" wrapText="1"/>
    </xf>
    <xf numFmtId="167" fontId="18" fillId="25" borderId="0" xfId="11" applyNumberFormat="1" applyFont="1" applyFill="1" applyBorder="1" applyAlignment="1">
      <alignment horizontal="left" vertical="top" wrapText="1"/>
    </xf>
    <xf numFmtId="0" fontId="49" fillId="25" borderId="44" xfId="0" applyFont="1" applyFill="1" applyBorder="1" applyAlignment="1">
      <alignment horizontal="left" vertical="top" wrapText="1"/>
    </xf>
    <xf numFmtId="0" fontId="49" fillId="25" borderId="1" xfId="0" applyFont="1" applyFill="1" applyBorder="1" applyAlignment="1">
      <alignment horizontal="left" vertical="top" wrapText="1"/>
    </xf>
    <xf numFmtId="9" fontId="43" fillId="25" borderId="1" xfId="0" applyNumberFormat="1" applyFont="1" applyFill="1" applyBorder="1" applyAlignment="1">
      <alignment horizontal="left" vertical="top" wrapText="1"/>
    </xf>
    <xf numFmtId="165" fontId="14" fillId="15" borderId="3" xfId="0" applyNumberFormat="1" applyFont="1" applyFill="1" applyBorder="1" applyAlignment="1">
      <alignment horizontal="left" vertical="top" wrapText="1"/>
    </xf>
    <xf numFmtId="0" fontId="37" fillId="25" borderId="1" xfId="0" applyFont="1" applyFill="1" applyBorder="1" applyAlignment="1">
      <alignment horizontal="left" vertical="top" wrapText="1"/>
    </xf>
    <xf numFmtId="0" fontId="33" fillId="25" borderId="1" xfId="0" applyFont="1" applyFill="1" applyBorder="1" applyAlignment="1">
      <alignment horizontal="left" vertical="top" wrapText="1"/>
    </xf>
    <xf numFmtId="0" fontId="38" fillId="25" borderId="1" xfId="0" applyFont="1" applyFill="1" applyBorder="1" applyAlignment="1">
      <alignment horizontal="left" vertical="top" wrapText="1"/>
    </xf>
    <xf numFmtId="9" fontId="38" fillId="37" borderId="1" xfId="0" applyNumberFormat="1" applyFont="1" applyFill="1" applyBorder="1" applyAlignment="1">
      <alignment horizontal="left" vertical="top" wrapText="1"/>
    </xf>
    <xf numFmtId="0" fontId="37" fillId="38" borderId="1" xfId="0" applyFont="1" applyFill="1" applyBorder="1" applyAlignment="1">
      <alignment horizontal="left" vertical="top" wrapText="1"/>
    </xf>
    <xf numFmtId="0" fontId="38" fillId="37" borderId="44" xfId="0" applyFont="1" applyFill="1" applyBorder="1" applyAlignment="1">
      <alignment horizontal="left" vertical="top" wrapText="1"/>
    </xf>
    <xf numFmtId="0" fontId="48" fillId="37" borderId="44" xfId="0" applyFont="1" applyFill="1" applyBorder="1" applyAlignment="1">
      <alignment horizontal="left" vertical="top" wrapText="1"/>
    </xf>
    <xf numFmtId="9" fontId="48" fillId="37" borderId="44" xfId="0" applyNumberFormat="1" applyFont="1" applyFill="1" applyBorder="1" applyAlignment="1">
      <alignment horizontal="left" vertical="top" wrapText="1"/>
    </xf>
    <xf numFmtId="0" fontId="38" fillId="37" borderId="0" xfId="0" applyFont="1" applyFill="1" applyAlignment="1">
      <alignment horizontal="left" vertical="top"/>
    </xf>
    <xf numFmtId="0" fontId="33" fillId="37" borderId="1" xfId="0" applyFont="1" applyFill="1" applyBorder="1" applyAlignment="1">
      <alignment horizontal="center" vertical="center" wrapText="1"/>
    </xf>
    <xf numFmtId="0" fontId="33" fillId="37" borderId="16" xfId="0" applyFont="1" applyFill="1" applyBorder="1" applyAlignment="1">
      <alignment horizontal="center" vertical="center" wrapText="1"/>
    </xf>
    <xf numFmtId="0" fontId="33" fillId="37" borderId="34" xfId="0" applyFont="1" applyFill="1" applyBorder="1" applyAlignment="1">
      <alignment horizontal="left" vertical="top" wrapText="1"/>
    </xf>
    <xf numFmtId="9" fontId="37" fillId="37" borderId="1" xfId="0" applyNumberFormat="1" applyFont="1" applyFill="1" applyBorder="1" applyAlignment="1">
      <alignment horizontal="left" vertical="top" wrapText="1"/>
    </xf>
    <xf numFmtId="9" fontId="33" fillId="37" borderId="1" xfId="0" applyNumberFormat="1" applyFont="1" applyFill="1" applyBorder="1" applyAlignment="1">
      <alignment horizontal="left" vertical="top" wrapText="1"/>
    </xf>
    <xf numFmtId="0" fontId="33" fillId="37" borderId="16" xfId="0" applyFont="1" applyFill="1" applyBorder="1" applyAlignment="1">
      <alignment horizontal="left" vertical="top" wrapText="1"/>
    </xf>
    <xf numFmtId="0" fontId="33" fillId="37" borderId="15" xfId="0" applyFont="1" applyFill="1" applyBorder="1" applyAlignment="1">
      <alignment horizontal="left" vertical="top" wrapText="1"/>
    </xf>
    <xf numFmtId="0" fontId="33" fillId="37" borderId="0" xfId="0" applyFont="1" applyFill="1" applyAlignment="1">
      <alignment horizontal="left" vertical="center" wrapText="1"/>
    </xf>
    <xf numFmtId="0" fontId="33" fillId="37" borderId="0" xfId="0" applyFont="1" applyFill="1"/>
    <xf numFmtId="0" fontId="0" fillId="37" borderId="0" xfId="0" applyFill="1"/>
    <xf numFmtId="0" fontId="0" fillId="37" borderId="0" xfId="0" applyFill="1" applyAlignment="1">
      <alignment vertical="center"/>
    </xf>
    <xf numFmtId="9" fontId="48" fillId="16" borderId="44" xfId="0" applyNumberFormat="1" applyFont="1" applyFill="1" applyBorder="1" applyAlignment="1">
      <alignment horizontal="left" vertical="top" wrapText="1"/>
    </xf>
    <xf numFmtId="9" fontId="38" fillId="0" borderId="3" xfId="1" applyFont="1" applyBorder="1" applyAlignment="1">
      <alignment horizontal="left" vertical="top" wrapText="1"/>
    </xf>
    <xf numFmtId="0" fontId="33" fillId="25" borderId="1" xfId="0" applyFont="1" applyFill="1" applyBorder="1" applyAlignment="1">
      <alignment horizontal="left" vertical="top" wrapText="1"/>
    </xf>
    <xf numFmtId="0" fontId="38" fillId="25" borderId="1" xfId="0" applyFont="1" applyFill="1" applyBorder="1" applyAlignment="1">
      <alignment horizontal="left" vertical="top" wrapText="1"/>
    </xf>
    <xf numFmtId="0" fontId="5" fillId="15" borderId="2" xfId="0" applyFont="1" applyFill="1" applyBorder="1" applyAlignment="1">
      <alignment horizontal="left" vertical="top" wrapText="1"/>
    </xf>
    <xf numFmtId="0" fontId="15" fillId="27" borderId="2" xfId="0" applyFont="1" applyFill="1" applyBorder="1" applyAlignment="1">
      <alignment horizontal="left" vertical="top" wrapText="1"/>
    </xf>
    <xf numFmtId="171" fontId="0" fillId="0" borderId="0" xfId="0" applyNumberFormat="1" applyFill="1"/>
    <xf numFmtId="0" fontId="33" fillId="26" borderId="1" xfId="0" applyFont="1" applyFill="1" applyBorder="1" applyAlignment="1">
      <alignment horizontal="left" vertical="top" wrapText="1"/>
    </xf>
    <xf numFmtId="0" fontId="14" fillId="6" borderId="2" xfId="3" applyFont="1" applyFill="1" applyBorder="1" applyAlignment="1">
      <alignment horizontal="left" vertical="top" wrapText="1"/>
    </xf>
    <xf numFmtId="0" fontId="15" fillId="6" borderId="2" xfId="0" applyFont="1" applyFill="1" applyBorder="1" applyAlignment="1">
      <alignment horizontal="center" vertical="top" wrapText="1"/>
    </xf>
    <xf numFmtId="0" fontId="10" fillId="6" borderId="2" xfId="0" applyFont="1" applyFill="1" applyBorder="1" applyAlignment="1">
      <alignment horizontal="center" vertical="top" wrapText="1"/>
    </xf>
    <xf numFmtId="0" fontId="61" fillId="2" borderId="1" xfId="0" applyFont="1" applyFill="1" applyBorder="1" applyAlignment="1">
      <alignment horizontal="left" vertical="top" wrapText="1"/>
    </xf>
    <xf numFmtId="0" fontId="14" fillId="0" borderId="3" xfId="0" applyFont="1" applyFill="1" applyBorder="1" applyAlignment="1">
      <alignment horizontal="left" vertical="top" wrapText="1"/>
    </xf>
    <xf numFmtId="165" fontId="14" fillId="25" borderId="3" xfId="0" applyNumberFormat="1" applyFont="1" applyFill="1" applyBorder="1" applyAlignment="1">
      <alignment horizontal="left" vertical="top" wrapText="1"/>
    </xf>
    <xf numFmtId="0" fontId="14" fillId="13" borderId="3" xfId="0" applyFont="1" applyFill="1" applyBorder="1" applyAlignment="1">
      <alignment horizontal="left" vertical="top" wrapText="1"/>
    </xf>
    <xf numFmtId="0" fontId="5" fillId="0" borderId="4" xfId="0" applyFont="1" applyFill="1" applyBorder="1" applyAlignment="1">
      <alignment horizontal="left" vertical="top" wrapText="1"/>
    </xf>
    <xf numFmtId="0" fontId="14" fillId="23" borderId="2" xfId="0" applyFont="1" applyFill="1" applyBorder="1" applyAlignment="1">
      <alignment horizontal="left" vertical="top" wrapText="1"/>
    </xf>
    <xf numFmtId="0" fontId="14" fillId="23" borderId="4" xfId="0" applyFont="1" applyFill="1" applyBorder="1" applyAlignment="1">
      <alignment horizontal="left" vertical="top" wrapText="1"/>
    </xf>
    <xf numFmtId="0" fontId="14" fillId="23" borderId="3" xfId="0" applyFont="1" applyFill="1" applyBorder="1" applyAlignment="1">
      <alignment horizontal="left" vertical="top" wrapText="1"/>
    </xf>
    <xf numFmtId="0" fontId="18" fillId="39" borderId="1" xfId="0" applyFont="1" applyFill="1" applyBorder="1" applyAlignment="1">
      <alignment horizontal="left" vertical="top" wrapText="1"/>
    </xf>
    <xf numFmtId="1" fontId="14" fillId="0" borderId="1" xfId="0" applyNumberFormat="1" applyFont="1" applyFill="1" applyBorder="1" applyAlignment="1">
      <alignment horizontal="left" vertical="top" wrapText="1"/>
    </xf>
    <xf numFmtId="1" fontId="61" fillId="2" borderId="1" xfId="0" applyNumberFormat="1" applyFont="1" applyFill="1" applyBorder="1" applyAlignment="1">
      <alignment horizontal="left" vertical="top" wrapText="1"/>
    </xf>
    <xf numFmtId="1" fontId="14" fillId="0" borderId="1" xfId="1" applyNumberFormat="1" applyFont="1" applyFill="1" applyBorder="1" applyAlignment="1">
      <alignment horizontal="left" vertical="top" wrapText="1"/>
    </xf>
    <xf numFmtId="1" fontId="14" fillId="0" borderId="0" xfId="0" applyNumberFormat="1" applyFont="1" applyFill="1" applyAlignment="1">
      <alignment horizontal="left" vertical="top" wrapText="1"/>
    </xf>
    <xf numFmtId="1" fontId="0" fillId="0" borderId="0" xfId="0" applyNumberFormat="1" applyFill="1" applyAlignment="1">
      <alignment horizontal="left" vertical="top" wrapText="1"/>
    </xf>
    <xf numFmtId="3" fontId="14" fillId="0" borderId="1" xfId="0" applyNumberFormat="1" applyFont="1" applyFill="1" applyBorder="1" applyAlignment="1">
      <alignment horizontal="left" vertical="top" wrapText="1"/>
    </xf>
    <xf numFmtId="0" fontId="14" fillId="21" borderId="4" xfId="0" applyFont="1" applyFill="1" applyBorder="1" applyAlignment="1">
      <alignment vertical="top" wrapText="1"/>
    </xf>
    <xf numFmtId="4" fontId="14" fillId="0" borderId="1" xfId="0" applyNumberFormat="1" applyFont="1" applyFill="1" applyBorder="1" applyAlignment="1">
      <alignment horizontal="left" vertical="top" wrapText="1"/>
    </xf>
    <xf numFmtId="10" fontId="14" fillId="25" borderId="1" xfId="1" applyNumberFormat="1" applyFont="1" applyFill="1" applyBorder="1" applyAlignment="1">
      <alignment horizontal="left" vertical="top" wrapText="1"/>
    </xf>
    <xf numFmtId="0" fontId="10" fillId="10" borderId="1" xfId="0" applyFont="1" applyFill="1" applyBorder="1" applyAlignment="1">
      <alignment horizontal="left" vertical="top" wrapText="1"/>
    </xf>
    <xf numFmtId="0" fontId="14" fillId="21" borderId="2" xfId="0" applyFont="1" applyFill="1" applyBorder="1" applyAlignment="1">
      <alignment vertical="top" wrapText="1"/>
    </xf>
    <xf numFmtId="0" fontId="14" fillId="3" borderId="4" xfId="0" applyFont="1" applyFill="1" applyBorder="1" applyAlignment="1">
      <alignment horizontal="left" vertical="top" wrapText="1"/>
    </xf>
    <xf numFmtId="0" fontId="14" fillId="3" borderId="3" xfId="0" applyFont="1" applyFill="1" applyBorder="1" applyAlignment="1">
      <alignment horizontal="left" vertical="top" wrapText="1"/>
    </xf>
    <xf numFmtId="0" fontId="5" fillId="15" borderId="3" xfId="0" applyFont="1" applyFill="1" applyBorder="1" applyAlignment="1">
      <alignment horizontal="left" vertical="top" wrapText="1"/>
    </xf>
    <xf numFmtId="0" fontId="5" fillId="16" borderId="4" xfId="0" applyFont="1" applyFill="1" applyBorder="1" applyAlignment="1">
      <alignment horizontal="left" vertical="top" wrapText="1"/>
    </xf>
    <xf numFmtId="0" fontId="14" fillId="15" borderId="2" xfId="0" applyFont="1" applyFill="1" applyBorder="1" applyAlignment="1">
      <alignment horizontal="left" vertical="top" wrapText="1"/>
    </xf>
    <xf numFmtId="0" fontId="10" fillId="21" borderId="1" xfId="0" applyFont="1" applyFill="1" applyBorder="1" applyAlignment="1">
      <alignment horizontal="left" vertical="top" wrapText="1"/>
    </xf>
    <xf numFmtId="1" fontId="14" fillId="25" borderId="1" xfId="0" applyNumberFormat="1" applyFont="1" applyFill="1" applyBorder="1" applyAlignment="1">
      <alignment horizontal="left" vertical="top" wrapText="1"/>
    </xf>
    <xf numFmtId="0" fontId="83" fillId="0" borderId="82" xfId="16" applyFont="1" applyFill="1" applyBorder="1" applyAlignment="1">
      <alignment horizontal="left" vertical="top" wrapText="1"/>
    </xf>
    <xf numFmtId="0" fontId="84" fillId="0" borderId="82" xfId="0" applyFont="1" applyFill="1" applyBorder="1" applyAlignment="1">
      <alignment horizontal="left" vertical="top" wrapText="1"/>
    </xf>
    <xf numFmtId="0" fontId="83" fillId="0" borderId="82" xfId="15" applyFont="1" applyFill="1" applyBorder="1" applyAlignment="1">
      <alignment horizontal="left" vertical="top" wrapText="1"/>
    </xf>
    <xf numFmtId="9" fontId="84" fillId="0" borderId="82" xfId="1" applyFont="1" applyFill="1" applyBorder="1" applyAlignment="1">
      <alignment horizontal="left" vertical="top" wrapText="1"/>
    </xf>
    <xf numFmtId="0" fontId="80" fillId="0" borderId="1" xfId="16" applyFill="1" applyBorder="1" applyAlignment="1">
      <alignment horizontal="left" vertical="top" wrapText="1"/>
    </xf>
    <xf numFmtId="0" fontId="14" fillId="0" borderId="1" xfId="0" applyFont="1" applyFill="1" applyBorder="1" applyAlignment="1">
      <alignment horizontal="left" wrapText="1"/>
    </xf>
    <xf numFmtId="0" fontId="80" fillId="0" borderId="0" xfId="16" applyFill="1" applyAlignment="1">
      <alignment vertical="top" wrapText="1"/>
    </xf>
    <xf numFmtId="2" fontId="14" fillId="0" borderId="1" xfId="0" applyNumberFormat="1" applyFont="1" applyFill="1" applyBorder="1" applyAlignment="1">
      <alignment horizontal="left" wrapText="1"/>
    </xf>
    <xf numFmtId="0" fontId="5" fillId="38" borderId="2" xfId="0" applyFont="1" applyFill="1" applyBorder="1" applyAlignment="1">
      <alignment horizontal="left" vertical="top" wrapText="1"/>
    </xf>
    <xf numFmtId="0" fontId="14" fillId="38" borderId="2" xfId="0" applyFont="1" applyFill="1" applyBorder="1" applyAlignment="1">
      <alignment horizontal="left" vertical="top" wrapText="1"/>
    </xf>
    <xf numFmtId="0" fontId="14" fillId="4" borderId="2" xfId="0" applyFont="1" applyFill="1" applyBorder="1" applyAlignment="1">
      <alignment horizontal="left" vertical="top" wrapText="1"/>
    </xf>
    <xf numFmtId="0" fontId="10" fillId="4" borderId="2" xfId="0" applyFont="1" applyFill="1" applyBorder="1" applyAlignment="1">
      <alignment horizontal="left" vertical="top" wrapText="1"/>
    </xf>
    <xf numFmtId="0" fontId="5" fillId="28" borderId="4" xfId="0" applyFont="1" applyFill="1" applyBorder="1" applyAlignment="1">
      <alignment horizontal="left" vertical="top" wrapText="1"/>
    </xf>
    <xf numFmtId="0" fontId="14" fillId="11" borderId="2" xfId="0" applyFont="1" applyFill="1" applyBorder="1" applyAlignment="1">
      <alignment horizontal="left" vertical="top" wrapText="1"/>
    </xf>
    <xf numFmtId="0" fontId="80" fillId="0" borderId="82" xfId="15" applyFill="1" applyBorder="1" applyAlignment="1">
      <alignment horizontal="left" vertical="top" wrapText="1"/>
    </xf>
    <xf numFmtId="0" fontId="80" fillId="0" borderId="0" xfId="15" applyFill="1" applyAlignment="1">
      <alignment wrapText="1"/>
    </xf>
    <xf numFmtId="0" fontId="5" fillId="18" borderId="3" xfId="0" applyFont="1" applyFill="1" applyBorder="1" applyAlignment="1">
      <alignment horizontal="left" vertical="top" wrapText="1"/>
    </xf>
    <xf numFmtId="0" fontId="14" fillId="10" borderId="2" xfId="0" applyFont="1" applyFill="1" applyBorder="1" applyAlignment="1">
      <alignment horizontal="left" vertical="top" wrapText="1"/>
    </xf>
    <xf numFmtId="0" fontId="14" fillId="10" borderId="3" xfId="0" applyFont="1" applyFill="1" applyBorder="1" applyAlignment="1">
      <alignment horizontal="left" vertical="top" wrapText="1"/>
    </xf>
    <xf numFmtId="0" fontId="61" fillId="2" borderId="1" xfId="0" applyFont="1" applyFill="1" applyBorder="1" applyAlignment="1">
      <alignment horizontal="center" vertical="top" wrapText="1"/>
    </xf>
    <xf numFmtId="0" fontId="14" fillId="0" borderId="0" xfId="0" applyFont="1" applyFill="1" applyAlignment="1">
      <alignment horizontal="center" vertical="top" wrapText="1"/>
    </xf>
    <xf numFmtId="0" fontId="12" fillId="0" borderId="0" xfId="0" applyFont="1" applyFill="1" applyAlignment="1">
      <alignment horizontal="center" vertical="top" wrapText="1"/>
    </xf>
    <xf numFmtId="10" fontId="61" fillId="2" borderId="1" xfId="1" applyNumberFormat="1" applyFont="1" applyFill="1" applyBorder="1" applyAlignment="1">
      <alignment horizontal="center" vertical="top" wrapText="1"/>
    </xf>
    <xf numFmtId="2" fontId="61" fillId="2" borderId="1" xfId="0" applyNumberFormat="1" applyFont="1" applyFill="1" applyBorder="1" applyAlignment="1">
      <alignment horizontal="center" vertical="top" wrapText="1"/>
    </xf>
    <xf numFmtId="1" fontId="61" fillId="2" borderId="1" xfId="0" applyNumberFormat="1" applyFont="1" applyFill="1" applyBorder="1" applyAlignment="1">
      <alignment horizontal="center" vertical="top" wrapText="1"/>
    </xf>
    <xf numFmtId="0" fontId="15" fillId="10" borderId="1" xfId="0" applyFont="1" applyFill="1" applyBorder="1" applyAlignment="1">
      <alignment horizontal="left" vertical="top" wrapText="1"/>
    </xf>
    <xf numFmtId="0" fontId="14" fillId="10" borderId="1" xfId="0" applyFont="1" applyFill="1" applyBorder="1" applyAlignment="1">
      <alignment vertical="top" wrapText="1"/>
    </xf>
    <xf numFmtId="0" fontId="14" fillId="10" borderId="3" xfId="0" applyFont="1" applyFill="1" applyBorder="1" applyAlignment="1">
      <alignment vertical="top" wrapText="1"/>
    </xf>
    <xf numFmtId="0" fontId="18" fillId="10" borderId="1" xfId="0" applyFont="1" applyFill="1" applyBorder="1" applyAlignment="1">
      <alignment horizontal="left" vertical="top" wrapText="1"/>
    </xf>
    <xf numFmtId="0" fontId="18" fillId="10" borderId="1" xfId="0" applyFont="1" applyFill="1" applyBorder="1" applyAlignment="1" applyProtection="1">
      <alignment horizontal="left" vertical="top" wrapText="1"/>
      <protection locked="0"/>
    </xf>
    <xf numFmtId="0" fontId="14" fillId="10" borderId="1" xfId="3" applyFont="1" applyFill="1" applyBorder="1" applyAlignment="1">
      <alignment horizontal="left" vertical="top" wrapText="1"/>
    </xf>
    <xf numFmtId="0" fontId="14" fillId="10" borderId="1" xfId="0" quotePrefix="1" applyFont="1" applyFill="1" applyBorder="1" applyAlignment="1">
      <alignment horizontal="left" vertical="top" wrapText="1"/>
    </xf>
    <xf numFmtId="0" fontId="5" fillId="29" borderId="2" xfId="0" applyFont="1" applyFill="1" applyBorder="1" applyAlignment="1">
      <alignment horizontal="center" vertical="top" wrapText="1"/>
    </xf>
    <xf numFmtId="0" fontId="5" fillId="29" borderId="4" xfId="0" applyFont="1" applyFill="1" applyBorder="1" applyAlignment="1">
      <alignment horizontal="center" vertical="top" wrapText="1"/>
    </xf>
    <xf numFmtId="0" fontId="5" fillId="29" borderId="3" xfId="0" applyFont="1" applyFill="1" applyBorder="1" applyAlignment="1">
      <alignment horizontal="center" vertical="top" wrapText="1"/>
    </xf>
    <xf numFmtId="0" fontId="14" fillId="3" borderId="2" xfId="0" applyFont="1" applyFill="1" applyBorder="1" applyAlignment="1">
      <alignment horizontal="center" vertical="top" wrapText="1"/>
    </xf>
    <xf numFmtId="0" fontId="14" fillId="3" borderId="4" xfId="0" applyFont="1" applyFill="1" applyBorder="1" applyAlignment="1">
      <alignment horizontal="center" vertical="top" wrapText="1"/>
    </xf>
    <xf numFmtId="0" fontId="14" fillId="3" borderId="3" xfId="0" applyFont="1" applyFill="1" applyBorder="1" applyAlignment="1">
      <alignment horizontal="center" vertical="top" wrapText="1"/>
    </xf>
    <xf numFmtId="0" fontId="5" fillId="5" borderId="1" xfId="0" applyFont="1" applyFill="1" applyBorder="1" applyAlignment="1">
      <alignment horizontal="center" vertical="top" wrapText="1"/>
    </xf>
    <xf numFmtId="0" fontId="14" fillId="3" borderId="2" xfId="0" applyFont="1" applyFill="1" applyBorder="1" applyAlignment="1">
      <alignment horizontal="left" vertical="top" wrapText="1"/>
    </xf>
    <xf numFmtId="0" fontId="14" fillId="3" borderId="4" xfId="0" applyFont="1" applyFill="1" applyBorder="1" applyAlignment="1">
      <alignment horizontal="left" vertical="top" wrapText="1"/>
    </xf>
    <xf numFmtId="0" fontId="14" fillId="3" borderId="3" xfId="0" applyFont="1" applyFill="1" applyBorder="1" applyAlignment="1">
      <alignment horizontal="left" vertical="top" wrapText="1"/>
    </xf>
    <xf numFmtId="0" fontId="5" fillId="7" borderId="2" xfId="0" applyFont="1" applyFill="1" applyBorder="1" applyAlignment="1">
      <alignment horizontal="left" vertical="top" wrapText="1"/>
    </xf>
    <xf numFmtId="0" fontId="5" fillId="7" borderId="4" xfId="0" applyFont="1" applyFill="1" applyBorder="1" applyAlignment="1">
      <alignment horizontal="left" vertical="top" wrapText="1"/>
    </xf>
    <xf numFmtId="0" fontId="5" fillId="7" borderId="3" xfId="0" applyFont="1" applyFill="1" applyBorder="1" applyAlignment="1">
      <alignment horizontal="left" vertical="top" wrapText="1"/>
    </xf>
    <xf numFmtId="0" fontId="11" fillId="23" borderId="4" xfId="0" applyFont="1" applyFill="1" applyBorder="1" applyAlignment="1" applyProtection="1">
      <alignment horizontal="left" vertical="top" wrapText="1"/>
      <protection locked="0"/>
    </xf>
    <xf numFmtId="0" fontId="11" fillId="23" borderId="3" xfId="0" applyFont="1" applyFill="1" applyBorder="1" applyAlignment="1" applyProtection="1">
      <alignment horizontal="left" vertical="top" wrapText="1"/>
      <protection locked="0"/>
    </xf>
    <xf numFmtId="0" fontId="5" fillId="8" borderId="2" xfId="0" applyFont="1" applyFill="1" applyBorder="1" applyAlignment="1">
      <alignment horizontal="center" vertical="top" wrapText="1"/>
    </xf>
    <xf numFmtId="0" fontId="5" fillId="8" borderId="4" xfId="0" applyFont="1" applyFill="1" applyBorder="1" applyAlignment="1">
      <alignment horizontal="center" vertical="top" wrapText="1"/>
    </xf>
    <xf numFmtId="0" fontId="5" fillId="8" borderId="3" xfId="0" applyFont="1" applyFill="1" applyBorder="1" applyAlignment="1">
      <alignment horizontal="center" vertical="top" wrapText="1"/>
    </xf>
    <xf numFmtId="0" fontId="5" fillId="4" borderId="2" xfId="0" applyFont="1" applyFill="1" applyBorder="1" applyAlignment="1">
      <alignment horizontal="left" vertical="top" wrapText="1"/>
    </xf>
    <xf numFmtId="0" fontId="5" fillId="4" borderId="4" xfId="0" applyFont="1" applyFill="1" applyBorder="1" applyAlignment="1">
      <alignment horizontal="left" vertical="top" wrapText="1"/>
    </xf>
    <xf numFmtId="0" fontId="5" fillId="15" borderId="2" xfId="0" applyFont="1" applyFill="1" applyBorder="1" applyAlignment="1">
      <alignment horizontal="left" vertical="top" wrapText="1"/>
    </xf>
    <xf numFmtId="0" fontId="5" fillId="15" borderId="3" xfId="0" applyFont="1" applyFill="1" applyBorder="1" applyAlignment="1">
      <alignment horizontal="left" vertical="top" wrapText="1"/>
    </xf>
    <xf numFmtId="0" fontId="5" fillId="5" borderId="2" xfId="0" applyFont="1" applyFill="1" applyBorder="1" applyAlignment="1">
      <alignment horizontal="left" vertical="top" wrapText="1"/>
    </xf>
    <xf numFmtId="0" fontId="5" fillId="5" borderId="4" xfId="0" applyFont="1" applyFill="1" applyBorder="1" applyAlignment="1">
      <alignment horizontal="left" vertical="top" wrapText="1"/>
    </xf>
    <xf numFmtId="0" fontId="11" fillId="15" borderId="2" xfId="0" applyFont="1" applyFill="1" applyBorder="1" applyAlignment="1" applyProtection="1">
      <alignment horizontal="left" vertical="top" wrapText="1"/>
      <protection locked="0"/>
    </xf>
    <xf numFmtId="0" fontId="11" fillId="15" borderId="4" xfId="0" applyFont="1" applyFill="1" applyBorder="1" applyAlignment="1" applyProtection="1">
      <alignment horizontal="left" vertical="top" wrapText="1"/>
      <protection locked="0"/>
    </xf>
    <xf numFmtId="0" fontId="11" fillId="15" borderId="3" xfId="0" applyFont="1" applyFill="1" applyBorder="1" applyAlignment="1" applyProtection="1">
      <alignment horizontal="left" vertical="top" wrapText="1"/>
      <protection locked="0"/>
    </xf>
    <xf numFmtId="0" fontId="14" fillId="6" borderId="2" xfId="3" applyFont="1" applyFill="1" applyBorder="1" applyAlignment="1">
      <alignment horizontal="left" vertical="top" wrapText="1"/>
    </xf>
    <xf numFmtId="0" fontId="14" fillId="6" borderId="4" xfId="3" applyFont="1" applyFill="1" applyBorder="1" applyAlignment="1">
      <alignment horizontal="left" vertical="top" wrapText="1"/>
    </xf>
    <xf numFmtId="0" fontId="5" fillId="13" borderId="1" xfId="0" applyFont="1" applyFill="1" applyBorder="1" applyAlignment="1">
      <alignment horizontal="left" vertical="top" wrapText="1"/>
    </xf>
    <xf numFmtId="0" fontId="14" fillId="13" borderId="1" xfId="0" applyFont="1" applyFill="1" applyBorder="1" applyAlignment="1">
      <alignment horizontal="left" vertical="top" wrapText="1"/>
    </xf>
    <xf numFmtId="0" fontId="5" fillId="7" borderId="2" xfId="0" applyFont="1" applyFill="1" applyBorder="1" applyAlignment="1">
      <alignment horizontal="center" vertical="top" wrapText="1"/>
    </xf>
    <xf numFmtId="0" fontId="5" fillId="7" borderId="4" xfId="0" applyFont="1" applyFill="1" applyBorder="1" applyAlignment="1">
      <alignment horizontal="center" vertical="top" wrapText="1"/>
    </xf>
    <xf numFmtId="0" fontId="5" fillId="7" borderId="3" xfId="0" applyFont="1" applyFill="1" applyBorder="1" applyAlignment="1">
      <alignment horizontal="center" vertical="top" wrapText="1"/>
    </xf>
    <xf numFmtId="0" fontId="14" fillId="15" borderId="2" xfId="0" applyFont="1" applyFill="1" applyBorder="1" applyAlignment="1">
      <alignment horizontal="left" vertical="top" wrapText="1"/>
    </xf>
    <xf numFmtId="0" fontId="14" fillId="15" borderId="4" xfId="0" applyFont="1" applyFill="1" applyBorder="1" applyAlignment="1">
      <alignment horizontal="left" vertical="top" wrapText="1"/>
    </xf>
    <xf numFmtId="0" fontId="10" fillId="6" borderId="2" xfId="0" applyFont="1" applyFill="1" applyBorder="1" applyAlignment="1">
      <alignment horizontal="left" vertical="top" wrapText="1"/>
    </xf>
    <xf numFmtId="0" fontId="10" fillId="6" borderId="4" xfId="0" applyFont="1" applyFill="1" applyBorder="1" applyAlignment="1">
      <alignment horizontal="left" vertical="top" wrapText="1"/>
    </xf>
    <xf numFmtId="0" fontId="5" fillId="18" borderId="2" xfId="0" applyFont="1" applyFill="1" applyBorder="1" applyAlignment="1">
      <alignment horizontal="center" vertical="top" wrapText="1"/>
    </xf>
    <xf numFmtId="0" fontId="5" fillId="18" borderId="4" xfId="0" applyFont="1" applyFill="1" applyBorder="1" applyAlignment="1">
      <alignment horizontal="center" vertical="top" wrapText="1"/>
    </xf>
    <xf numFmtId="0" fontId="5" fillId="19" borderId="1" xfId="0" applyFont="1" applyFill="1" applyBorder="1" applyAlignment="1">
      <alignment horizontal="center" vertical="top" wrapText="1"/>
    </xf>
    <xf numFmtId="0" fontId="10" fillId="6" borderId="3" xfId="0" applyFont="1" applyFill="1" applyBorder="1" applyAlignment="1">
      <alignment horizontal="left" vertical="top" wrapText="1"/>
    </xf>
    <xf numFmtId="0" fontId="10" fillId="6" borderId="2" xfId="0" applyFont="1" applyFill="1" applyBorder="1" applyAlignment="1">
      <alignment horizontal="center" vertical="top" wrapText="1"/>
    </xf>
    <xf numFmtId="0" fontId="10" fillId="6" borderId="4" xfId="0" applyFont="1" applyFill="1" applyBorder="1" applyAlignment="1">
      <alignment horizontal="center" vertical="top" wrapText="1"/>
    </xf>
    <xf numFmtId="0" fontId="10" fillId="6" borderId="3" xfId="0" applyFont="1" applyFill="1" applyBorder="1" applyAlignment="1">
      <alignment horizontal="center" vertical="top" wrapText="1"/>
    </xf>
    <xf numFmtId="0" fontId="5" fillId="26" borderId="2" xfId="0" applyFont="1" applyFill="1" applyBorder="1" applyAlignment="1">
      <alignment horizontal="left" vertical="top" wrapText="1"/>
    </xf>
    <xf numFmtId="0" fontId="5" fillId="26" borderId="4" xfId="0" applyFont="1" applyFill="1" applyBorder="1" applyAlignment="1">
      <alignment horizontal="left" vertical="top" wrapText="1"/>
    </xf>
    <xf numFmtId="0" fontId="5" fillId="26" borderId="3" xfId="0" applyFont="1" applyFill="1" applyBorder="1" applyAlignment="1">
      <alignment horizontal="left" vertical="top" wrapText="1"/>
    </xf>
    <xf numFmtId="0" fontId="15" fillId="6" borderId="2" xfId="0" applyFont="1" applyFill="1" applyBorder="1" applyAlignment="1">
      <alignment horizontal="center" vertical="top" wrapText="1"/>
    </xf>
    <xf numFmtId="0" fontId="15" fillId="6" borderId="4" xfId="0" applyFont="1" applyFill="1" applyBorder="1" applyAlignment="1">
      <alignment horizontal="center" vertical="top" wrapText="1"/>
    </xf>
    <xf numFmtId="0" fontId="15" fillId="6" borderId="3" xfId="0" applyFont="1" applyFill="1" applyBorder="1" applyAlignment="1">
      <alignment horizontal="center" vertical="top" wrapText="1"/>
    </xf>
    <xf numFmtId="0" fontId="5" fillId="11" borderId="2" xfId="0" applyFont="1" applyFill="1" applyBorder="1" applyAlignment="1">
      <alignment horizontal="left" vertical="top" wrapText="1"/>
    </xf>
    <xf numFmtId="0" fontId="5" fillId="11" borderId="4" xfId="0" applyFont="1" applyFill="1" applyBorder="1" applyAlignment="1">
      <alignment horizontal="left" vertical="top" wrapText="1"/>
    </xf>
    <xf numFmtId="0" fontId="5" fillId="11" borderId="3" xfId="0" applyFont="1" applyFill="1" applyBorder="1" applyAlignment="1">
      <alignment horizontal="left" vertical="top" wrapText="1"/>
    </xf>
    <xf numFmtId="0" fontId="5" fillId="15" borderId="4" xfId="0" applyFont="1" applyFill="1" applyBorder="1" applyAlignment="1">
      <alignment horizontal="left" vertical="top" wrapText="1"/>
    </xf>
    <xf numFmtId="0" fontId="5" fillId="5" borderId="3" xfId="0" applyFont="1" applyFill="1" applyBorder="1" applyAlignment="1">
      <alignment horizontal="left" vertical="top" wrapText="1"/>
    </xf>
    <xf numFmtId="0" fontId="14" fillId="4" borderId="2" xfId="0" applyFont="1" applyFill="1" applyBorder="1" applyAlignment="1">
      <alignment horizontal="left" vertical="top" wrapText="1"/>
    </xf>
    <xf numFmtId="0" fontId="14" fillId="4" borderId="3" xfId="0" applyFont="1" applyFill="1" applyBorder="1" applyAlignment="1">
      <alignment horizontal="left" vertical="top" wrapText="1"/>
    </xf>
    <xf numFmtId="0" fontId="10" fillId="4" borderId="2" xfId="0" applyFont="1" applyFill="1" applyBorder="1" applyAlignment="1">
      <alignment horizontal="left" vertical="top" wrapText="1"/>
    </xf>
    <xf numFmtId="0" fontId="10" fillId="4" borderId="4" xfId="0" applyFont="1" applyFill="1" applyBorder="1" applyAlignment="1">
      <alignment horizontal="left" vertical="top" wrapText="1"/>
    </xf>
    <xf numFmtId="0" fontId="14" fillId="3" borderId="1" xfId="0" applyFont="1" applyFill="1" applyBorder="1" applyAlignment="1">
      <alignment horizontal="left" vertical="top" wrapText="1"/>
    </xf>
    <xf numFmtId="0" fontId="5" fillId="6" borderId="2" xfId="0" applyFont="1" applyFill="1" applyBorder="1" applyAlignment="1">
      <alignment horizontal="center" vertical="top" wrapText="1"/>
    </xf>
    <xf numFmtId="0" fontId="5" fillId="6" borderId="4" xfId="0" applyFont="1" applyFill="1" applyBorder="1" applyAlignment="1">
      <alignment horizontal="center" vertical="top" wrapText="1"/>
    </xf>
    <xf numFmtId="0" fontId="5" fillId="12" borderId="2" xfId="0" applyFont="1" applyFill="1" applyBorder="1" applyAlignment="1">
      <alignment horizontal="left" vertical="top" wrapText="1"/>
    </xf>
    <xf numFmtId="0" fontId="5" fillId="12" borderId="4" xfId="0" applyFont="1" applyFill="1" applyBorder="1" applyAlignment="1">
      <alignment horizontal="left" vertical="top" wrapText="1"/>
    </xf>
    <xf numFmtId="0" fontId="5" fillId="12" borderId="3" xfId="0" applyFont="1" applyFill="1" applyBorder="1" applyAlignment="1">
      <alignment horizontal="left" vertical="top" wrapText="1"/>
    </xf>
    <xf numFmtId="0" fontId="5" fillId="27" borderId="2" xfId="0" applyFont="1" applyFill="1" applyBorder="1" applyAlignment="1">
      <alignment horizontal="left" vertical="top" wrapText="1"/>
    </xf>
    <xf numFmtId="0" fontId="5" fillId="27" borderId="4" xfId="0" applyFont="1" applyFill="1" applyBorder="1" applyAlignment="1">
      <alignment horizontal="left" vertical="top" wrapText="1"/>
    </xf>
    <xf numFmtId="0" fontId="5" fillId="27" borderId="3" xfId="0" applyFont="1" applyFill="1" applyBorder="1" applyAlignment="1">
      <alignment horizontal="left" vertical="top" wrapText="1"/>
    </xf>
    <xf numFmtId="0" fontId="5" fillId="35" borderId="2" xfId="0" applyFont="1" applyFill="1" applyBorder="1" applyAlignment="1">
      <alignment horizontal="left" vertical="top" wrapText="1"/>
    </xf>
    <xf numFmtId="0" fontId="5" fillId="35" borderId="4" xfId="0" applyFont="1" applyFill="1" applyBorder="1" applyAlignment="1">
      <alignment horizontal="left" vertical="top" wrapText="1"/>
    </xf>
    <xf numFmtId="0" fontId="5" fillId="35" borderId="3" xfId="0" applyFont="1" applyFill="1" applyBorder="1" applyAlignment="1">
      <alignment horizontal="left" vertical="top" wrapText="1"/>
    </xf>
    <xf numFmtId="0" fontId="10" fillId="4" borderId="2" xfId="0" applyFont="1" applyFill="1" applyBorder="1" applyAlignment="1">
      <alignment horizontal="center" vertical="top" wrapText="1"/>
    </xf>
    <xf numFmtId="0" fontId="10" fillId="4" borderId="3" xfId="0" applyFont="1" applyFill="1" applyBorder="1" applyAlignment="1">
      <alignment horizontal="center" vertical="top" wrapText="1"/>
    </xf>
    <xf numFmtId="0" fontId="15" fillId="3" borderId="1" xfId="0" applyFont="1" applyFill="1" applyBorder="1" applyAlignment="1">
      <alignment horizontal="left" vertical="top" wrapText="1"/>
    </xf>
    <xf numFmtId="0" fontId="15" fillId="3" borderId="4" xfId="0" applyFont="1" applyFill="1" applyBorder="1" applyAlignment="1">
      <alignment horizontal="center" vertical="top" wrapText="1"/>
    </xf>
    <xf numFmtId="0" fontId="15" fillId="6" borderId="2" xfId="0" applyFont="1" applyFill="1" applyBorder="1" applyAlignment="1">
      <alignment horizontal="left" vertical="top" wrapText="1"/>
    </xf>
    <xf numFmtId="0" fontId="15" fillId="6" borderId="4" xfId="0" applyFont="1" applyFill="1" applyBorder="1" applyAlignment="1">
      <alignment horizontal="left" vertical="top" wrapText="1"/>
    </xf>
    <xf numFmtId="0" fontId="5" fillId="0" borderId="2" xfId="0" applyFont="1" applyFill="1" applyBorder="1" applyAlignment="1">
      <alignment horizontal="left" vertical="top" wrapText="1"/>
    </xf>
    <xf numFmtId="0" fontId="5" fillId="0" borderId="4" xfId="0" applyFont="1" applyFill="1" applyBorder="1" applyAlignment="1">
      <alignment horizontal="left" vertical="top" wrapText="1"/>
    </xf>
    <xf numFmtId="9" fontId="14" fillId="0" borderId="16" xfId="1" applyFont="1" applyFill="1" applyBorder="1" applyAlignment="1">
      <alignment horizontal="left" vertical="top" wrapText="1"/>
    </xf>
    <xf numFmtId="9" fontId="14" fillId="0" borderId="17" xfId="1" applyFont="1" applyFill="1" applyBorder="1" applyAlignment="1">
      <alignment horizontal="left" vertical="top" wrapText="1"/>
    </xf>
    <xf numFmtId="9" fontId="14" fillId="0" borderId="18" xfId="1" applyFont="1" applyFill="1" applyBorder="1" applyAlignment="1">
      <alignment horizontal="left" vertical="top" wrapText="1"/>
    </xf>
    <xf numFmtId="165" fontId="14" fillId="25" borderId="2" xfId="0" applyNumberFormat="1" applyFont="1" applyFill="1" applyBorder="1" applyAlignment="1">
      <alignment horizontal="left" vertical="top" wrapText="1"/>
    </xf>
    <xf numFmtId="165" fontId="14" fillId="25" borderId="3" xfId="0" applyNumberFormat="1" applyFont="1" applyFill="1" applyBorder="1" applyAlignment="1">
      <alignment horizontal="left" vertical="top" wrapText="1"/>
    </xf>
    <xf numFmtId="0" fontId="5" fillId="18" borderId="2" xfId="0" applyFont="1" applyFill="1" applyBorder="1" applyAlignment="1">
      <alignment horizontal="left" vertical="top" wrapText="1"/>
    </xf>
    <xf numFmtId="0" fontId="5" fillId="18" borderId="4" xfId="0" applyFont="1" applyFill="1" applyBorder="1" applyAlignment="1">
      <alignment horizontal="left" vertical="top" wrapText="1"/>
    </xf>
    <xf numFmtId="0" fontId="5" fillId="18" borderId="3" xfId="0" applyFont="1" applyFill="1" applyBorder="1" applyAlignment="1">
      <alignment horizontal="left" vertical="top" wrapText="1"/>
    </xf>
    <xf numFmtId="0" fontId="5" fillId="13" borderId="2" xfId="0" applyFont="1" applyFill="1" applyBorder="1" applyAlignment="1">
      <alignment horizontal="left" vertical="top" wrapText="1"/>
    </xf>
    <xf numFmtId="0" fontId="5" fillId="13" borderId="4" xfId="0" applyFont="1" applyFill="1" applyBorder="1" applyAlignment="1">
      <alignment horizontal="left" vertical="top" wrapText="1"/>
    </xf>
    <xf numFmtId="0" fontId="5" fillId="13" borderId="3" xfId="0" applyFont="1" applyFill="1" applyBorder="1" applyAlignment="1">
      <alignment horizontal="left" vertical="top" wrapText="1"/>
    </xf>
    <xf numFmtId="0" fontId="5" fillId="20" borderId="2" xfId="0" applyFont="1" applyFill="1" applyBorder="1" applyAlignment="1">
      <alignment horizontal="left" vertical="top" wrapText="1"/>
    </xf>
    <xf numFmtId="0" fontId="5" fillId="20" borderId="4" xfId="0" applyFont="1" applyFill="1" applyBorder="1" applyAlignment="1">
      <alignment horizontal="left" vertical="top" wrapText="1"/>
    </xf>
    <xf numFmtId="0" fontId="5" fillId="20" borderId="3" xfId="0" applyFont="1" applyFill="1" applyBorder="1" applyAlignment="1">
      <alignment horizontal="left" vertical="top" wrapText="1"/>
    </xf>
    <xf numFmtId="0" fontId="5" fillId="16" borderId="2" xfId="0" applyFont="1" applyFill="1" applyBorder="1" applyAlignment="1">
      <alignment horizontal="left" vertical="top" wrapText="1"/>
    </xf>
    <xf numFmtId="0" fontId="5" fillId="16" borderId="4" xfId="0" applyFont="1" applyFill="1" applyBorder="1" applyAlignment="1">
      <alignment horizontal="left" vertical="top" wrapText="1"/>
    </xf>
    <xf numFmtId="0" fontId="5" fillId="16" borderId="3" xfId="0" applyFont="1" applyFill="1" applyBorder="1" applyAlignment="1">
      <alignment horizontal="left" vertical="top" wrapText="1"/>
    </xf>
    <xf numFmtId="0" fontId="5" fillId="21" borderId="4" xfId="0" applyFont="1" applyFill="1" applyBorder="1" applyAlignment="1">
      <alignment horizontal="left" vertical="top" wrapText="1"/>
    </xf>
    <xf numFmtId="0" fontId="5" fillId="21" borderId="3" xfId="0" applyFont="1" applyFill="1" applyBorder="1" applyAlignment="1">
      <alignment horizontal="left" vertical="top" wrapText="1"/>
    </xf>
    <xf numFmtId="0" fontId="5" fillId="3" borderId="2" xfId="0" applyFont="1" applyFill="1" applyBorder="1" applyAlignment="1">
      <alignment horizontal="left" vertical="top" wrapText="1"/>
    </xf>
    <xf numFmtId="0" fontId="5" fillId="3" borderId="4" xfId="0" applyFont="1" applyFill="1" applyBorder="1" applyAlignment="1">
      <alignment horizontal="left" vertical="top" wrapText="1"/>
    </xf>
    <xf numFmtId="0" fontId="5" fillId="0" borderId="19" xfId="0" applyFont="1" applyFill="1" applyBorder="1" applyAlignment="1">
      <alignment horizontal="left" vertical="top" wrapText="1"/>
    </xf>
    <xf numFmtId="0" fontId="14" fillId="4" borderId="4" xfId="0" applyFont="1" applyFill="1" applyBorder="1" applyAlignment="1">
      <alignment horizontal="left" vertical="top" wrapText="1"/>
    </xf>
    <xf numFmtId="0" fontId="14" fillId="18" borderId="2" xfId="0" applyFont="1" applyFill="1" applyBorder="1" applyAlignment="1">
      <alignment horizontal="left" vertical="top"/>
    </xf>
    <xf numFmtId="0" fontId="14" fillId="18" borderId="4" xfId="0" applyFont="1" applyFill="1" applyBorder="1" applyAlignment="1">
      <alignment horizontal="left" vertical="top"/>
    </xf>
    <xf numFmtId="0" fontId="14" fillId="18" borderId="2" xfId="0" applyFont="1" applyFill="1" applyBorder="1" applyAlignment="1">
      <alignment horizontal="left" vertical="top" wrapText="1"/>
    </xf>
    <xf numFmtId="0" fontId="14" fillId="18" borderId="4" xfId="0" applyFont="1" applyFill="1" applyBorder="1" applyAlignment="1">
      <alignment horizontal="left" vertical="top" wrapText="1"/>
    </xf>
    <xf numFmtId="0" fontId="14" fillId="7" borderId="2" xfId="0" applyFont="1" applyFill="1" applyBorder="1" applyAlignment="1">
      <alignment horizontal="left" vertical="top" wrapText="1"/>
    </xf>
    <xf numFmtId="0" fontId="14" fillId="7" borderId="4" xfId="0" applyFont="1" applyFill="1" applyBorder="1" applyAlignment="1">
      <alignment horizontal="left" vertical="top" wrapText="1"/>
    </xf>
    <xf numFmtId="0" fontId="14" fillId="7" borderId="3" xfId="0" applyFont="1" applyFill="1" applyBorder="1" applyAlignment="1">
      <alignment horizontal="left" vertical="top" wrapText="1"/>
    </xf>
    <xf numFmtId="0" fontId="10" fillId="7" borderId="2" xfId="0" applyFont="1" applyFill="1" applyBorder="1" applyAlignment="1">
      <alignment horizontal="left" vertical="top" wrapText="1"/>
    </xf>
    <xf numFmtId="0" fontId="10" fillId="7" borderId="4" xfId="0" applyFont="1" applyFill="1" applyBorder="1" applyAlignment="1">
      <alignment horizontal="left" vertical="top" wrapText="1"/>
    </xf>
    <xf numFmtId="0" fontId="10" fillId="7" borderId="3" xfId="0" applyFont="1" applyFill="1" applyBorder="1" applyAlignment="1">
      <alignment horizontal="left" vertical="top" wrapText="1"/>
    </xf>
    <xf numFmtId="0" fontId="15" fillId="7" borderId="2" xfId="0" applyFont="1" applyFill="1" applyBorder="1" applyAlignment="1">
      <alignment horizontal="left" vertical="top" wrapText="1"/>
    </xf>
    <xf numFmtId="0" fontId="15" fillId="7" borderId="4" xfId="0" applyFont="1" applyFill="1" applyBorder="1" applyAlignment="1">
      <alignment horizontal="left" vertical="top" wrapText="1"/>
    </xf>
    <xf numFmtId="0" fontId="15" fillId="7" borderId="3" xfId="0" applyFont="1" applyFill="1" applyBorder="1" applyAlignment="1">
      <alignment horizontal="left" vertical="top" wrapText="1"/>
    </xf>
    <xf numFmtId="0" fontId="14" fillId="11" borderId="2" xfId="0" applyFont="1" applyFill="1" applyBorder="1" applyAlignment="1">
      <alignment horizontal="left" vertical="top" wrapText="1"/>
    </xf>
    <xf numFmtId="0" fontId="14" fillId="11" borderId="3" xfId="0" applyFont="1" applyFill="1" applyBorder="1" applyAlignment="1">
      <alignment horizontal="left" vertical="top" wrapText="1"/>
    </xf>
    <xf numFmtId="0" fontId="5" fillId="4" borderId="1" xfId="0" applyFont="1" applyFill="1" applyBorder="1" applyAlignment="1">
      <alignment horizontal="left" vertical="top" wrapText="1"/>
    </xf>
    <xf numFmtId="0" fontId="14" fillId="7" borderId="2" xfId="0" applyFont="1" applyFill="1" applyBorder="1" applyAlignment="1">
      <alignment horizontal="center" vertical="top" wrapText="1"/>
    </xf>
    <xf numFmtId="0" fontId="14" fillId="7" borderId="4" xfId="0" applyFont="1" applyFill="1" applyBorder="1" applyAlignment="1">
      <alignment horizontal="center" vertical="top" wrapText="1"/>
    </xf>
    <xf numFmtId="0" fontId="14" fillId="7" borderId="3" xfId="0" applyFont="1" applyFill="1" applyBorder="1" applyAlignment="1">
      <alignment horizontal="center" vertical="top" wrapText="1"/>
    </xf>
    <xf numFmtId="0" fontId="14" fillId="11" borderId="4" xfId="0" applyFont="1" applyFill="1" applyBorder="1" applyAlignment="1">
      <alignment horizontal="left" vertical="top" wrapText="1"/>
    </xf>
    <xf numFmtId="0" fontId="10" fillId="4" borderId="3" xfId="0" applyFont="1" applyFill="1" applyBorder="1" applyAlignment="1">
      <alignment horizontal="left" vertical="top" wrapText="1"/>
    </xf>
    <xf numFmtId="0" fontId="10" fillId="15" borderId="2" xfId="0" applyFont="1" applyFill="1" applyBorder="1" applyAlignment="1">
      <alignment horizontal="left" vertical="top" wrapText="1"/>
    </xf>
    <xf numFmtId="0" fontId="10" fillId="15" borderId="4" xfId="0" applyFont="1" applyFill="1" applyBorder="1" applyAlignment="1">
      <alignment horizontal="left" vertical="top" wrapText="1"/>
    </xf>
    <xf numFmtId="0" fontId="10" fillId="4" borderId="1" xfId="0" applyFont="1" applyFill="1" applyBorder="1" applyAlignment="1">
      <alignment horizontal="left" vertical="top" wrapText="1"/>
    </xf>
    <xf numFmtId="0" fontId="5" fillId="29" borderId="2" xfId="0" applyFont="1" applyFill="1" applyBorder="1" applyAlignment="1">
      <alignment horizontal="left" vertical="top" wrapText="1"/>
    </xf>
    <xf numFmtId="0" fontId="5" fillId="29" borderId="4" xfId="0" applyFont="1" applyFill="1" applyBorder="1" applyAlignment="1">
      <alignment horizontal="left" vertical="top" wrapText="1"/>
    </xf>
    <xf numFmtId="0" fontId="5" fillId="29" borderId="3" xfId="0" applyFont="1" applyFill="1" applyBorder="1" applyAlignment="1">
      <alignment horizontal="left" vertical="top" wrapText="1"/>
    </xf>
    <xf numFmtId="0" fontId="14" fillId="12" borderId="2" xfId="0" applyFont="1" applyFill="1" applyBorder="1" applyAlignment="1">
      <alignment horizontal="left" vertical="top" wrapText="1"/>
    </xf>
    <xf numFmtId="0" fontId="14" fillId="12" borderId="4" xfId="0" applyFont="1" applyFill="1" applyBorder="1" applyAlignment="1">
      <alignment horizontal="left" vertical="top" wrapText="1"/>
    </xf>
    <xf numFmtId="0" fontId="14" fillId="12" borderId="3" xfId="0" applyFont="1" applyFill="1" applyBorder="1" applyAlignment="1">
      <alignment horizontal="left" vertical="top" wrapText="1"/>
    </xf>
    <xf numFmtId="0" fontId="14" fillId="27" borderId="2" xfId="0" applyFont="1" applyFill="1" applyBorder="1" applyAlignment="1">
      <alignment horizontal="left" vertical="top" wrapText="1"/>
    </xf>
    <xf numFmtId="0" fontId="14" fillId="27" borderId="4" xfId="0" applyFont="1" applyFill="1" applyBorder="1" applyAlignment="1">
      <alignment horizontal="left" vertical="top" wrapText="1"/>
    </xf>
    <xf numFmtId="0" fontId="14" fillId="27" borderId="3" xfId="0" applyFont="1" applyFill="1" applyBorder="1" applyAlignment="1">
      <alignment horizontal="left" vertical="top" wrapText="1"/>
    </xf>
    <xf numFmtId="0" fontId="14" fillId="35" borderId="2" xfId="0" applyFont="1" applyFill="1" applyBorder="1" applyAlignment="1">
      <alignment horizontal="left" vertical="top" wrapText="1"/>
    </xf>
    <xf numFmtId="0" fontId="14" fillId="35" borderId="3" xfId="0" applyFont="1" applyFill="1" applyBorder="1" applyAlignment="1">
      <alignment horizontal="left" vertical="top" wrapText="1"/>
    </xf>
    <xf numFmtId="0" fontId="5" fillId="35" borderId="1" xfId="0" applyFont="1" applyFill="1" applyBorder="1" applyAlignment="1">
      <alignment horizontal="left" vertical="top" wrapText="1"/>
    </xf>
    <xf numFmtId="0" fontId="14" fillId="10" borderId="2" xfId="0" applyFont="1" applyFill="1" applyBorder="1" applyAlignment="1">
      <alignment horizontal="left" vertical="top" wrapText="1"/>
    </xf>
    <xf numFmtId="0" fontId="14" fillId="10" borderId="3" xfId="0" applyFont="1" applyFill="1" applyBorder="1" applyAlignment="1">
      <alignment horizontal="left" vertical="top" wrapText="1"/>
    </xf>
    <xf numFmtId="0" fontId="14" fillId="35" borderId="4" xfId="0" applyFont="1" applyFill="1" applyBorder="1" applyAlignment="1">
      <alignment horizontal="left" vertical="top" wrapText="1"/>
    </xf>
    <xf numFmtId="0" fontId="5" fillId="23" borderId="2" xfId="0" applyFont="1" applyFill="1" applyBorder="1" applyAlignment="1">
      <alignment horizontal="left" vertical="top" wrapText="1"/>
    </xf>
    <xf numFmtId="0" fontId="5" fillId="23" borderId="4" xfId="0" applyFont="1" applyFill="1" applyBorder="1" applyAlignment="1">
      <alignment horizontal="left" vertical="top" wrapText="1"/>
    </xf>
    <xf numFmtId="0" fontId="5" fillId="23" borderId="2" xfId="0" applyFont="1" applyFill="1" applyBorder="1" applyAlignment="1">
      <alignment horizontal="center" vertical="top" wrapText="1"/>
    </xf>
    <xf numFmtId="0" fontId="5" fillId="23" borderId="4" xfId="0" applyFont="1" applyFill="1" applyBorder="1" applyAlignment="1">
      <alignment horizontal="center" vertical="top" wrapText="1"/>
    </xf>
    <xf numFmtId="0" fontId="63" fillId="0" borderId="16" xfId="0" applyFont="1" applyFill="1" applyBorder="1" applyAlignment="1">
      <alignment horizontal="left" vertical="top" wrapText="1"/>
    </xf>
    <xf numFmtId="0" fontId="63" fillId="0" borderId="17" xfId="0" applyFont="1" applyFill="1" applyBorder="1" applyAlignment="1">
      <alignment horizontal="left" vertical="top" wrapText="1"/>
    </xf>
    <xf numFmtId="0" fontId="63" fillId="0" borderId="18" xfId="0" applyFont="1" applyFill="1" applyBorder="1" applyAlignment="1">
      <alignment horizontal="left" vertical="top" wrapText="1"/>
    </xf>
    <xf numFmtId="0" fontId="14" fillId="15" borderId="3" xfId="0" applyFont="1" applyFill="1" applyBorder="1" applyAlignment="1">
      <alignment horizontal="left" vertical="top" wrapText="1"/>
    </xf>
    <xf numFmtId="0" fontId="5" fillId="23" borderId="3" xfId="0" applyFont="1" applyFill="1" applyBorder="1" applyAlignment="1">
      <alignment horizontal="left" vertical="top" wrapText="1"/>
    </xf>
    <xf numFmtId="0" fontId="5" fillId="8" borderId="2" xfId="0" applyFont="1" applyFill="1" applyBorder="1" applyAlignment="1">
      <alignment horizontal="left" vertical="top" wrapText="1"/>
    </xf>
    <xf numFmtId="0" fontId="5" fillId="8" borderId="4" xfId="0" applyFont="1" applyFill="1" applyBorder="1" applyAlignment="1">
      <alignment horizontal="left" vertical="top" wrapText="1"/>
    </xf>
    <xf numFmtId="0" fontId="5" fillId="8" borderId="3" xfId="0" applyFont="1" applyFill="1" applyBorder="1" applyAlignment="1">
      <alignment horizontal="left" vertical="top" wrapText="1"/>
    </xf>
    <xf numFmtId="0" fontId="15" fillId="17" borderId="2" xfId="0" applyFont="1" applyFill="1" applyBorder="1" applyAlignment="1">
      <alignment horizontal="left" vertical="top" wrapText="1"/>
    </xf>
    <xf numFmtId="0" fontId="15" fillId="17" borderId="4" xfId="0" applyFont="1" applyFill="1" applyBorder="1" applyAlignment="1">
      <alignment horizontal="left" vertical="top" wrapText="1"/>
    </xf>
    <xf numFmtId="0" fontId="15" fillId="17" borderId="3" xfId="0" applyFont="1" applyFill="1" applyBorder="1" applyAlignment="1">
      <alignment horizontal="left" vertical="top" wrapText="1"/>
    </xf>
    <xf numFmtId="0" fontId="14" fillId="6" borderId="2" xfId="0" applyFont="1" applyFill="1" applyBorder="1" applyAlignment="1">
      <alignment horizontal="left" vertical="top" wrapText="1"/>
    </xf>
    <xf numFmtId="0" fontId="14" fillId="6" borderId="4" xfId="0" applyFont="1" applyFill="1" applyBorder="1" applyAlignment="1">
      <alignment horizontal="left" vertical="top" wrapText="1"/>
    </xf>
    <xf numFmtId="0" fontId="14" fillId="6" borderId="3" xfId="0" applyFont="1" applyFill="1" applyBorder="1" applyAlignment="1">
      <alignment horizontal="left" vertical="top" wrapText="1"/>
    </xf>
    <xf numFmtId="0" fontId="14" fillId="12" borderId="1" xfId="0" applyFont="1" applyFill="1" applyBorder="1" applyAlignment="1">
      <alignment horizontal="left" vertical="top" wrapText="1"/>
    </xf>
    <xf numFmtId="0" fontId="14" fillId="4" borderId="2" xfId="3" applyFont="1" applyFill="1" applyBorder="1" applyAlignment="1">
      <alignment horizontal="left" vertical="top" wrapText="1"/>
    </xf>
    <xf numFmtId="0" fontId="14" fillId="4" borderId="4" xfId="3" applyFont="1" applyFill="1" applyBorder="1" applyAlignment="1">
      <alignment horizontal="left" vertical="top" wrapText="1"/>
    </xf>
    <xf numFmtId="0" fontId="14" fillId="4" borderId="3" xfId="3" applyFont="1" applyFill="1" applyBorder="1" applyAlignment="1">
      <alignment horizontal="left" vertical="top" wrapText="1"/>
    </xf>
    <xf numFmtId="0" fontId="14" fillId="5" borderId="2" xfId="0" applyFont="1" applyFill="1" applyBorder="1" applyAlignment="1">
      <alignment horizontal="left" vertical="top" wrapText="1"/>
    </xf>
    <xf numFmtId="0" fontId="14" fillId="5" borderId="4" xfId="0" applyFont="1" applyFill="1" applyBorder="1" applyAlignment="1">
      <alignment horizontal="left" vertical="top" wrapText="1"/>
    </xf>
    <xf numFmtId="0" fontId="14" fillId="5" borderId="3" xfId="0" applyFont="1" applyFill="1" applyBorder="1" applyAlignment="1">
      <alignment horizontal="left" vertical="top" wrapText="1"/>
    </xf>
    <xf numFmtId="0" fontId="15" fillId="3" borderId="4" xfId="0" applyFont="1" applyFill="1" applyBorder="1" applyAlignment="1">
      <alignment horizontal="left" vertical="top" wrapText="1"/>
    </xf>
    <xf numFmtId="0" fontId="15" fillId="3" borderId="2" xfId="0" applyFont="1" applyFill="1" applyBorder="1" applyAlignment="1">
      <alignment horizontal="left" vertical="top" wrapText="1"/>
    </xf>
    <xf numFmtId="0" fontId="14" fillId="18" borderId="3" xfId="0" applyFont="1" applyFill="1" applyBorder="1" applyAlignment="1">
      <alignment horizontal="left" vertical="top" wrapText="1"/>
    </xf>
    <xf numFmtId="0" fontId="5" fillId="14" borderId="2" xfId="0" applyFont="1" applyFill="1" applyBorder="1" applyAlignment="1">
      <alignment horizontal="left" vertical="top" wrapText="1"/>
    </xf>
    <xf numFmtId="0" fontId="5" fillId="14" borderId="4" xfId="0" applyFont="1" applyFill="1" applyBorder="1" applyAlignment="1">
      <alignment horizontal="left" vertical="top" wrapText="1"/>
    </xf>
    <xf numFmtId="0" fontId="5" fillId="14" borderId="3" xfId="0" applyFont="1" applyFill="1" applyBorder="1" applyAlignment="1">
      <alignment horizontal="left" vertical="top" wrapText="1"/>
    </xf>
    <xf numFmtId="0" fontId="5" fillId="19" borderId="2" xfId="0" applyFont="1" applyFill="1" applyBorder="1" applyAlignment="1">
      <alignment horizontal="left" vertical="top" wrapText="1"/>
    </xf>
    <xf numFmtId="0" fontId="5" fillId="19" borderId="4" xfId="0" applyFont="1" applyFill="1" applyBorder="1" applyAlignment="1">
      <alignment horizontal="left" vertical="top" wrapText="1"/>
    </xf>
    <xf numFmtId="0" fontId="5" fillId="19" borderId="3" xfId="0" applyFont="1" applyFill="1" applyBorder="1" applyAlignment="1">
      <alignment horizontal="left" vertical="top" wrapText="1"/>
    </xf>
    <xf numFmtId="0" fontId="15" fillId="6" borderId="3" xfId="0" applyFont="1" applyFill="1" applyBorder="1" applyAlignment="1">
      <alignment horizontal="left" vertical="top" wrapText="1"/>
    </xf>
    <xf numFmtId="0" fontId="61" fillId="2" borderId="1" xfId="0" applyFont="1" applyFill="1" applyBorder="1" applyAlignment="1">
      <alignment horizontal="center" vertical="top" wrapText="1"/>
    </xf>
    <xf numFmtId="0" fontId="85" fillId="22" borderId="1" xfId="0" applyFont="1" applyFill="1" applyBorder="1" applyAlignment="1">
      <alignment horizontal="center" vertical="center" wrapText="1"/>
    </xf>
    <xf numFmtId="0" fontId="66" fillId="2" borderId="1" xfId="0" applyFont="1" applyFill="1" applyBorder="1" applyAlignment="1">
      <alignment horizontal="center" vertical="top" wrapText="1"/>
    </xf>
    <xf numFmtId="0" fontId="67" fillId="2" borderId="1" xfId="0" applyFont="1" applyFill="1" applyBorder="1" applyAlignment="1">
      <alignment horizontal="center" vertical="top" wrapText="1"/>
    </xf>
    <xf numFmtId="0" fontId="61" fillId="2" borderId="2" xfId="0" applyFont="1" applyFill="1" applyBorder="1" applyAlignment="1">
      <alignment horizontal="center" vertical="top" wrapText="1"/>
    </xf>
    <xf numFmtId="0" fontId="61" fillId="2" borderId="3" xfId="0" applyFont="1" applyFill="1" applyBorder="1" applyAlignment="1">
      <alignment horizontal="center" vertical="top" wrapText="1"/>
    </xf>
    <xf numFmtId="0" fontId="61" fillId="2" borderId="2" xfId="0" applyFont="1" applyFill="1" applyBorder="1" applyAlignment="1">
      <alignment horizontal="center" vertical="top"/>
    </xf>
    <xf numFmtId="0" fontId="61" fillId="2" borderId="3" xfId="0" applyFont="1" applyFill="1" applyBorder="1" applyAlignment="1">
      <alignment horizontal="center" vertical="top"/>
    </xf>
    <xf numFmtId="0" fontId="8" fillId="0" borderId="64" xfId="0" applyFont="1" applyBorder="1" applyAlignment="1">
      <alignment horizontal="left" vertical="top" wrapText="1"/>
    </xf>
    <xf numFmtId="0" fontId="8" fillId="0" borderId="65" xfId="0" applyFont="1" applyBorder="1" applyAlignment="1">
      <alignment horizontal="left" vertical="top" wrapText="1"/>
    </xf>
    <xf numFmtId="0" fontId="8" fillId="0" borderId="66" xfId="0" applyFont="1" applyBorder="1" applyAlignment="1">
      <alignment horizontal="left" vertical="top" wrapText="1"/>
    </xf>
    <xf numFmtId="0" fontId="8" fillId="0" borderId="10" xfId="0" applyFont="1" applyBorder="1" applyAlignment="1">
      <alignment horizontal="left" vertical="top" wrapText="1"/>
    </xf>
    <xf numFmtId="0" fontId="8" fillId="0" borderId="67" xfId="0" applyFont="1" applyBorder="1" applyAlignment="1">
      <alignment horizontal="left" vertical="top" wrapText="1"/>
    </xf>
    <xf numFmtId="0" fontId="8" fillId="0" borderId="8" xfId="0" applyFont="1" applyBorder="1" applyAlignment="1">
      <alignment horizontal="left" vertical="top" wrapText="1"/>
    </xf>
    <xf numFmtId="165" fontId="14" fillId="25" borderId="4" xfId="0" applyNumberFormat="1" applyFont="1" applyFill="1" applyBorder="1" applyAlignment="1">
      <alignment horizontal="left" vertical="top" wrapText="1"/>
    </xf>
    <xf numFmtId="0" fontId="14" fillId="6" borderId="2" xfId="3" applyFont="1" applyFill="1" applyBorder="1" applyAlignment="1">
      <alignment horizontal="center" vertical="top" wrapText="1"/>
    </xf>
    <xf numFmtId="0" fontId="14" fillId="6" borderId="4" xfId="3" applyFont="1" applyFill="1" applyBorder="1" applyAlignment="1">
      <alignment horizontal="center" vertical="top" wrapText="1"/>
    </xf>
    <xf numFmtId="0" fontId="14" fillId="6" borderId="3" xfId="3" applyFont="1" applyFill="1" applyBorder="1" applyAlignment="1">
      <alignment horizontal="center" vertical="top" wrapText="1"/>
    </xf>
    <xf numFmtId="0" fontId="15" fillId="7" borderId="2" xfId="0" applyFont="1" applyFill="1" applyBorder="1" applyAlignment="1">
      <alignment horizontal="center" vertical="top" wrapText="1"/>
    </xf>
    <xf numFmtId="0" fontId="15" fillId="7" borderId="4" xfId="0" applyFont="1" applyFill="1" applyBorder="1" applyAlignment="1">
      <alignment horizontal="center" vertical="top" wrapText="1"/>
    </xf>
    <xf numFmtId="0" fontId="15" fillId="7" borderId="3" xfId="0" applyFont="1" applyFill="1" applyBorder="1" applyAlignment="1">
      <alignment horizontal="center" vertical="top" wrapText="1"/>
    </xf>
    <xf numFmtId="0" fontId="14" fillId="21" borderId="2" xfId="0" applyFont="1" applyFill="1" applyBorder="1" applyAlignment="1">
      <alignment horizontal="left" vertical="top" wrapText="1"/>
    </xf>
    <xf numFmtId="0" fontId="14" fillId="21" borderId="3" xfId="0" applyFont="1" applyFill="1" applyBorder="1" applyAlignment="1">
      <alignment horizontal="left" vertical="top" wrapText="1"/>
    </xf>
    <xf numFmtId="0" fontId="14" fillId="23" borderId="2" xfId="0" applyFont="1" applyFill="1" applyBorder="1" applyAlignment="1">
      <alignment horizontal="left" vertical="top" wrapText="1"/>
    </xf>
    <xf numFmtId="0" fontId="14" fillId="23" borderId="4" xfId="0" applyFont="1" applyFill="1" applyBorder="1" applyAlignment="1">
      <alignment horizontal="left" vertical="top" wrapText="1"/>
    </xf>
    <xf numFmtId="0" fontId="14" fillId="23" borderId="3" xfId="0" applyFont="1" applyFill="1" applyBorder="1" applyAlignment="1">
      <alignment horizontal="left" vertical="top" wrapText="1"/>
    </xf>
    <xf numFmtId="0" fontId="5" fillId="3" borderId="2" xfId="0" applyFont="1" applyFill="1" applyBorder="1" applyAlignment="1">
      <alignment horizontal="center" vertical="top" wrapText="1"/>
    </xf>
    <xf numFmtId="0" fontId="5" fillId="3" borderId="4" xfId="0" applyFont="1" applyFill="1" applyBorder="1" applyAlignment="1">
      <alignment horizontal="center" vertical="top" wrapText="1"/>
    </xf>
    <xf numFmtId="0" fontId="5" fillId="3" borderId="3" xfId="0" applyFont="1" applyFill="1" applyBorder="1" applyAlignment="1">
      <alignment horizontal="center" vertical="top" wrapText="1"/>
    </xf>
    <xf numFmtId="0" fontId="62" fillId="0" borderId="16" xfId="0" applyFont="1" applyFill="1" applyBorder="1" applyAlignment="1">
      <alignment horizontal="left" vertical="top" wrapText="1"/>
    </xf>
    <xf numFmtId="0" fontId="62" fillId="0" borderId="17" xfId="0" applyFont="1" applyFill="1" applyBorder="1" applyAlignment="1">
      <alignment horizontal="left" vertical="top" wrapText="1"/>
    </xf>
    <xf numFmtId="0" fontId="62" fillId="0" borderId="18" xfId="0" applyFont="1" applyFill="1" applyBorder="1" applyAlignment="1">
      <alignment horizontal="left" vertical="top" wrapText="1"/>
    </xf>
    <xf numFmtId="0" fontId="11" fillId="23" borderId="2" xfId="0" applyFont="1" applyFill="1" applyBorder="1" applyAlignment="1" applyProtection="1">
      <alignment horizontal="left" vertical="top" wrapText="1"/>
      <protection locked="0"/>
    </xf>
    <xf numFmtId="170" fontId="15" fillId="25" borderId="2" xfId="10" applyNumberFormat="1" applyFont="1" applyFill="1" applyBorder="1" applyAlignment="1">
      <alignment horizontal="center" vertical="top" wrapText="1"/>
    </xf>
    <xf numFmtId="170" fontId="15" fillId="25" borderId="4" xfId="10" applyNumberFormat="1" applyFont="1" applyFill="1" applyBorder="1" applyAlignment="1">
      <alignment horizontal="center" vertical="top" wrapText="1"/>
    </xf>
    <xf numFmtId="170" fontId="15" fillId="25" borderId="3" xfId="10" applyNumberFormat="1" applyFont="1" applyFill="1" applyBorder="1" applyAlignment="1">
      <alignment horizontal="center" vertical="top" wrapText="1"/>
    </xf>
    <xf numFmtId="0" fontId="79" fillId="0" borderId="78" xfId="0" applyFont="1" applyBorder="1" applyAlignment="1">
      <alignment horizontal="left" vertical="top" wrapText="1"/>
    </xf>
    <xf numFmtId="0" fontId="79" fillId="0" borderId="79" xfId="0" applyFont="1" applyBorder="1" applyAlignment="1">
      <alignment horizontal="left" vertical="top" wrapText="1"/>
    </xf>
    <xf numFmtId="0" fontId="8" fillId="0" borderId="76" xfId="0" applyFont="1" applyBorder="1" applyAlignment="1">
      <alignment horizontal="left" vertical="top" wrapText="1"/>
    </xf>
    <xf numFmtId="0" fontId="8" fillId="0" borderId="77" xfId="0" applyFont="1" applyBorder="1" applyAlignment="1">
      <alignment horizontal="left" vertical="top" wrapText="1"/>
    </xf>
    <xf numFmtId="0" fontId="64" fillId="0" borderId="1" xfId="0" applyFont="1" applyFill="1" applyBorder="1" applyAlignment="1">
      <alignment horizontal="left" vertical="top" wrapText="1"/>
    </xf>
    <xf numFmtId="0" fontId="14" fillId="21" borderId="4" xfId="0" applyFont="1" applyFill="1" applyBorder="1" applyAlignment="1">
      <alignment horizontal="left" vertical="top" wrapText="1"/>
    </xf>
    <xf numFmtId="0" fontId="5" fillId="4" borderId="3" xfId="0" applyFont="1" applyFill="1" applyBorder="1" applyAlignment="1">
      <alignment horizontal="left" vertical="top" wrapText="1"/>
    </xf>
    <xf numFmtId="0" fontId="8" fillId="0" borderId="68" xfId="0" applyFont="1" applyBorder="1" applyAlignment="1">
      <alignment horizontal="left" vertical="top" wrapText="1"/>
    </xf>
    <xf numFmtId="0" fontId="8" fillId="0" borderId="74" xfId="0" applyFont="1" applyBorder="1" applyAlignment="1">
      <alignment horizontal="left" vertical="top" wrapText="1"/>
    </xf>
    <xf numFmtId="0" fontId="8" fillId="0" borderId="71" xfId="0" applyFont="1" applyBorder="1" applyAlignment="1">
      <alignment horizontal="left" vertical="top" wrapText="1"/>
    </xf>
    <xf numFmtId="0" fontId="8" fillId="0" borderId="75" xfId="0" applyFont="1" applyBorder="1" applyAlignment="1">
      <alignment horizontal="left" vertical="top" wrapText="1"/>
    </xf>
    <xf numFmtId="0" fontId="65" fillId="0" borderId="7" xfId="0" applyFont="1" applyFill="1" applyBorder="1" applyAlignment="1">
      <alignment horizontal="left" vertical="top" wrapText="1"/>
    </xf>
    <xf numFmtId="0" fontId="65" fillId="0" borderId="6" xfId="0" applyFont="1" applyFill="1" applyBorder="1" applyAlignment="1">
      <alignment horizontal="left" vertical="top" wrapText="1"/>
    </xf>
    <xf numFmtId="0" fontId="65" fillId="0" borderId="5" xfId="0" applyFont="1" applyFill="1" applyBorder="1" applyAlignment="1">
      <alignment horizontal="left" vertical="top" wrapText="1"/>
    </xf>
    <xf numFmtId="0" fontId="18" fillId="15" borderId="2" xfId="0" applyFont="1" applyFill="1" applyBorder="1" applyAlignment="1" applyProtection="1">
      <alignment horizontal="left" vertical="top" wrapText="1"/>
      <protection locked="0"/>
    </xf>
    <xf numFmtId="0" fontId="18" fillId="15" borderId="4" xfId="0" applyFont="1" applyFill="1" applyBorder="1" applyAlignment="1" applyProtection="1">
      <alignment horizontal="left" vertical="top" wrapText="1"/>
      <protection locked="0"/>
    </xf>
    <xf numFmtId="0" fontId="18" fillId="15" borderId="3" xfId="0" applyFont="1" applyFill="1" applyBorder="1" applyAlignment="1" applyProtection="1">
      <alignment horizontal="left" vertical="top" wrapText="1"/>
      <protection locked="0"/>
    </xf>
    <xf numFmtId="0" fontId="8" fillId="0" borderId="69" xfId="0" applyFont="1" applyBorder="1" applyAlignment="1">
      <alignment horizontal="left" vertical="top" wrapText="1"/>
    </xf>
    <xf numFmtId="0" fontId="8" fillId="0" borderId="70" xfId="0" applyFont="1" applyBorder="1" applyAlignment="1">
      <alignment horizontal="left" vertical="top" wrapText="1"/>
    </xf>
    <xf numFmtId="0" fontId="8" fillId="0" borderId="72" xfId="0" applyFont="1" applyBorder="1" applyAlignment="1">
      <alignment horizontal="left" vertical="top" wrapText="1"/>
    </xf>
    <xf numFmtId="0" fontId="8" fillId="0" borderId="73" xfId="0" applyFont="1" applyBorder="1" applyAlignment="1">
      <alignment horizontal="left" vertical="top" wrapText="1"/>
    </xf>
    <xf numFmtId="0" fontId="14" fillId="14" borderId="2" xfId="0" applyFont="1" applyFill="1" applyBorder="1" applyAlignment="1">
      <alignment horizontal="center" vertical="top" wrapText="1"/>
    </xf>
    <xf numFmtId="0" fontId="14" fillId="14" borderId="3" xfId="0" applyFont="1" applyFill="1" applyBorder="1" applyAlignment="1">
      <alignment horizontal="center" vertical="top" wrapText="1"/>
    </xf>
    <xf numFmtId="0" fontId="5" fillId="14" borderId="2" xfId="0" applyFont="1" applyFill="1" applyBorder="1" applyAlignment="1">
      <alignment horizontal="center" vertical="top" wrapText="1"/>
    </xf>
    <xf numFmtId="0" fontId="5" fillId="14" borderId="3" xfId="0" applyFont="1" applyFill="1" applyBorder="1" applyAlignment="1">
      <alignment horizontal="center" vertical="top" wrapText="1"/>
    </xf>
    <xf numFmtId="0" fontId="5" fillId="21" borderId="2" xfId="0" applyFont="1" applyFill="1" applyBorder="1" applyAlignment="1">
      <alignment horizontal="center" vertical="top" wrapText="1"/>
    </xf>
    <xf numFmtId="0" fontId="5" fillId="21" borderId="4" xfId="0" applyFont="1" applyFill="1" applyBorder="1" applyAlignment="1">
      <alignment horizontal="center" vertical="top" wrapText="1"/>
    </xf>
    <xf numFmtId="0" fontId="14" fillId="13" borderId="2" xfId="0" applyFont="1" applyFill="1" applyBorder="1" applyAlignment="1">
      <alignment horizontal="left" vertical="top" wrapText="1"/>
    </xf>
    <xf numFmtId="0" fontId="14" fillId="13" borderId="4" xfId="0" applyFont="1" applyFill="1" applyBorder="1" applyAlignment="1">
      <alignment horizontal="left" vertical="top" wrapText="1"/>
    </xf>
    <xf numFmtId="0" fontId="14" fillId="13" borderId="3" xfId="0" applyFont="1" applyFill="1" applyBorder="1" applyAlignment="1">
      <alignment horizontal="left" vertical="top" wrapText="1"/>
    </xf>
    <xf numFmtId="0" fontId="15" fillId="4" borderId="2" xfId="0" applyFont="1" applyFill="1" applyBorder="1" applyAlignment="1">
      <alignment horizontal="left" vertical="top" wrapText="1"/>
    </xf>
    <xf numFmtId="0" fontId="15" fillId="4" borderId="4" xfId="0" applyFont="1" applyFill="1" applyBorder="1" applyAlignment="1">
      <alignment horizontal="left" vertical="top" wrapText="1"/>
    </xf>
    <xf numFmtId="0" fontId="14" fillId="21" borderId="2" xfId="0" applyFont="1" applyFill="1" applyBorder="1" applyAlignment="1">
      <alignment horizontal="center" vertical="top" wrapText="1"/>
    </xf>
    <xf numFmtId="0" fontId="14" fillId="21" borderId="4" xfId="0" applyFont="1" applyFill="1" applyBorder="1" applyAlignment="1">
      <alignment horizontal="center" vertical="top" wrapText="1"/>
    </xf>
    <xf numFmtId="0" fontId="18" fillId="23" borderId="2" xfId="0" applyFont="1" applyFill="1" applyBorder="1" applyAlignment="1" applyProtection="1">
      <alignment horizontal="left" vertical="top" wrapText="1"/>
      <protection locked="0"/>
    </xf>
    <xf numFmtId="0" fontId="18" fillId="23" borderId="3" xfId="0" applyFont="1" applyFill="1" applyBorder="1" applyAlignment="1" applyProtection="1">
      <alignment horizontal="left" vertical="top" wrapText="1"/>
      <protection locked="0"/>
    </xf>
    <xf numFmtId="0" fontId="5" fillId="21" borderId="2" xfId="0" applyFont="1" applyFill="1" applyBorder="1" applyAlignment="1">
      <alignment horizontal="left" vertical="top" wrapText="1"/>
    </xf>
    <xf numFmtId="0" fontId="5" fillId="28" borderId="2" xfId="0" applyFont="1" applyFill="1" applyBorder="1" applyAlignment="1">
      <alignment horizontal="left" vertical="top" wrapText="1"/>
    </xf>
    <xf numFmtId="0" fontId="5" fillId="28" borderId="3" xfId="0" applyFont="1" applyFill="1" applyBorder="1" applyAlignment="1">
      <alignment horizontal="left" vertical="top" wrapText="1"/>
    </xf>
    <xf numFmtId="0" fontId="14" fillId="18" borderId="1" xfId="0" applyFont="1" applyFill="1" applyBorder="1" applyAlignment="1">
      <alignment horizontal="left" vertical="top" wrapText="1"/>
    </xf>
    <xf numFmtId="0" fontId="14" fillId="0" borderId="2" xfId="0" applyFont="1" applyFill="1" applyBorder="1" applyAlignment="1">
      <alignment horizontal="left" vertical="top" wrapText="1"/>
    </xf>
    <xf numFmtId="0" fontId="14" fillId="0" borderId="4" xfId="0" applyFont="1" applyFill="1" applyBorder="1" applyAlignment="1">
      <alignment horizontal="left" vertical="top" wrapText="1"/>
    </xf>
    <xf numFmtId="0" fontId="14" fillId="0" borderId="3" xfId="0" applyFont="1" applyFill="1" applyBorder="1" applyAlignment="1">
      <alignment horizontal="left" vertical="top" wrapText="1"/>
    </xf>
    <xf numFmtId="0" fontId="80" fillId="0" borderId="2" xfId="15" applyFill="1" applyBorder="1" applyAlignment="1">
      <alignment horizontal="left" vertical="top" wrapText="1"/>
    </xf>
    <xf numFmtId="0" fontId="80" fillId="0" borderId="4" xfId="15" applyFill="1" applyBorder="1" applyAlignment="1">
      <alignment horizontal="left" vertical="top" wrapText="1"/>
    </xf>
    <xf numFmtId="0" fontId="80" fillId="0" borderId="3" xfId="15" applyFill="1" applyBorder="1" applyAlignment="1">
      <alignment horizontal="left" vertical="top" wrapText="1"/>
    </xf>
    <xf numFmtId="9" fontId="14" fillId="0" borderId="16" xfId="1" applyFont="1" applyFill="1" applyBorder="1" applyAlignment="1">
      <alignment horizontal="center" vertical="top" wrapText="1"/>
    </xf>
    <xf numFmtId="9" fontId="14" fillId="0" borderId="17" xfId="1" applyFont="1" applyFill="1" applyBorder="1" applyAlignment="1">
      <alignment horizontal="center" vertical="top" wrapText="1"/>
    </xf>
    <xf numFmtId="0" fontId="14" fillId="21" borderId="3" xfId="0" applyFont="1" applyFill="1" applyBorder="1" applyAlignment="1">
      <alignment horizontal="center" vertical="top" wrapText="1"/>
    </xf>
    <xf numFmtId="0" fontId="14" fillId="0" borderId="21" xfId="0" applyFont="1" applyFill="1" applyBorder="1" applyAlignment="1">
      <alignment horizontal="left" vertical="top" wrapText="1"/>
    </xf>
    <xf numFmtId="0" fontId="14" fillId="0" borderId="19" xfId="0" applyFont="1" applyFill="1" applyBorder="1" applyAlignment="1">
      <alignment horizontal="left" vertical="top" wrapText="1"/>
    </xf>
    <xf numFmtId="0" fontId="14" fillId="29" borderId="2" xfId="0" applyFont="1" applyFill="1" applyBorder="1" applyAlignment="1">
      <alignment horizontal="left" vertical="top" wrapText="1"/>
    </xf>
    <xf numFmtId="0" fontId="14" fillId="29" borderId="4" xfId="0" applyFont="1" applyFill="1" applyBorder="1" applyAlignment="1">
      <alignment horizontal="left" vertical="top" wrapText="1"/>
    </xf>
    <xf numFmtId="0" fontId="14" fillId="29" borderId="3" xfId="0" applyFont="1" applyFill="1" applyBorder="1" applyAlignment="1">
      <alignment horizontal="left" vertical="top" wrapText="1"/>
    </xf>
    <xf numFmtId="0" fontId="5" fillId="3" borderId="3" xfId="0" applyFont="1" applyFill="1" applyBorder="1" applyAlignment="1">
      <alignment horizontal="left" vertical="top" wrapText="1"/>
    </xf>
    <xf numFmtId="0" fontId="5" fillId="31" borderId="2" xfId="0" applyFont="1" applyFill="1" applyBorder="1" applyAlignment="1">
      <alignment horizontal="left" vertical="top" wrapText="1"/>
    </xf>
    <xf numFmtId="0" fontId="5" fillId="31" borderId="4" xfId="0" applyFont="1" applyFill="1" applyBorder="1" applyAlignment="1">
      <alignment horizontal="left" vertical="top" wrapText="1"/>
    </xf>
    <xf numFmtId="0" fontId="5" fillId="31" borderId="3" xfId="0" applyFont="1" applyFill="1" applyBorder="1" applyAlignment="1">
      <alignment horizontal="left" vertical="top" wrapText="1"/>
    </xf>
    <xf numFmtId="0" fontId="5" fillId="24" borderId="1" xfId="0" applyFont="1" applyFill="1" applyBorder="1" applyAlignment="1">
      <alignment horizontal="left" vertical="top" wrapText="1"/>
    </xf>
    <xf numFmtId="0" fontId="5" fillId="30" borderId="4" xfId="0" applyFont="1" applyFill="1" applyBorder="1" applyAlignment="1">
      <alignment horizontal="left" vertical="top" wrapText="1"/>
    </xf>
    <xf numFmtId="0" fontId="5" fillId="21" borderId="3" xfId="0" applyFont="1" applyFill="1" applyBorder="1" applyAlignment="1">
      <alignment horizontal="center" vertical="top" wrapText="1"/>
    </xf>
    <xf numFmtId="0" fontId="18" fillId="15" borderId="2" xfId="0" applyFont="1" applyFill="1" applyBorder="1" applyAlignment="1" applyProtection="1">
      <alignment horizontal="center" vertical="top" wrapText="1"/>
      <protection locked="0"/>
    </xf>
    <xf numFmtId="0" fontId="18" fillId="15" borderId="4" xfId="0" applyFont="1" applyFill="1" applyBorder="1" applyAlignment="1" applyProtection="1">
      <alignment horizontal="center" vertical="top" wrapText="1"/>
      <protection locked="0"/>
    </xf>
    <xf numFmtId="0" fontId="18" fillId="15" borderId="3" xfId="0" applyFont="1" applyFill="1" applyBorder="1" applyAlignment="1" applyProtection="1">
      <alignment horizontal="center" vertical="top" wrapText="1"/>
      <protection locked="0"/>
    </xf>
    <xf numFmtId="0" fontId="5" fillId="15" borderId="2" xfId="0" applyFont="1" applyFill="1" applyBorder="1" applyAlignment="1">
      <alignment horizontal="center" vertical="top" wrapText="1"/>
    </xf>
    <xf numFmtId="0" fontId="5" fillId="15" borderId="4" xfId="0" applyFont="1" applyFill="1" applyBorder="1" applyAlignment="1">
      <alignment horizontal="center" vertical="top" wrapText="1"/>
    </xf>
    <xf numFmtId="0" fontId="5" fillId="15" borderId="3" xfId="0" applyFont="1" applyFill="1" applyBorder="1" applyAlignment="1">
      <alignment horizontal="center" vertical="top" wrapText="1"/>
    </xf>
    <xf numFmtId="0" fontId="5" fillId="24" borderId="2" xfId="0" applyFont="1" applyFill="1" applyBorder="1" applyAlignment="1">
      <alignment horizontal="center" vertical="top" wrapText="1"/>
    </xf>
    <xf numFmtId="0" fontId="5" fillId="24" borderId="4" xfId="0" applyFont="1" applyFill="1" applyBorder="1" applyAlignment="1">
      <alignment horizontal="center" vertical="top" wrapText="1"/>
    </xf>
    <xf numFmtId="0" fontId="5" fillId="6" borderId="4" xfId="0" applyFont="1" applyFill="1" applyBorder="1" applyAlignment="1">
      <alignment horizontal="left" vertical="top" wrapText="1"/>
    </xf>
    <xf numFmtId="0" fontId="0" fillId="0" borderId="1" xfId="0" applyBorder="1" applyAlignment="1">
      <alignment horizontal="center" vertical="top" wrapText="1"/>
    </xf>
    <xf numFmtId="0" fontId="22" fillId="11" borderId="1" xfId="0" applyFont="1" applyFill="1" applyBorder="1" applyAlignment="1">
      <alignment horizontal="center" vertical="center" wrapText="1"/>
    </xf>
    <xf numFmtId="0" fontId="22" fillId="11" borderId="52" xfId="0" applyFont="1" applyFill="1" applyBorder="1" applyAlignment="1">
      <alignment horizontal="center" vertical="center" wrapText="1"/>
    </xf>
    <xf numFmtId="0" fontId="22" fillId="11" borderId="0" xfId="0" applyFont="1" applyFill="1" applyAlignment="1">
      <alignment horizontal="center" vertical="center" wrapText="1"/>
    </xf>
    <xf numFmtId="0" fontId="22" fillId="11" borderId="61" xfId="0" applyFont="1" applyFill="1" applyBorder="1" applyAlignment="1">
      <alignment horizontal="center" vertical="center" wrapText="1"/>
    </xf>
    <xf numFmtId="0" fontId="22" fillId="11" borderId="62" xfId="0" applyFont="1" applyFill="1" applyBorder="1" applyAlignment="1">
      <alignment horizontal="center" vertical="center" wrapText="1"/>
    </xf>
    <xf numFmtId="0" fontId="22" fillId="11" borderId="63" xfId="0" applyFont="1" applyFill="1" applyBorder="1" applyAlignment="1">
      <alignment horizontal="center" vertical="center" wrapText="1"/>
    </xf>
    <xf numFmtId="0" fontId="0" fillId="0" borderId="1" xfId="0" applyBorder="1" applyAlignment="1">
      <alignment horizontal="center" vertical="center"/>
    </xf>
    <xf numFmtId="0" fontId="76" fillId="0" borderId="78" xfId="0" applyFont="1" applyBorder="1" applyAlignment="1">
      <alignment horizontal="left" vertical="top" wrapText="1"/>
    </xf>
    <xf numFmtId="0" fontId="76" fillId="0" borderId="79" xfId="0" applyFont="1" applyBorder="1" applyAlignment="1">
      <alignment horizontal="left" vertical="top" wrapText="1"/>
    </xf>
    <xf numFmtId="0" fontId="72" fillId="25" borderId="17" xfId="0" applyFont="1" applyFill="1" applyBorder="1" applyAlignment="1">
      <alignment horizontal="left" vertical="top" wrapText="1"/>
    </xf>
    <xf numFmtId="0" fontId="73" fillId="25" borderId="17" xfId="0" applyFont="1" applyFill="1" applyBorder="1" applyAlignment="1">
      <alignment horizontal="left" vertical="top" wrapText="1"/>
    </xf>
    <xf numFmtId="0" fontId="73" fillId="25" borderId="18" xfId="0" applyFont="1" applyFill="1" applyBorder="1" applyAlignment="1">
      <alignment horizontal="left" vertical="top" wrapText="1"/>
    </xf>
    <xf numFmtId="0" fontId="76" fillId="0" borderId="64" xfId="0" applyFont="1" applyBorder="1" applyAlignment="1">
      <alignment horizontal="left" vertical="top" wrapText="1"/>
    </xf>
    <xf numFmtId="0" fontId="76" fillId="0" borderId="65" xfId="0" applyFont="1" applyBorder="1" applyAlignment="1">
      <alignment horizontal="left" vertical="top" wrapText="1"/>
    </xf>
    <xf numFmtId="0" fontId="76" fillId="0" borderId="76" xfId="0" applyFont="1" applyBorder="1" applyAlignment="1">
      <alignment horizontal="left" vertical="top" wrapText="1"/>
    </xf>
    <xf numFmtId="0" fontId="76" fillId="0" borderId="10" xfId="0" applyFont="1" applyBorder="1" applyAlignment="1">
      <alignment horizontal="left" vertical="top" wrapText="1"/>
    </xf>
    <xf numFmtId="0" fontId="76" fillId="0" borderId="67" xfId="0" applyFont="1" applyBorder="1" applyAlignment="1">
      <alignment horizontal="left" vertical="top" wrapText="1"/>
    </xf>
    <xf numFmtId="0" fontId="76" fillId="0" borderId="77" xfId="0" applyFont="1" applyBorder="1" applyAlignment="1">
      <alignment horizontal="left" vertical="top" wrapText="1"/>
    </xf>
    <xf numFmtId="0" fontId="76" fillId="0" borderId="68" xfId="0" applyFont="1" applyBorder="1" applyAlignment="1">
      <alignment horizontal="left" vertical="top" wrapText="1"/>
    </xf>
    <xf numFmtId="0" fontId="76" fillId="0" borderId="69" xfId="0" applyFont="1" applyBorder="1" applyAlignment="1">
      <alignment horizontal="left" vertical="top" wrapText="1"/>
    </xf>
    <xf numFmtId="0" fontId="76" fillId="0" borderId="70" xfId="0" applyFont="1" applyBorder="1" applyAlignment="1">
      <alignment horizontal="left" vertical="top" wrapText="1"/>
    </xf>
    <xf numFmtId="0" fontId="76" fillId="0" borderId="71" xfId="0" applyFont="1" applyBorder="1" applyAlignment="1">
      <alignment horizontal="left" vertical="top" wrapText="1"/>
    </xf>
    <xf numFmtId="0" fontId="76" fillId="0" borderId="72" xfId="0" applyFont="1" applyBorder="1" applyAlignment="1">
      <alignment horizontal="left" vertical="top" wrapText="1"/>
    </xf>
    <xf numFmtId="0" fontId="76" fillId="0" borderId="73" xfId="0" applyFont="1" applyBorder="1" applyAlignment="1">
      <alignment horizontal="left" vertical="top" wrapText="1"/>
    </xf>
    <xf numFmtId="0" fontId="76" fillId="0" borderId="74" xfId="0" applyFont="1" applyBorder="1" applyAlignment="1">
      <alignment horizontal="left" vertical="top" wrapText="1"/>
    </xf>
    <xf numFmtId="0" fontId="76" fillId="0" borderId="75" xfId="0" applyFont="1" applyBorder="1" applyAlignment="1">
      <alignment horizontal="left" vertical="top" wrapText="1"/>
    </xf>
    <xf numFmtId="0" fontId="76" fillId="0" borderId="66" xfId="0" applyFont="1" applyBorder="1" applyAlignment="1">
      <alignment horizontal="left" vertical="top" wrapText="1"/>
    </xf>
    <xf numFmtId="0" fontId="76" fillId="0" borderId="8" xfId="0" applyFont="1" applyBorder="1" applyAlignment="1">
      <alignment horizontal="left" vertical="top" wrapText="1"/>
    </xf>
    <xf numFmtId="0" fontId="33" fillId="25" borderId="1" xfId="0" applyFont="1" applyFill="1" applyBorder="1" applyAlignment="1">
      <alignment horizontal="left" vertical="top" wrapText="1"/>
    </xf>
    <xf numFmtId="0" fontId="39" fillId="10" borderId="26" xfId="0" applyFont="1" applyFill="1" applyBorder="1" applyAlignment="1">
      <alignment horizontal="left" vertical="top" wrapText="1"/>
    </xf>
    <xf numFmtId="0" fontId="39" fillId="10" borderId="27" xfId="0" applyFont="1" applyFill="1" applyBorder="1" applyAlignment="1">
      <alignment horizontal="left" vertical="top" wrapText="1"/>
    </xf>
    <xf numFmtId="0" fontId="33" fillId="0" borderId="35" xfId="0" applyFont="1" applyBorder="1" applyAlignment="1">
      <alignment horizontal="center" vertical="center" wrapText="1"/>
    </xf>
    <xf numFmtId="0" fontId="33" fillId="0" borderId="3" xfId="0" applyFont="1" applyBorder="1" applyAlignment="1">
      <alignment horizontal="center" vertic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20" xfId="0" applyFont="1" applyBorder="1" applyAlignment="1">
      <alignment horizontal="center" vertical="center" wrapText="1"/>
    </xf>
    <xf numFmtId="0" fontId="37" fillId="25" borderId="1" xfId="0" applyFont="1" applyFill="1" applyBorder="1" applyAlignment="1">
      <alignment horizontal="left" vertical="top" wrapText="1"/>
    </xf>
    <xf numFmtId="0" fontId="33" fillId="0" borderId="4" xfId="0" applyFont="1" applyBorder="1" applyAlignment="1">
      <alignment horizontal="center" vertical="center" wrapText="1"/>
    </xf>
    <xf numFmtId="0" fontId="33" fillId="25" borderId="2" xfId="0" applyFont="1" applyFill="1" applyBorder="1" applyAlignment="1">
      <alignment horizontal="left" vertical="top" wrapText="1"/>
    </xf>
    <xf numFmtId="0" fontId="33" fillId="26" borderId="4" xfId="0" applyFont="1" applyFill="1" applyBorder="1" applyAlignment="1">
      <alignment horizontal="center" vertical="center" wrapText="1"/>
    </xf>
    <xf numFmtId="0" fontId="33" fillId="0" borderId="13" xfId="0" applyFont="1" applyBorder="1" applyAlignment="1">
      <alignment horizontal="center" vertical="center" wrapText="1"/>
    </xf>
    <xf numFmtId="0" fontId="28" fillId="0" borderId="27" xfId="0" applyFont="1" applyBorder="1" applyAlignment="1">
      <alignment horizontal="center" vertical="center" wrapText="1"/>
    </xf>
    <xf numFmtId="0" fontId="29" fillId="0" borderId="27" xfId="0" applyFont="1" applyBorder="1" applyAlignment="1">
      <alignment horizontal="left" vertical="center" wrapText="1"/>
    </xf>
    <xf numFmtId="0" fontId="10" fillId="0" borderId="30" xfId="0" applyFont="1" applyBorder="1" applyAlignment="1">
      <alignment horizontal="left" vertical="center"/>
    </xf>
    <xf numFmtId="0" fontId="32" fillId="32" borderId="3" xfId="0" applyFont="1" applyFill="1" applyBorder="1" applyAlignment="1">
      <alignment horizontal="center" vertical="top" wrapText="1"/>
    </xf>
    <xf numFmtId="0" fontId="71" fillId="25" borderId="31" xfId="0" applyFont="1" applyFill="1" applyBorder="1" applyAlignment="1">
      <alignment horizontal="left" vertical="top" wrapText="1"/>
    </xf>
    <xf numFmtId="0" fontId="32" fillId="25" borderId="32" xfId="0" applyFont="1" applyFill="1" applyBorder="1" applyAlignment="1">
      <alignment horizontal="left" vertical="top"/>
    </xf>
    <xf numFmtId="0" fontId="32" fillId="25" borderId="33" xfId="0" applyFont="1" applyFill="1" applyBorder="1" applyAlignment="1">
      <alignment horizontal="left" vertical="top"/>
    </xf>
    <xf numFmtId="0" fontId="10" fillId="0" borderId="24" xfId="0" applyFont="1" applyBorder="1" applyAlignment="1">
      <alignment horizontal="center" vertical="center"/>
    </xf>
    <xf numFmtId="0" fontId="38" fillId="10" borderId="26" xfId="0" applyFont="1" applyFill="1" applyBorder="1" applyAlignment="1">
      <alignment horizontal="center" vertical="top" wrapText="1"/>
    </xf>
    <xf numFmtId="0" fontId="38" fillId="10" borderId="27" xfId="0" applyFont="1" applyFill="1" applyBorder="1" applyAlignment="1">
      <alignment horizontal="center" vertical="top" wrapText="1"/>
    </xf>
    <xf numFmtId="0" fontId="38" fillId="10" borderId="28" xfId="0" applyFont="1" applyFill="1" applyBorder="1" applyAlignment="1">
      <alignment horizontal="center" vertical="top" wrapText="1"/>
    </xf>
    <xf numFmtId="0" fontId="38" fillId="0" borderId="1" xfId="0" applyFont="1" applyBorder="1" applyAlignment="1">
      <alignment horizontal="left" vertical="top" wrapText="1"/>
    </xf>
    <xf numFmtId="0" fontId="38" fillId="25" borderId="1" xfId="0" applyFont="1" applyFill="1" applyBorder="1" applyAlignment="1">
      <alignment horizontal="left" vertical="top" wrapText="1"/>
    </xf>
    <xf numFmtId="0" fontId="48" fillId="25" borderId="1" xfId="0" applyFont="1" applyFill="1" applyBorder="1" applyAlignment="1">
      <alignment horizontal="left" vertical="top" wrapText="1"/>
    </xf>
    <xf numFmtId="0" fontId="48" fillId="25" borderId="2" xfId="0" applyFont="1" applyFill="1" applyBorder="1" applyAlignment="1">
      <alignment horizontal="left" vertical="top" wrapText="1"/>
    </xf>
    <xf numFmtId="0" fontId="45" fillId="25" borderId="0" xfId="0" applyFont="1" applyFill="1" applyAlignment="1">
      <alignment horizontal="left" vertical="top"/>
    </xf>
    <xf numFmtId="0" fontId="45" fillId="25" borderId="0" xfId="0" applyFont="1" applyFill="1" applyAlignment="1">
      <alignment horizontal="left" vertical="top" wrapText="1"/>
    </xf>
    <xf numFmtId="0" fontId="38" fillId="0" borderId="44" xfId="0" applyFont="1" applyBorder="1" applyAlignment="1">
      <alignment horizontal="left" vertical="top" wrapText="1"/>
    </xf>
    <xf numFmtId="0" fontId="49" fillId="0" borderId="3" xfId="0" applyFont="1" applyBorder="1" applyAlignment="1">
      <alignment horizontal="left" vertical="top" wrapText="1"/>
    </xf>
    <xf numFmtId="0" fontId="48" fillId="0" borderId="1" xfId="0" applyFont="1" applyBorder="1" applyAlignment="1">
      <alignment horizontal="left" vertical="top" wrapText="1"/>
    </xf>
    <xf numFmtId="0" fontId="44" fillId="32" borderId="42" xfId="0" applyFont="1" applyFill="1" applyBorder="1" applyAlignment="1">
      <alignment horizontal="center" vertical="center"/>
    </xf>
    <xf numFmtId="0" fontId="44" fillId="32" borderId="43" xfId="0" applyFont="1" applyFill="1" applyBorder="1" applyAlignment="1">
      <alignment horizontal="center" vertical="center"/>
    </xf>
    <xf numFmtId="0" fontId="44" fillId="32" borderId="53" xfId="0" applyFont="1" applyFill="1" applyBorder="1" applyAlignment="1">
      <alignment horizontal="center" vertical="center"/>
    </xf>
    <xf numFmtId="0" fontId="40" fillId="0" borderId="40" xfId="0" applyFont="1" applyBorder="1" applyAlignment="1">
      <alignment horizontal="center" vertical="top"/>
    </xf>
    <xf numFmtId="0" fontId="40" fillId="0" borderId="41" xfId="0" applyFont="1" applyBorder="1" applyAlignment="1">
      <alignment horizontal="center" vertical="top"/>
    </xf>
    <xf numFmtId="0" fontId="71" fillId="25" borderId="80" xfId="0" applyFont="1" applyFill="1" applyBorder="1" applyAlignment="1">
      <alignment horizontal="left" vertical="top" wrapText="1"/>
    </xf>
    <xf numFmtId="0" fontId="71" fillId="25" borderId="27" xfId="0" applyFont="1" applyFill="1" applyBorder="1" applyAlignment="1">
      <alignment horizontal="left" vertical="top" wrapText="1"/>
    </xf>
    <xf numFmtId="0" fontId="71" fillId="25" borderId="81" xfId="0" applyFont="1" applyFill="1" applyBorder="1" applyAlignment="1">
      <alignment horizontal="left" vertical="top" wrapText="1"/>
    </xf>
    <xf numFmtId="0" fontId="42" fillId="0" borderId="23" xfId="0" applyFont="1" applyBorder="1" applyAlignment="1">
      <alignment horizontal="left" vertical="top" wrapText="1"/>
    </xf>
    <xf numFmtId="0" fontId="42" fillId="0" borderId="24" xfId="0" applyFont="1" applyBorder="1" applyAlignment="1">
      <alignment horizontal="left" vertical="top" wrapText="1"/>
    </xf>
    <xf numFmtId="0" fontId="42" fillId="0" borderId="25" xfId="0" applyFont="1" applyBorder="1" applyAlignment="1">
      <alignment horizontal="left" vertical="top" wrapText="1"/>
    </xf>
    <xf numFmtId="0" fontId="78" fillId="0" borderId="64" xfId="0" applyFont="1" applyBorder="1" applyAlignment="1">
      <alignment horizontal="left" vertical="top" wrapText="1"/>
    </xf>
    <xf numFmtId="0" fontId="78" fillId="0" borderId="65" xfId="0" applyFont="1" applyBorder="1" applyAlignment="1">
      <alignment horizontal="left" vertical="top" wrapText="1"/>
    </xf>
    <xf numFmtId="0" fontId="78" fillId="0" borderId="76" xfId="0" applyFont="1" applyBorder="1" applyAlignment="1">
      <alignment horizontal="left" vertical="top" wrapText="1"/>
    </xf>
    <xf numFmtId="0" fontId="78" fillId="0" borderId="10" xfId="0" applyFont="1" applyBorder="1" applyAlignment="1">
      <alignment horizontal="left" vertical="top" wrapText="1"/>
    </xf>
    <xf numFmtId="0" fontId="78" fillId="0" borderId="67" xfId="0" applyFont="1" applyBorder="1" applyAlignment="1">
      <alignment horizontal="left" vertical="top" wrapText="1"/>
    </xf>
    <xf numFmtId="0" fontId="78" fillId="0" borderId="77" xfId="0" applyFont="1" applyBorder="1" applyAlignment="1">
      <alignment horizontal="left" vertical="top" wrapText="1"/>
    </xf>
    <xf numFmtId="0" fontId="78" fillId="0" borderId="68" xfId="0" applyFont="1" applyBorder="1" applyAlignment="1">
      <alignment horizontal="left" vertical="top" wrapText="1"/>
    </xf>
    <xf numFmtId="0" fontId="78" fillId="0" borderId="69" xfId="0" applyFont="1" applyBorder="1" applyAlignment="1">
      <alignment horizontal="left" vertical="top" wrapText="1"/>
    </xf>
    <xf numFmtId="0" fontId="78" fillId="0" borderId="70" xfId="0" applyFont="1" applyBorder="1" applyAlignment="1">
      <alignment horizontal="left" vertical="top" wrapText="1"/>
    </xf>
    <xf numFmtId="0" fontId="78" fillId="0" borderId="71" xfId="0" applyFont="1" applyBorder="1" applyAlignment="1">
      <alignment horizontal="left" vertical="top" wrapText="1"/>
    </xf>
    <xf numFmtId="0" fontId="78" fillId="0" borderId="72" xfId="0" applyFont="1" applyBorder="1" applyAlignment="1">
      <alignment horizontal="left" vertical="top" wrapText="1"/>
    </xf>
    <xf numFmtId="0" fontId="78" fillId="0" borderId="73" xfId="0" applyFont="1" applyBorder="1" applyAlignment="1">
      <alignment horizontal="left" vertical="top" wrapText="1"/>
    </xf>
    <xf numFmtId="0" fontId="78" fillId="0" borderId="74" xfId="0" applyFont="1" applyBorder="1" applyAlignment="1">
      <alignment horizontal="left" vertical="top" wrapText="1"/>
    </xf>
    <xf numFmtId="0" fontId="78" fillId="0" borderId="75" xfId="0" applyFont="1" applyBorder="1" applyAlignment="1">
      <alignment horizontal="left" vertical="top" wrapText="1"/>
    </xf>
    <xf numFmtId="0" fontId="78" fillId="0" borderId="66" xfId="0" applyFont="1" applyBorder="1" applyAlignment="1">
      <alignment horizontal="left" vertical="top" wrapText="1"/>
    </xf>
    <xf numFmtId="0" fontId="78" fillId="0" borderId="8" xfId="0" applyFont="1" applyBorder="1" applyAlignment="1">
      <alignment horizontal="left" vertical="top" wrapText="1"/>
    </xf>
    <xf numFmtId="0" fontId="78" fillId="0" borderId="78" xfId="0" applyFont="1" applyBorder="1" applyAlignment="1">
      <alignment horizontal="left" vertical="top" wrapText="1"/>
    </xf>
    <xf numFmtId="0" fontId="78" fillId="0" borderId="79" xfId="0" applyFont="1" applyBorder="1" applyAlignment="1">
      <alignment horizontal="left" vertical="top" wrapText="1"/>
    </xf>
    <xf numFmtId="0" fontId="38" fillId="10" borderId="55" xfId="0" applyFont="1" applyFill="1" applyBorder="1" applyAlignment="1">
      <alignment horizontal="center" vertical="top"/>
    </xf>
    <xf numFmtId="0" fontId="38" fillId="10" borderId="0" xfId="0" applyFont="1" applyFill="1" applyAlignment="1">
      <alignment horizontal="center" vertical="top"/>
    </xf>
    <xf numFmtId="0" fontId="38" fillId="10" borderId="56" xfId="0" applyFont="1" applyFill="1" applyBorder="1" applyAlignment="1">
      <alignment horizontal="center" vertical="top"/>
    </xf>
    <xf numFmtId="0" fontId="48" fillId="25" borderId="4" xfId="0" applyFont="1" applyFill="1" applyBorder="1" applyAlignment="1">
      <alignment horizontal="left" vertical="top" wrapText="1"/>
    </xf>
    <xf numFmtId="0" fontId="48" fillId="25" borderId="20" xfId="0" applyFont="1" applyFill="1" applyBorder="1" applyAlignment="1">
      <alignment horizontal="left" vertical="top" wrapText="1"/>
    </xf>
    <xf numFmtId="0" fontId="38" fillId="25" borderId="1" xfId="0" applyFont="1" applyFill="1" applyBorder="1" applyAlignment="1">
      <alignment horizontal="left" vertical="top"/>
    </xf>
    <xf numFmtId="0" fontId="32" fillId="25" borderId="0" xfId="0" applyFont="1" applyFill="1" applyAlignment="1">
      <alignment horizontal="left" vertical="top"/>
    </xf>
    <xf numFmtId="0" fontId="32" fillId="25" borderId="0" xfId="0" applyFont="1" applyFill="1" applyAlignment="1">
      <alignment horizontal="left" vertical="top" wrapText="1"/>
    </xf>
    <xf numFmtId="0" fontId="44" fillId="32" borderId="54" xfId="0" applyFont="1" applyFill="1" applyBorder="1" applyAlignment="1">
      <alignment horizontal="center"/>
    </xf>
    <xf numFmtId="0" fontId="44" fillId="32" borderId="32" xfId="0" applyFont="1" applyFill="1" applyBorder="1" applyAlignment="1">
      <alignment horizontal="center"/>
    </xf>
    <xf numFmtId="0" fontId="54" fillId="0" borderId="24" xfId="0" applyFont="1" applyBorder="1" applyAlignment="1">
      <alignment horizontal="center" vertical="top"/>
    </xf>
    <xf numFmtId="0" fontId="54" fillId="0" borderId="49" xfId="0" applyFont="1" applyBorder="1" applyAlignment="1">
      <alignment horizontal="center" vertical="top"/>
    </xf>
    <xf numFmtId="0" fontId="55" fillId="0" borderId="50" xfId="0" applyFont="1" applyBorder="1" applyAlignment="1">
      <alignment horizontal="left" vertical="top" wrapText="1"/>
    </xf>
    <xf numFmtId="0" fontId="55" fillId="0" borderId="22" xfId="0" applyFont="1" applyBorder="1" applyAlignment="1">
      <alignment horizontal="left" vertical="top" wrapText="1"/>
    </xf>
    <xf numFmtId="0" fontId="43" fillId="0" borderId="26" xfId="0" applyFont="1" applyBorder="1" applyAlignment="1">
      <alignment horizontal="left" vertical="top" wrapText="1"/>
    </xf>
    <xf numFmtId="0" fontId="43" fillId="0" borderId="27" xfId="0" applyFont="1" applyBorder="1" applyAlignment="1">
      <alignment horizontal="left" vertical="top" wrapText="1"/>
    </xf>
    <xf numFmtId="0" fontId="76" fillId="0" borderId="0" xfId="0" applyFont="1" applyAlignment="1">
      <alignment horizontal="left" vertical="top" wrapText="1"/>
    </xf>
  </cellXfs>
  <cellStyles count="17">
    <cellStyle name="Hipervínculo" xfId="15" builtinId="8"/>
    <cellStyle name="Hipervínculo 2" xfId="8"/>
    <cellStyle name="Hyperlink" xfId="16"/>
    <cellStyle name="Millares [0]" xfId="14" builtinId="6"/>
    <cellStyle name="Millares 2" xfId="10"/>
    <cellStyle name="Millares 3" xfId="9"/>
    <cellStyle name="Moneda" xfId="11" builtinId="4"/>
    <cellStyle name="Moneda [0]" xfId="12" builtinId="7"/>
    <cellStyle name="Moneda [0] 2 2" xfId="2"/>
    <cellStyle name="Normal" xfId="0" builtinId="0"/>
    <cellStyle name="Normal 2" xfId="6"/>
    <cellStyle name="Normal 2 2" xfId="13"/>
    <cellStyle name="Normal 3" xfId="3"/>
    <cellStyle name="Normal 4" xfId="4"/>
    <cellStyle name="Porcentaje" xfId="1" builtinId="5"/>
    <cellStyle name="Porcentaje 2" xfId="5"/>
    <cellStyle name="Porcentual 2" xfId="7"/>
  </cellStyles>
  <dxfs count="0"/>
  <tableStyles count="0" defaultTableStyle="TableStyleMedium2" defaultPivotStyle="PivotStyleLight16"/>
  <colors>
    <mruColors>
      <color rgb="FF00FF00"/>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0.32497156605424321"/>
          <c:y val="0.2167461358996792"/>
          <c:w val="0.3389459755030621"/>
          <c:h val="0.56490995917177023"/>
        </c:manualLayout>
      </c:layout>
      <c:doughnut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AF6B-4E4C-B013-AF90F7FCA1E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3-AF6B-4E4C-B013-AF90F7FCA1E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2-AF6B-4E4C-B013-AF90F7FCA1E9}"/>
              </c:ext>
            </c:extLst>
          </c:dPt>
          <c:dLbls>
            <c:dLbl>
              <c:idx val="0"/>
              <c:layout>
                <c:manualLayout>
                  <c:x val="6.3888888888888787E-2"/>
                  <c:y val="-0.1250000000000000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F6B-4E4C-B013-AF90F7FCA1E9}"/>
                </c:ext>
              </c:extLst>
            </c:dLbl>
            <c:dLbl>
              <c:idx val="1"/>
              <c:layout>
                <c:manualLayout>
                  <c:x val="-7.5000000000000053E-2"/>
                  <c:y val="7.8703703703703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F6B-4E4C-B013-AF90F7FCA1E9}"/>
                </c:ext>
              </c:extLst>
            </c:dLbl>
            <c:dLbl>
              <c:idx val="2"/>
              <c:layout>
                <c:manualLayout>
                  <c:x val="-0.14999989063867017"/>
                  <c:y val="-3.9351669582968797E-2"/>
                </c:manualLayout>
              </c:layout>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2"/>
                      </a:solidFill>
                      <a:latin typeface="+mn-lt"/>
                      <a:ea typeface="+mn-ea"/>
                      <a:cs typeface="+mn-cs"/>
                    </a:defRPr>
                  </a:pPr>
                  <a:endParaRPr lang="es-CO"/>
                </a:p>
              </c:txPr>
              <c:showLegendKey val="0"/>
              <c:showVal val="0"/>
              <c:showCatName val="0"/>
              <c:showSerName val="0"/>
              <c:showPercent val="1"/>
              <c:showBubbleSize val="0"/>
              <c:extLst>
                <c:ext xmlns:c15="http://schemas.microsoft.com/office/drawing/2012/chart" uri="{CE6537A1-D6FC-4f65-9D91-7224C49458BB}">
                  <c15:layout>
                    <c:manualLayout>
                      <c:w val="0.11820844269466314"/>
                      <c:h val="0.11104184893554971"/>
                    </c:manualLayout>
                  </c15:layout>
                </c:ext>
                <c:ext xmlns:c16="http://schemas.microsoft.com/office/drawing/2014/chart" uri="{C3380CC4-5D6E-409C-BE32-E72D297353CC}">
                  <c16:uniqueId val="{00000002-AF6B-4E4C-B013-AF90F7FCA1E9}"/>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2"/>
                    </a:solidFill>
                    <a:latin typeface="+mn-lt"/>
                    <a:ea typeface="+mn-ea"/>
                    <a:cs typeface="+mn-cs"/>
                  </a:defRPr>
                </a:pPr>
                <a:endParaRPr lang="es-CO"/>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Hoja2!$C$3:$C$5</c:f>
              <c:strCache>
                <c:ptCount val="3"/>
                <c:pt idx="0">
                  <c:v>Desde 41% hasta 50%</c:v>
                </c:pt>
                <c:pt idx="1">
                  <c:v> Desde 31% hasta 40%</c:v>
                </c:pt>
                <c:pt idx="2">
                  <c:v>Menores a 30%</c:v>
                </c:pt>
              </c:strCache>
            </c:strRef>
          </c:cat>
          <c:val>
            <c:numRef>
              <c:f>Hoja2!$D$3:$D$5</c:f>
              <c:numCache>
                <c:formatCode>0.0</c:formatCode>
                <c:ptCount val="3"/>
                <c:pt idx="0">
                  <c:v>39.436619718309856</c:v>
                </c:pt>
                <c:pt idx="1">
                  <c:v>38.028169014084504</c:v>
                </c:pt>
                <c:pt idx="2">
                  <c:v>22.535211267605632</c:v>
                </c:pt>
              </c:numCache>
            </c:numRef>
          </c:val>
          <c:extLst>
            <c:ext xmlns:c16="http://schemas.microsoft.com/office/drawing/2014/chart" uri="{C3380CC4-5D6E-409C-BE32-E72D297353CC}">
              <c16:uniqueId val="{00000000-AF6B-4E4C-B013-AF90F7FCA1E9}"/>
            </c:ext>
          </c:extLst>
        </c:ser>
        <c:dLbls>
          <c:showLegendKey val="0"/>
          <c:showVal val="0"/>
          <c:showCatName val="0"/>
          <c:showSerName val="0"/>
          <c:showPercent val="1"/>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no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b="1" i="0" u="none" strike="noStrike" kern="1200" cap="none" spc="20" baseline="0">
                <a:solidFill>
                  <a:sysClr val="windowText" lastClr="000000"/>
                </a:solidFill>
                <a:latin typeface="+mn-lt"/>
                <a:ea typeface="+mn-ea"/>
                <a:cs typeface="+mn-cs"/>
              </a:rPr>
              <a:t>AVANCE GENERAL </a:t>
            </a:r>
          </a:p>
          <a:p>
            <a:pPr>
              <a:defRPr/>
            </a:pPr>
            <a:r>
              <a:rPr lang="en-US" sz="1400" b="1" i="0" u="none" strike="noStrike" kern="1200" cap="none" spc="20" baseline="0">
                <a:solidFill>
                  <a:sysClr val="windowText" lastClr="000000"/>
                </a:solidFill>
                <a:latin typeface="+mn-lt"/>
                <a:ea typeface="+mn-ea"/>
                <a:cs typeface="+mn-cs"/>
              </a:rPr>
              <a:t>POR ESTRATEGIA 2022</a:t>
            </a:r>
            <a:r>
              <a:rPr lang="en-US"/>
              <a:t>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bar"/>
        <c:grouping val="clustered"/>
        <c:varyColors val="0"/>
        <c:ser>
          <c:idx val="0"/>
          <c:order val="0"/>
          <c:tx>
            <c:strRef>
              <c:f>'AVANCES 2022'!$H$3</c:f>
              <c:strCache>
                <c:ptCount val="1"/>
                <c:pt idx="0">
                  <c:v>AVANCE GENERAL </c:v>
                </c:pt>
              </c:strCache>
            </c:strRef>
          </c:tx>
          <c:spPr>
            <a:solidFill>
              <a:schemeClr val="tx2">
                <a:lumMod val="7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dLbl>
              <c:idx val="0"/>
              <c:layout>
                <c:manualLayout>
                  <c:x val="3.2615318370663629E-2"/>
                  <c:y val="-3.2986830916842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01-4C39-A62D-F4ADE406C546}"/>
                </c:ext>
              </c:extLst>
            </c:dLbl>
            <c:dLbl>
              <c:idx val="1"/>
              <c:layout>
                <c:manualLayout>
                  <c:x val="-6.2630399745240975E-3"/>
                  <c:y val="-3.26328121074608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01-4C39-A62D-F4ADE406C546}"/>
                </c:ext>
              </c:extLst>
            </c:dLbl>
            <c:dLbl>
              <c:idx val="2"/>
              <c:layout>
                <c:manualLayout>
                  <c:x val="0.12080422869159285"/>
                  <c:y val="4.75906195209799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01-4C39-A62D-F4ADE406C546}"/>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'AVANCES 2022'!$J$4:$J$6</c:f>
              <c:strCache>
                <c:ptCount val="3"/>
                <c:pt idx="0">
                  <c:v>Lo Intitucional </c:v>
                </c:pt>
                <c:pt idx="1">
                  <c:v>Lo Social </c:v>
                </c:pt>
                <c:pt idx="2">
                  <c:v>Lo ambiental </c:v>
                </c:pt>
              </c:strCache>
            </c:strRef>
          </c:cat>
          <c:val>
            <c:numRef>
              <c:f>'AVANCES 2022'!$H$4:$H$6</c:f>
              <c:numCache>
                <c:formatCode>0%</c:formatCode>
                <c:ptCount val="3"/>
                <c:pt idx="0">
                  <c:v>0</c:v>
                </c:pt>
                <c:pt idx="1">
                  <c:v>0</c:v>
                </c:pt>
                <c:pt idx="2">
                  <c:v>0</c:v>
                </c:pt>
              </c:numCache>
            </c:numRef>
          </c:val>
          <c:extLst>
            <c:ext xmlns:c16="http://schemas.microsoft.com/office/drawing/2014/chart" uri="{C3380CC4-5D6E-409C-BE32-E72D297353CC}">
              <c16:uniqueId val="{00000003-1201-4C39-A62D-F4ADE406C546}"/>
            </c:ext>
          </c:extLst>
        </c:ser>
        <c:dLbls>
          <c:showLegendKey val="0"/>
          <c:showVal val="0"/>
          <c:showCatName val="0"/>
          <c:showSerName val="0"/>
          <c:showPercent val="0"/>
          <c:showBubbleSize val="0"/>
        </c:dLbls>
        <c:gapWidth val="65"/>
        <c:shape val="box"/>
        <c:axId val="1749856367"/>
        <c:axId val="1749871759"/>
        <c:axId val="0"/>
      </c:bar3DChart>
      <c:catAx>
        <c:axId val="1749856367"/>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ysClr val="windowText" lastClr="000000"/>
                </a:solidFill>
                <a:latin typeface="+mn-lt"/>
                <a:ea typeface="+mn-ea"/>
                <a:cs typeface="+mn-cs"/>
              </a:defRPr>
            </a:pPr>
            <a:endParaRPr lang="es-CO"/>
          </a:p>
        </c:txPr>
        <c:crossAx val="1749871759"/>
        <c:crosses val="autoZero"/>
        <c:auto val="1"/>
        <c:lblAlgn val="ctr"/>
        <c:lblOffset val="100"/>
        <c:noMultiLvlLbl val="0"/>
      </c:catAx>
      <c:valAx>
        <c:axId val="1749871759"/>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74985636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b="1" i="0" u="none" strike="noStrike" kern="1200" cap="none" spc="20" baseline="0">
                <a:solidFill>
                  <a:sysClr val="windowText" lastClr="000000"/>
                </a:solidFill>
                <a:latin typeface="+mn-lt"/>
                <a:ea typeface="+mn-ea"/>
                <a:cs typeface="+mn-cs"/>
              </a:rPr>
              <a:t>N° DE METAS POR DEPENDENCIA</a:t>
            </a:r>
          </a:p>
        </c:rich>
      </c:tx>
      <c:layout>
        <c:manualLayout>
          <c:xMode val="edge"/>
          <c:yMode val="edge"/>
          <c:x val="0.42991364500435358"/>
          <c:y val="7.000501594443688E-3"/>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manualLayout>
          <c:layoutTarget val="inner"/>
          <c:xMode val="edge"/>
          <c:yMode val="edge"/>
          <c:x val="9.5599569685411598E-2"/>
          <c:y val="0.17123373844968298"/>
          <c:w val="0.47108818106314165"/>
          <c:h val="0.75056391726903904"/>
        </c:manualLayout>
      </c:layout>
      <c:doughnutChart>
        <c:varyColors val="1"/>
        <c:ser>
          <c:idx val="0"/>
          <c:order val="0"/>
          <c:tx>
            <c:strRef>
              <c:f>'AVANCES 2022'!$E$2</c:f>
              <c:strCache>
                <c:ptCount val="1"/>
                <c:pt idx="0">
                  <c:v>N° DE METAS A CARGO </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FF9D-4728-AF41-3C06F4306CF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FF9D-4728-AF41-3C06F4306CF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FF9D-4728-AF41-3C06F4306CF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FF9D-4728-AF41-3C06F4306CF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FF9D-4728-AF41-3C06F4306CFC}"/>
              </c:ext>
            </c:extLst>
          </c:dPt>
          <c:dLbls>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'AVANCES 2022'!$D$3:$D$7</c:f>
              <c:strCache>
                <c:ptCount val="5"/>
                <c:pt idx="0">
                  <c:v>Rectoría</c:v>
                </c:pt>
                <c:pt idx="1">
                  <c:v>Vicerrectoría Administrativa y Financiera</c:v>
                </c:pt>
                <c:pt idx="2">
                  <c:v>Vicerrectoría Académica</c:v>
                </c:pt>
                <c:pt idx="3">
                  <c:v>Vicerrectoría de Investigación, Extensión y Transferencia</c:v>
                </c:pt>
                <c:pt idx="4">
                  <c:v>Sin obligatorio avance 2022</c:v>
                </c:pt>
              </c:strCache>
            </c:strRef>
          </c:cat>
          <c:val>
            <c:numRef>
              <c:f>'AVANCES 2022'!$E$3:$E$7</c:f>
              <c:numCache>
                <c:formatCode>General</c:formatCode>
                <c:ptCount val="5"/>
                <c:pt idx="0">
                  <c:v>12</c:v>
                </c:pt>
                <c:pt idx="1">
                  <c:v>22</c:v>
                </c:pt>
                <c:pt idx="2">
                  <c:v>17</c:v>
                </c:pt>
                <c:pt idx="3">
                  <c:v>14</c:v>
                </c:pt>
                <c:pt idx="4">
                  <c:v>6</c:v>
                </c:pt>
              </c:numCache>
            </c:numRef>
          </c:val>
          <c:extLst>
            <c:ext xmlns:c16="http://schemas.microsoft.com/office/drawing/2014/chart" uri="{C3380CC4-5D6E-409C-BE32-E72D297353CC}">
              <c16:uniqueId val="{0000000A-FF9D-4728-AF41-3C06F4306CFC}"/>
            </c:ext>
          </c:extLst>
        </c:ser>
        <c:dLbls>
          <c:showLegendKey val="0"/>
          <c:showVal val="0"/>
          <c:showCatName val="0"/>
          <c:showSerName val="0"/>
          <c:showPercent val="1"/>
          <c:showBubbleSize val="0"/>
          <c:showLeaderLines val="0"/>
        </c:dLbls>
        <c:firstSliceAng val="0"/>
        <c:holeSize val="50"/>
      </c:doughnutChart>
      <c:spPr>
        <a:noFill/>
        <a:ln>
          <a:noFill/>
        </a:ln>
        <a:effectLst/>
      </c:spPr>
    </c:plotArea>
    <c:legend>
      <c:legendPos val="r"/>
      <c:layout>
        <c:manualLayout>
          <c:xMode val="edge"/>
          <c:yMode val="edge"/>
          <c:x val="0.55260027605491313"/>
          <c:y val="0.10559482873524496"/>
          <c:w val="0.43958452689443145"/>
          <c:h val="0.856481666070776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b="1" i="0" u="none" strike="noStrike" kern="1200" cap="none" spc="20" baseline="0">
                <a:solidFill>
                  <a:sysClr val="windowText" lastClr="000000"/>
                </a:solidFill>
                <a:latin typeface="+mn-lt"/>
                <a:ea typeface="+mn-ea"/>
                <a:cs typeface="+mn-cs"/>
              </a:rPr>
              <a:t>N° METAS ESTRATÉGICAS </a:t>
            </a:r>
            <a:br>
              <a:rPr lang="en-US" sz="1400" b="1" i="0" u="none" strike="noStrike" kern="1200" cap="none" spc="20" baseline="0">
                <a:solidFill>
                  <a:sysClr val="windowText" lastClr="000000"/>
                </a:solidFill>
                <a:latin typeface="+mn-lt"/>
                <a:ea typeface="+mn-ea"/>
                <a:cs typeface="+mn-cs"/>
              </a:rPr>
            </a:br>
            <a:r>
              <a:rPr lang="en-US" sz="1400" b="1" i="0" u="none" strike="noStrike" kern="1200" cap="none" spc="20" baseline="0">
                <a:solidFill>
                  <a:sysClr val="windowText" lastClr="000000"/>
                </a:solidFill>
                <a:latin typeface="+mn-lt"/>
                <a:ea typeface="+mn-ea"/>
                <a:cs typeface="+mn-cs"/>
              </a:rPr>
              <a:t>POR ESTRATEGIA</a:t>
            </a:r>
          </a:p>
        </c:rich>
      </c:tx>
      <c:layout>
        <c:manualLayout>
          <c:xMode val="edge"/>
          <c:yMode val="edge"/>
          <c:x val="0.21989889383668948"/>
          <c:y val="5.898974950668083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manualLayout>
          <c:layoutTarget val="inner"/>
          <c:xMode val="edge"/>
          <c:yMode val="edge"/>
          <c:x val="1.8982175274437418E-2"/>
          <c:y val="0.19894363863498388"/>
          <c:w val="0.59012119544440667"/>
          <c:h val="0.75616497995057819"/>
        </c:manualLayout>
      </c:layout>
      <c:pieChart>
        <c:varyColors val="1"/>
        <c:ser>
          <c:idx val="0"/>
          <c:order val="0"/>
          <c:tx>
            <c:strRef>
              <c:f>'AVANCES 2022'!$K$3</c:f>
              <c:strCache>
                <c:ptCount val="1"/>
                <c:pt idx="0">
                  <c:v>METAS ESTRATÉGICAS </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BD3E-4C1A-857B-71FCE0E77360}"/>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BD3E-4C1A-857B-71FCE0E7736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BD3E-4C1A-857B-71FCE0E77360}"/>
              </c:ext>
            </c:extLst>
          </c:dPt>
          <c:dLbls>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'AVANCES 2022'!$J$4:$J$6</c:f>
              <c:strCache>
                <c:ptCount val="3"/>
                <c:pt idx="0">
                  <c:v>Lo Intitucional </c:v>
                </c:pt>
                <c:pt idx="1">
                  <c:v>Lo Social </c:v>
                </c:pt>
                <c:pt idx="2">
                  <c:v>Lo ambiental </c:v>
                </c:pt>
              </c:strCache>
            </c:strRef>
          </c:cat>
          <c:val>
            <c:numRef>
              <c:f>'AVANCES 2022'!$K$4:$K$6</c:f>
              <c:numCache>
                <c:formatCode>General</c:formatCode>
                <c:ptCount val="3"/>
                <c:pt idx="0">
                  <c:v>26</c:v>
                </c:pt>
                <c:pt idx="1">
                  <c:v>23</c:v>
                </c:pt>
                <c:pt idx="2">
                  <c:v>16</c:v>
                </c:pt>
              </c:numCache>
            </c:numRef>
          </c:val>
          <c:extLst>
            <c:ext xmlns:c16="http://schemas.microsoft.com/office/drawing/2014/chart" uri="{C3380CC4-5D6E-409C-BE32-E72D297353CC}">
              <c16:uniqueId val="{00000006-BD3E-4C1A-857B-71FCE0E77360}"/>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0724868766404194"/>
          <c:y val="0.32746391076115483"/>
          <c:w val="0.25386242344706911"/>
          <c:h val="0.2847714348206474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solidFill>
                  <a:schemeClr val="tx1"/>
                </a:solidFill>
              </a:rPr>
              <a:t>AVANCE GENERAL VIGENCIA 2022 - ETITC </a:t>
            </a:r>
          </a:p>
          <a:p>
            <a:pPr>
              <a:defRPr>
                <a:solidFill>
                  <a:schemeClr val="tx1"/>
                </a:solidFill>
              </a:defRPr>
            </a:pPr>
            <a:r>
              <a:rPr lang="en-US">
                <a:solidFill>
                  <a:schemeClr val="tx1"/>
                </a:solidFill>
              </a:rPr>
              <a:t>PLAN DE ACCIÓN 2022</a:t>
            </a:r>
          </a:p>
        </c:rich>
      </c:tx>
      <c:layout>
        <c:manualLayout>
          <c:xMode val="edge"/>
          <c:yMode val="edge"/>
          <c:x val="0.19094929645994663"/>
          <c:y val="7.81810715622960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'AVANCES 2022'!$N$2</c:f>
              <c:strCache>
                <c:ptCount val="1"/>
                <c:pt idx="0">
                  <c:v>AVANCE TOTAL </c:v>
                </c:pt>
              </c:strCache>
            </c:strRef>
          </c:tx>
          <c:spPr>
            <a:solidFill>
              <a:schemeClr val="accent2"/>
            </a:solidFill>
            <a:ln>
              <a:noFill/>
            </a:ln>
            <a:effectLst/>
            <a:sp3d/>
          </c:spPr>
          <c:invertIfNegative val="0"/>
          <c:dLbls>
            <c:dLbl>
              <c:idx val="0"/>
              <c:layout>
                <c:manualLayout>
                  <c:x val="1.3888888888888914E-2"/>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99-43B6-AA50-7FB71F9C5D9F}"/>
                </c:ext>
              </c:extLst>
            </c:dLbl>
            <c:dLbl>
              <c:idx val="1"/>
              <c:layout>
                <c:manualLayout>
                  <c:x val="2.2222222222222223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99-43B6-AA50-7FB71F9C5D9F}"/>
                </c:ext>
              </c:extLst>
            </c:dLbl>
            <c:dLbl>
              <c:idx val="2"/>
              <c:layout>
                <c:manualLayout>
                  <c:x val="8.33333333333333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99-43B6-AA50-7FB71F9C5D9F}"/>
                </c:ext>
              </c:extLst>
            </c:dLbl>
            <c:dLbl>
              <c:idx val="3"/>
              <c:layout>
                <c:manualLayout>
                  <c:x val="1.388888888888888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99-43B6-AA50-7FB71F9C5D9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'AVANCES 2022'!$M$3:$M$6</c:f>
              <c:strCache>
                <c:ptCount val="4"/>
                <c:pt idx="0">
                  <c:v>Rectoría</c:v>
                </c:pt>
                <c:pt idx="1">
                  <c:v>Vicerrectoría Administrativa y Financiera</c:v>
                </c:pt>
                <c:pt idx="2">
                  <c:v>Vicerrectoría Académica</c:v>
                </c:pt>
                <c:pt idx="3">
                  <c:v>Vicerrectoría de Investigación, Extensión y Transferencia</c:v>
                </c:pt>
              </c:strCache>
            </c:strRef>
          </c:cat>
          <c:val>
            <c:numRef>
              <c:f>'AVANCES 2022'!$N$3:$N$6</c:f>
              <c:numCache>
                <c:formatCode>0%</c:formatCode>
                <c:ptCount val="4"/>
                <c:pt idx="0">
                  <c:v>45</c:v>
                </c:pt>
                <c:pt idx="1">
                  <c:v>39</c:v>
                </c:pt>
                <c:pt idx="2">
                  <c:v>41</c:v>
                </c:pt>
                <c:pt idx="3">
                  <c:v>52</c:v>
                </c:pt>
              </c:numCache>
            </c:numRef>
          </c:val>
          <c:extLst>
            <c:ext xmlns:c16="http://schemas.microsoft.com/office/drawing/2014/chart" uri="{C3380CC4-5D6E-409C-BE32-E72D297353CC}">
              <c16:uniqueId val="{00000004-6E99-43B6-AA50-7FB71F9C5D9F}"/>
            </c:ext>
          </c:extLst>
        </c:ser>
        <c:dLbls>
          <c:showLegendKey val="0"/>
          <c:showVal val="0"/>
          <c:showCatName val="0"/>
          <c:showSerName val="0"/>
          <c:showPercent val="0"/>
          <c:showBubbleSize val="0"/>
        </c:dLbls>
        <c:gapWidth val="150"/>
        <c:shape val="cylinder"/>
        <c:axId val="2059690656"/>
        <c:axId val="2059691488"/>
        <c:axId val="0"/>
      </c:bar3DChart>
      <c:catAx>
        <c:axId val="20596906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059691488"/>
        <c:crosses val="autoZero"/>
        <c:auto val="1"/>
        <c:lblAlgn val="ctr"/>
        <c:lblOffset val="100"/>
        <c:noMultiLvlLbl val="0"/>
      </c:catAx>
      <c:valAx>
        <c:axId val="2059691488"/>
        <c:scaling>
          <c:orientation val="minMax"/>
        </c:scaling>
        <c:delete val="1"/>
        <c:axPos val="l"/>
        <c:numFmt formatCode="0%" sourceLinked="1"/>
        <c:majorTickMark val="none"/>
        <c:minorTickMark val="none"/>
        <c:tickLblPos val="nextTo"/>
        <c:crossAx val="20596906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b="1">
                <a:solidFill>
                  <a:sysClr val="windowText" lastClr="000000"/>
                </a:solidFill>
              </a:rPr>
              <a:t>AVANCE GENERAL METAS PDI 2022</a:t>
            </a:r>
          </a:p>
        </c:rich>
      </c:tx>
      <c:layout>
        <c:manualLayout>
          <c:xMode val="edge"/>
          <c:yMode val="edge"/>
          <c:x val="0.22174404642084211"/>
          <c:y val="0.12608269899422761"/>
        </c:manualLayout>
      </c:layout>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11355555542281351"/>
          <c:y val="0.23762677700229184"/>
          <c:w val="0.88498840769903764"/>
          <c:h val="0.56831765820939051"/>
        </c:manualLayout>
      </c:layout>
      <c:bar3DChart>
        <c:barDir val="col"/>
        <c:grouping val="stacked"/>
        <c:varyColors val="0"/>
        <c:ser>
          <c:idx val="0"/>
          <c:order val="0"/>
          <c:tx>
            <c:strRef>
              <c:f>'AVANCES 2022'!$C$2</c:f>
              <c:strCache>
                <c:ptCount val="1"/>
                <c:pt idx="0">
                  <c:v>AVANCE TOTAL </c:v>
                </c:pt>
              </c:strCache>
            </c:strRef>
          </c:tx>
          <c:spPr>
            <a:solidFill>
              <a:schemeClr val="bg1">
                <a:lumMod val="65000"/>
              </a:schemeClr>
            </a:solidFill>
            <a:ln w="9525" cap="flat" cmpd="sng" algn="ctr">
              <a:solidFill>
                <a:schemeClr val="accent1">
                  <a:shade val="95000"/>
                </a:schemeClr>
              </a:solidFill>
              <a:round/>
            </a:ln>
            <a:effectLst>
              <a:outerShdw blurRad="50800" dist="38100" dir="5400000" algn="t" rotWithShape="0">
                <a:prstClr val="black">
                  <a:alpha val="40000"/>
                </a:prstClr>
              </a:outerShdw>
            </a:effectLst>
            <a:sp3d contourW="9525">
              <a:contourClr>
                <a:schemeClr val="accent1">
                  <a:shade val="95000"/>
                </a:schemeClr>
              </a:contourClr>
            </a:sp3d>
          </c:spPr>
          <c:invertIfNegative val="0"/>
          <c:dLbls>
            <c:dLbl>
              <c:idx val="0"/>
              <c:layout>
                <c:manualLayout>
                  <c:x val="-1.3738374008655302E-3"/>
                  <c:y val="-8.1695641769562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70-455C-A930-CBBF97D851D8}"/>
                </c:ext>
              </c:extLst>
            </c:dLbl>
            <c:dLbl>
              <c:idx val="1"/>
              <c:layout>
                <c:manualLayout>
                  <c:x val="-2.9663991699690642E-3"/>
                  <c:y val="-9.2996601473413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70-455C-A930-CBBF97D851D8}"/>
                </c:ext>
              </c:extLst>
            </c:dLbl>
            <c:dLbl>
              <c:idx val="2"/>
              <c:layout>
                <c:manualLayout>
                  <c:x val="6.7255740262809746E-3"/>
                  <c:y val="-5.9195927464166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70-455C-A930-CBBF97D851D8}"/>
                </c:ext>
              </c:extLst>
            </c:dLbl>
            <c:dLbl>
              <c:idx val="3"/>
              <c:layout>
                <c:manualLayout>
                  <c:x val="1.2281213038936744E-2"/>
                  <c:y val="-0.135420542285705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70-455C-A930-CBBF97D851D8}"/>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'AVANCES 2022'!$B$3:$B$6</c:f>
              <c:strCache>
                <c:ptCount val="4"/>
                <c:pt idx="0">
                  <c:v>Rectoría</c:v>
                </c:pt>
                <c:pt idx="1">
                  <c:v>Vicerrectoría Administrativa y Financiera</c:v>
                </c:pt>
                <c:pt idx="2">
                  <c:v>Vicerrectoría Académica</c:v>
                </c:pt>
                <c:pt idx="3">
                  <c:v>Vicerrectoría de Investigación, Extensión y Transferencia</c:v>
                </c:pt>
              </c:strCache>
            </c:strRef>
          </c:cat>
          <c:val>
            <c:numRef>
              <c:f>'AVANCES 2022'!$C$3:$C$6</c:f>
              <c:numCache>
                <c:formatCode>0%</c:formatCode>
                <c:ptCount val="4"/>
                <c:pt idx="0">
                  <c:v>0</c:v>
                </c:pt>
                <c:pt idx="1">
                  <c:v>0</c:v>
                </c:pt>
                <c:pt idx="2">
                  <c:v>0</c:v>
                </c:pt>
                <c:pt idx="3">
                  <c:v>0</c:v>
                </c:pt>
              </c:numCache>
            </c:numRef>
          </c:val>
          <c:extLst>
            <c:ext xmlns:c16="http://schemas.microsoft.com/office/drawing/2014/chart" uri="{C3380CC4-5D6E-409C-BE32-E72D297353CC}">
              <c16:uniqueId val="{00000004-B270-455C-A930-CBBF97D851D8}"/>
            </c:ext>
          </c:extLst>
        </c:ser>
        <c:dLbls>
          <c:showLegendKey val="0"/>
          <c:showVal val="0"/>
          <c:showCatName val="0"/>
          <c:showSerName val="0"/>
          <c:showPercent val="0"/>
          <c:showBubbleSize val="0"/>
        </c:dLbls>
        <c:gapWidth val="150"/>
        <c:shape val="box"/>
        <c:axId val="1757774351"/>
        <c:axId val="2033940607"/>
        <c:axId val="0"/>
      </c:bar3DChart>
      <c:catAx>
        <c:axId val="175777435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2033940607"/>
        <c:crosses val="autoZero"/>
        <c:auto val="1"/>
        <c:lblAlgn val="ctr"/>
        <c:lblOffset val="100"/>
        <c:noMultiLvlLbl val="0"/>
      </c:catAx>
      <c:valAx>
        <c:axId val="2033940607"/>
        <c:scaling>
          <c:orientation val="minMax"/>
        </c:scaling>
        <c:delete val="1"/>
        <c:axPos val="l"/>
        <c:numFmt formatCode="0%" sourceLinked="1"/>
        <c:majorTickMark val="none"/>
        <c:minorTickMark val="none"/>
        <c:tickLblPos val="nextTo"/>
        <c:crossAx val="1757774351"/>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599931184097272"/>
          <c:y val="0.11513385525991233"/>
          <c:w val="0.49153267343119517"/>
          <c:h val="0.8634354936402181"/>
        </c:manualLayout>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323F-484C-8561-0BA741C7FB34}"/>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323F-484C-8561-0BA741C7FB34}"/>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323F-484C-8561-0BA741C7FB34}"/>
              </c:ext>
            </c:extLst>
          </c:dPt>
          <c:dPt>
            <c:idx val="3"/>
            <c:bubble3D val="0"/>
            <c:spPr>
              <a:solidFill>
                <a:srgbClr val="FFFF00"/>
              </a:solidFill>
              <a:ln w="19050">
                <a:solidFill>
                  <a:schemeClr val="lt1"/>
                </a:solidFill>
              </a:ln>
              <a:effectLst/>
            </c:spPr>
            <c:extLst>
              <c:ext xmlns:c16="http://schemas.microsoft.com/office/drawing/2014/chart" uri="{C3380CC4-5D6E-409C-BE32-E72D297353CC}">
                <c16:uniqueId val="{00000007-323F-484C-8561-0BA741C7FB34}"/>
              </c:ext>
            </c:extLst>
          </c:dPt>
          <c:dPt>
            <c:idx val="4"/>
            <c:bubble3D val="0"/>
            <c:spPr>
              <a:solidFill>
                <a:srgbClr val="FFFF00"/>
              </a:solidFill>
              <a:ln w="19050">
                <a:solidFill>
                  <a:schemeClr val="lt1"/>
                </a:solidFill>
              </a:ln>
              <a:effectLst/>
            </c:spPr>
            <c:extLst>
              <c:ext xmlns:c16="http://schemas.microsoft.com/office/drawing/2014/chart" uri="{C3380CC4-5D6E-409C-BE32-E72D297353CC}">
                <c16:uniqueId val="{00000009-323F-484C-8561-0BA741C7FB34}"/>
              </c:ext>
            </c:extLst>
          </c:dPt>
          <c:dPt>
            <c:idx val="5"/>
            <c:bubble3D val="0"/>
            <c:spPr>
              <a:solidFill>
                <a:srgbClr val="FFFF00"/>
              </a:solidFill>
              <a:ln w="19050">
                <a:solidFill>
                  <a:schemeClr val="lt1"/>
                </a:solidFill>
              </a:ln>
              <a:effectLst/>
            </c:spPr>
            <c:extLst>
              <c:ext xmlns:c16="http://schemas.microsoft.com/office/drawing/2014/chart" uri="{C3380CC4-5D6E-409C-BE32-E72D297353CC}">
                <c16:uniqueId val="{0000000B-323F-484C-8561-0BA741C7FB34}"/>
              </c:ext>
            </c:extLst>
          </c:dPt>
          <c:dPt>
            <c:idx val="6"/>
            <c:bubble3D val="0"/>
            <c:spPr>
              <a:solidFill>
                <a:srgbClr val="FFC000"/>
              </a:solidFill>
              <a:ln w="19050">
                <a:solidFill>
                  <a:schemeClr val="lt1"/>
                </a:solidFill>
              </a:ln>
              <a:effectLst/>
            </c:spPr>
            <c:extLst>
              <c:ext xmlns:c16="http://schemas.microsoft.com/office/drawing/2014/chart" uri="{C3380CC4-5D6E-409C-BE32-E72D297353CC}">
                <c16:uniqueId val="{0000000D-323F-484C-8561-0BA741C7FB34}"/>
              </c:ext>
            </c:extLst>
          </c:dPt>
          <c:dPt>
            <c:idx val="7"/>
            <c:bubble3D val="0"/>
            <c:spPr>
              <a:solidFill>
                <a:srgbClr val="92D050"/>
              </a:solidFill>
              <a:ln w="19050">
                <a:solidFill>
                  <a:schemeClr val="lt1"/>
                </a:solidFill>
              </a:ln>
              <a:effectLst/>
            </c:spPr>
            <c:extLst>
              <c:ext xmlns:c16="http://schemas.microsoft.com/office/drawing/2014/chart" uri="{C3380CC4-5D6E-409C-BE32-E72D297353CC}">
                <c16:uniqueId val="{0000000F-323F-484C-8561-0BA741C7FB34}"/>
              </c:ext>
            </c:extLst>
          </c:dPt>
          <c:dPt>
            <c:idx val="8"/>
            <c:bubble3D val="0"/>
            <c:spPr>
              <a:solidFill>
                <a:srgbClr val="00B050"/>
              </a:solidFill>
              <a:ln w="19050">
                <a:solidFill>
                  <a:schemeClr val="lt1"/>
                </a:solidFill>
              </a:ln>
              <a:effectLst/>
            </c:spPr>
            <c:extLst>
              <c:ext xmlns:c16="http://schemas.microsoft.com/office/drawing/2014/chart" uri="{C3380CC4-5D6E-409C-BE32-E72D297353CC}">
                <c16:uniqueId val="{00000011-323F-484C-8561-0BA741C7FB34}"/>
              </c:ext>
            </c:extLst>
          </c:dPt>
          <c:dPt>
            <c:idx val="9"/>
            <c:bubble3D val="0"/>
            <c:spPr>
              <a:solidFill>
                <a:srgbClr val="00B050"/>
              </a:solidFill>
              <a:ln w="19050">
                <a:solidFill>
                  <a:schemeClr val="lt1"/>
                </a:solidFill>
              </a:ln>
              <a:effectLst/>
            </c:spPr>
            <c:extLst>
              <c:ext xmlns:c16="http://schemas.microsoft.com/office/drawing/2014/chart" uri="{C3380CC4-5D6E-409C-BE32-E72D297353CC}">
                <c16:uniqueId val="{00000013-323F-484C-8561-0BA741C7FB34}"/>
              </c:ext>
            </c:extLst>
          </c:dPt>
          <c:dPt>
            <c:idx val="10"/>
            <c:bubble3D val="0"/>
            <c:spPr>
              <a:noFill/>
              <a:ln w="19050">
                <a:noFill/>
              </a:ln>
              <a:effectLst/>
            </c:spPr>
            <c:extLst>
              <c:ext xmlns:c16="http://schemas.microsoft.com/office/drawing/2014/chart" uri="{C3380CC4-5D6E-409C-BE32-E72D297353CC}">
                <c16:uniqueId val="{00000015-323F-484C-8561-0BA741C7FB34}"/>
              </c:ext>
            </c:extLst>
          </c:dPt>
          <c:dLbls>
            <c:dLbl>
              <c:idx val="0"/>
              <c:layout>
                <c:manualLayout>
                  <c:x val="-7.2222222222222215E-2"/>
                  <c:y val="-2.3148148148148147E-2"/>
                </c:manualLayout>
              </c:layout>
              <c:tx>
                <c:rich>
                  <a:bodyPr/>
                  <a:lstStyle/>
                  <a:p>
                    <a:fld id="{2E04BAA5-3D4A-4CEF-939F-7E8163E6CB9A}"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23F-484C-8561-0BA741C7FB34}"/>
                </c:ext>
              </c:extLst>
            </c:dLbl>
            <c:dLbl>
              <c:idx val="1"/>
              <c:layout>
                <c:manualLayout>
                  <c:x val="-6.3888888888888884E-2"/>
                  <c:y val="-6.9444444444444448E-2"/>
                </c:manualLayout>
              </c:layout>
              <c:tx>
                <c:rich>
                  <a:bodyPr/>
                  <a:lstStyle/>
                  <a:p>
                    <a:fld id="{17D83E5C-CF7F-48E7-8F09-30613FE05EA5}"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23F-484C-8561-0BA741C7FB34}"/>
                </c:ext>
              </c:extLst>
            </c:dLbl>
            <c:dLbl>
              <c:idx val="2"/>
              <c:layout>
                <c:manualLayout>
                  <c:x val="-4.7222222222222221E-2"/>
                  <c:y val="-8.3333333333333356E-2"/>
                </c:manualLayout>
              </c:layout>
              <c:tx>
                <c:rich>
                  <a:bodyPr/>
                  <a:lstStyle/>
                  <a:p>
                    <a:fld id="{4FBFA2E2-3CF3-4CAB-928E-BEAA3ABECF3C}"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323F-484C-8561-0BA741C7FB34}"/>
                </c:ext>
              </c:extLst>
            </c:dLbl>
            <c:dLbl>
              <c:idx val="3"/>
              <c:layout>
                <c:manualLayout>
                  <c:x val="-3.8888888888888938E-2"/>
                  <c:y val="-0.125"/>
                </c:manualLayout>
              </c:layout>
              <c:tx>
                <c:rich>
                  <a:bodyPr/>
                  <a:lstStyle/>
                  <a:p>
                    <a:fld id="{127EA9A0-E7AD-4580-96C4-3643941146AF}"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323F-484C-8561-0BA741C7FB34}"/>
                </c:ext>
              </c:extLst>
            </c:dLbl>
            <c:dLbl>
              <c:idx val="4"/>
              <c:layout>
                <c:manualLayout>
                  <c:x val="-1.6666666666666718E-2"/>
                  <c:y val="-0.1388888888888889"/>
                </c:manualLayout>
              </c:layout>
              <c:tx>
                <c:rich>
                  <a:bodyPr/>
                  <a:lstStyle/>
                  <a:p>
                    <a:fld id="{5B2B1F09-EBCD-4B20-9AC9-D3EFA9B4BE01}"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323F-484C-8561-0BA741C7FB34}"/>
                </c:ext>
              </c:extLst>
            </c:dLbl>
            <c:dLbl>
              <c:idx val="5"/>
              <c:layout>
                <c:manualLayout>
                  <c:x val="1.9444444444444545E-2"/>
                  <c:y val="-0.12962962962962962"/>
                </c:manualLayout>
              </c:layout>
              <c:tx>
                <c:rich>
                  <a:bodyPr/>
                  <a:lstStyle/>
                  <a:p>
                    <a:fld id="{2423E4DE-3384-4DEE-8C6C-047F1F9649CB}"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323F-484C-8561-0BA741C7FB34}"/>
                </c:ext>
              </c:extLst>
            </c:dLbl>
            <c:dLbl>
              <c:idx val="6"/>
              <c:layout>
                <c:manualLayout>
                  <c:x val="3.0555555555555555E-2"/>
                  <c:y val="-0.1111111111111111"/>
                </c:manualLayout>
              </c:layout>
              <c:tx>
                <c:rich>
                  <a:bodyPr/>
                  <a:lstStyle/>
                  <a:p>
                    <a:fld id="{5E9F4FDA-C56B-44A8-8BBF-F39F929EFCC3}"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323F-484C-8561-0BA741C7FB34}"/>
                </c:ext>
              </c:extLst>
            </c:dLbl>
            <c:dLbl>
              <c:idx val="7"/>
              <c:layout>
                <c:manualLayout>
                  <c:x val="4.4444444444444446E-2"/>
                  <c:y val="-7.870370370370372E-2"/>
                </c:manualLayout>
              </c:layout>
              <c:tx>
                <c:rich>
                  <a:bodyPr/>
                  <a:lstStyle/>
                  <a:p>
                    <a:fld id="{EF5806D3-B7F9-4C84-9ED6-38F29F1E3B3F}"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323F-484C-8561-0BA741C7FB34}"/>
                </c:ext>
              </c:extLst>
            </c:dLbl>
            <c:dLbl>
              <c:idx val="8"/>
              <c:layout>
                <c:manualLayout>
                  <c:x val="6.3888888888888884E-2"/>
                  <c:y val="-4.6296296296296294E-2"/>
                </c:manualLayout>
              </c:layout>
              <c:tx>
                <c:rich>
                  <a:bodyPr/>
                  <a:lstStyle/>
                  <a:p>
                    <a:fld id="{C0274F8C-E11E-4ACA-BD79-83188C703AC4}"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323F-484C-8561-0BA741C7FB34}"/>
                </c:ext>
              </c:extLst>
            </c:dLbl>
            <c:dLbl>
              <c:idx val="9"/>
              <c:layout>
                <c:manualLayout>
                  <c:x val="7.2222222222222215E-2"/>
                  <c:y val="-1.8518518518518517E-2"/>
                </c:manualLayout>
              </c:layout>
              <c:tx>
                <c:rich>
                  <a:bodyPr/>
                  <a:lstStyle/>
                  <a:p>
                    <a:fld id="{B3C95025-1826-462B-ACAC-DF206B8679EF}"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323F-484C-8561-0BA741C7FB34}"/>
                </c:ext>
              </c:extLst>
            </c:dLbl>
            <c:dLbl>
              <c:idx val="10"/>
              <c:tx>
                <c:rich>
                  <a:bodyPr/>
                  <a:lstStyle/>
                  <a:p>
                    <a:fld id="{CB9B4234-17C8-431E-8322-F3E4D3BD39C5}" type="CELLRANGE">
                      <a:rPr lang="es-CO"/>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323F-484C-8561-0BA741C7FB34}"/>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'AVANCES 2022'!$C$14:$C$24</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5="http://schemas.microsoft.com/office/drawing/2012/chart" uri="{02D57815-91ED-43cb-92C2-25804820EDAC}">
              <c15:datalabelsRange>
                <c15:f>'AVANCES 2022'!$B$14:$B$24</c15:f>
                <c15:dlblRangeCache>
                  <c:ptCount val="11"/>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6-323F-484C-8561-0BA741C7FB34}"/>
            </c:ext>
          </c:extLst>
        </c:ser>
        <c:dLbls>
          <c:showLegendKey val="0"/>
          <c:showVal val="0"/>
          <c:showCatName val="0"/>
          <c:showSerName val="0"/>
          <c:showPercent val="0"/>
          <c:showBubbleSize val="0"/>
          <c:showLeaderLines val="0"/>
        </c:dLbls>
        <c:firstSliceAng val="270"/>
        <c:holeSize val="66"/>
      </c:doughnutChart>
      <c:scatterChart>
        <c:scatterStyle val="smoothMarker"/>
        <c:varyColors val="0"/>
        <c:ser>
          <c:idx val="1"/>
          <c:order val="1"/>
          <c:tx>
            <c:v>puntos</c:v>
          </c:tx>
          <c:spPr>
            <a:ln w="19050" cap="rnd">
              <a:solidFill>
                <a:schemeClr val="tx1"/>
              </a:solidFill>
              <a:round/>
              <a:headEnd type="stealth" w="sm" len="sm"/>
              <a:tailEnd type="stealth"/>
            </a:ln>
            <a:effectLst>
              <a:outerShdw blurRad="50800" dist="50800" dir="5400000" algn="ctr" rotWithShape="0">
                <a:srgbClr val="00B050"/>
              </a:outerShdw>
            </a:effectLst>
          </c:spPr>
          <c:marker>
            <c:symbol val="circle"/>
            <c:size val="5"/>
            <c:spPr>
              <a:solidFill>
                <a:schemeClr val="accent2"/>
              </a:solidFill>
              <a:ln w="9525">
                <a:solidFill>
                  <a:schemeClr val="accent2"/>
                </a:solidFill>
              </a:ln>
              <a:effectLst>
                <a:outerShdw blurRad="50800" dist="50800" dir="5400000" algn="ctr" rotWithShape="0">
                  <a:srgbClr val="00B050"/>
                </a:outerShdw>
              </a:effectLst>
            </c:spPr>
          </c:marker>
          <c:xVal>
            <c:numRef>
              <c:f>'AVANCES 2022'!$C$29:$C$30</c:f>
              <c:numCache>
                <c:formatCode>General</c:formatCode>
                <c:ptCount val="2"/>
                <c:pt idx="0">
                  <c:v>0</c:v>
                </c:pt>
                <c:pt idx="1">
                  <c:v>0</c:v>
                </c:pt>
              </c:numCache>
            </c:numRef>
          </c:xVal>
          <c:yVal>
            <c:numRef>
              <c:f>'AVANCES 2022'!$D$29:$D$30</c:f>
              <c:numCache>
                <c:formatCode>General</c:formatCode>
                <c:ptCount val="2"/>
                <c:pt idx="0">
                  <c:v>0</c:v>
                </c:pt>
                <c:pt idx="1">
                  <c:v>0</c:v>
                </c:pt>
              </c:numCache>
            </c:numRef>
          </c:yVal>
          <c:smooth val="1"/>
          <c:extLst>
            <c:ext xmlns:c16="http://schemas.microsoft.com/office/drawing/2014/chart" uri="{C3380CC4-5D6E-409C-BE32-E72D297353CC}">
              <c16:uniqueId val="{00000017-323F-484C-8561-0BA741C7FB34}"/>
            </c:ext>
          </c:extLst>
        </c:ser>
        <c:dLbls>
          <c:showLegendKey val="0"/>
          <c:showVal val="0"/>
          <c:showCatName val="0"/>
          <c:showSerName val="0"/>
          <c:showPercent val="0"/>
          <c:showBubbleSize val="0"/>
        </c:dLbls>
        <c:axId val="1397928799"/>
        <c:axId val="1397915071"/>
      </c:scatterChart>
      <c:valAx>
        <c:axId val="1397915071"/>
        <c:scaling>
          <c:orientation val="minMax"/>
          <c:max val="1"/>
          <c:min val="-1"/>
        </c:scaling>
        <c:delete val="1"/>
        <c:axPos val="l"/>
        <c:numFmt formatCode="General" sourceLinked="1"/>
        <c:majorTickMark val="out"/>
        <c:minorTickMark val="none"/>
        <c:tickLblPos val="nextTo"/>
        <c:crossAx val="1397928799"/>
        <c:crosses val="autoZero"/>
        <c:crossBetween val="midCat"/>
      </c:valAx>
      <c:valAx>
        <c:axId val="1397928799"/>
        <c:scaling>
          <c:orientation val="minMax"/>
          <c:max val="1"/>
          <c:min val="-1"/>
        </c:scaling>
        <c:delete val="1"/>
        <c:axPos val="b"/>
        <c:numFmt formatCode="General" sourceLinked="1"/>
        <c:majorTickMark val="out"/>
        <c:minorTickMark val="none"/>
        <c:tickLblPos val="nextTo"/>
        <c:crossAx val="1397915071"/>
        <c:crosses val="autoZero"/>
        <c:crossBetween val="midCat"/>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b="1" i="0" u="none" strike="noStrike" kern="1200" cap="none" spc="20" baseline="0">
                <a:solidFill>
                  <a:sysClr val="windowText" lastClr="000000"/>
                </a:solidFill>
                <a:latin typeface="+mn-lt"/>
                <a:ea typeface="+mn-ea"/>
                <a:cs typeface="+mn-cs"/>
              </a:rPr>
              <a:t>AVANCE GENERAL </a:t>
            </a:r>
          </a:p>
          <a:p>
            <a:pPr>
              <a:defRPr/>
            </a:pPr>
            <a:r>
              <a:rPr lang="en-US" sz="1400" b="1" i="0" u="none" strike="noStrike" kern="1200" cap="none" spc="20" baseline="0">
                <a:solidFill>
                  <a:sysClr val="windowText" lastClr="000000"/>
                </a:solidFill>
                <a:latin typeface="+mn-lt"/>
                <a:ea typeface="+mn-ea"/>
                <a:cs typeface="+mn-cs"/>
              </a:rPr>
              <a:t>POR ESTRATEGIA 2022</a:t>
            </a:r>
            <a:r>
              <a:rPr lang="en-US"/>
              <a:t>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bar"/>
        <c:grouping val="clustered"/>
        <c:varyColors val="0"/>
        <c:ser>
          <c:idx val="0"/>
          <c:order val="0"/>
          <c:tx>
            <c:strRef>
              <c:f>'AVANCES 2022'!$H$3</c:f>
              <c:strCache>
                <c:ptCount val="1"/>
                <c:pt idx="0">
                  <c:v>AVANCE GENERAL </c:v>
                </c:pt>
              </c:strCache>
            </c:strRef>
          </c:tx>
          <c:spPr>
            <a:solidFill>
              <a:schemeClr val="tx2">
                <a:lumMod val="7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dLbl>
              <c:idx val="0"/>
              <c:layout>
                <c:manualLayout>
                  <c:x val="3.2615318370663629E-2"/>
                  <c:y val="-3.2986830916842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21-4CAD-BE96-81D4B64C892C}"/>
                </c:ext>
              </c:extLst>
            </c:dLbl>
            <c:dLbl>
              <c:idx val="1"/>
              <c:layout>
                <c:manualLayout>
                  <c:x val="-6.2630399745240975E-3"/>
                  <c:y val="-3.26328121074608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21-4CAD-BE96-81D4B64C892C}"/>
                </c:ext>
              </c:extLst>
            </c:dLbl>
            <c:dLbl>
              <c:idx val="2"/>
              <c:layout>
                <c:manualLayout>
                  <c:x val="0.12080422869159285"/>
                  <c:y val="4.75906195209799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21-4CAD-BE96-81D4B64C892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'AVANCES 2022'!$J$4:$J$6</c:f>
              <c:strCache>
                <c:ptCount val="3"/>
                <c:pt idx="0">
                  <c:v>Lo Intitucional </c:v>
                </c:pt>
                <c:pt idx="1">
                  <c:v>Lo Social </c:v>
                </c:pt>
                <c:pt idx="2">
                  <c:v>Lo ambiental </c:v>
                </c:pt>
              </c:strCache>
            </c:strRef>
          </c:cat>
          <c:val>
            <c:numRef>
              <c:f>'AVANCES 2022'!$H$4:$H$6</c:f>
              <c:numCache>
                <c:formatCode>0%</c:formatCode>
                <c:ptCount val="3"/>
                <c:pt idx="0">
                  <c:v>0</c:v>
                </c:pt>
                <c:pt idx="1">
                  <c:v>0</c:v>
                </c:pt>
                <c:pt idx="2">
                  <c:v>0</c:v>
                </c:pt>
              </c:numCache>
            </c:numRef>
          </c:val>
          <c:extLst>
            <c:ext xmlns:c16="http://schemas.microsoft.com/office/drawing/2014/chart" uri="{C3380CC4-5D6E-409C-BE32-E72D297353CC}">
              <c16:uniqueId val="{00000000-4E21-4CAD-BE96-81D4B64C892C}"/>
            </c:ext>
          </c:extLst>
        </c:ser>
        <c:dLbls>
          <c:showLegendKey val="0"/>
          <c:showVal val="0"/>
          <c:showCatName val="0"/>
          <c:showSerName val="0"/>
          <c:showPercent val="0"/>
          <c:showBubbleSize val="0"/>
        </c:dLbls>
        <c:gapWidth val="65"/>
        <c:shape val="box"/>
        <c:axId val="1749856367"/>
        <c:axId val="1749871759"/>
        <c:axId val="0"/>
      </c:bar3DChart>
      <c:catAx>
        <c:axId val="1749856367"/>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ysClr val="windowText" lastClr="000000"/>
                </a:solidFill>
                <a:latin typeface="+mn-lt"/>
                <a:ea typeface="+mn-ea"/>
                <a:cs typeface="+mn-cs"/>
              </a:defRPr>
            </a:pPr>
            <a:endParaRPr lang="es-CO"/>
          </a:p>
        </c:txPr>
        <c:crossAx val="1749871759"/>
        <c:crosses val="autoZero"/>
        <c:auto val="1"/>
        <c:lblAlgn val="ctr"/>
        <c:lblOffset val="100"/>
        <c:noMultiLvlLbl val="0"/>
      </c:catAx>
      <c:valAx>
        <c:axId val="1749871759"/>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74985636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b="1" i="0" u="none" strike="noStrike" kern="1200" cap="none" spc="20" baseline="0">
                <a:solidFill>
                  <a:sysClr val="windowText" lastClr="000000"/>
                </a:solidFill>
                <a:latin typeface="+mn-lt"/>
                <a:ea typeface="+mn-ea"/>
                <a:cs typeface="+mn-cs"/>
              </a:rPr>
              <a:t>N° DE METAS POR DEPENDENCIA</a:t>
            </a:r>
          </a:p>
        </c:rich>
      </c:tx>
      <c:layout>
        <c:manualLayout>
          <c:xMode val="edge"/>
          <c:yMode val="edge"/>
          <c:x val="0.42991364500435358"/>
          <c:y val="7.000501594443688E-3"/>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manualLayout>
          <c:layoutTarget val="inner"/>
          <c:xMode val="edge"/>
          <c:yMode val="edge"/>
          <c:x val="9.0411573711974516E-2"/>
          <c:y val="5.436090574492964E-2"/>
          <c:w val="0.47108818106314165"/>
          <c:h val="0.75056391726903904"/>
        </c:manualLayout>
      </c:layout>
      <c:doughnutChart>
        <c:varyColors val="1"/>
        <c:ser>
          <c:idx val="0"/>
          <c:order val="0"/>
          <c:tx>
            <c:strRef>
              <c:f>'AVANCES 2022'!$E$2</c:f>
              <c:strCache>
                <c:ptCount val="1"/>
                <c:pt idx="0">
                  <c:v>N° DE METAS A CARGO </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AAD0-4427-9F92-0A20FC35B5E9}"/>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AAD0-4427-9F92-0A20FC35B5E9}"/>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AAD0-4427-9F92-0A20FC35B5E9}"/>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AAD0-4427-9F92-0A20FC35B5E9}"/>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AAD0-4427-9F92-0A20FC35B5E9}"/>
              </c:ext>
            </c:extLst>
          </c:dPt>
          <c:dLbls>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'AVANCES 2022'!$D$3:$D$7</c:f>
              <c:strCache>
                <c:ptCount val="5"/>
                <c:pt idx="0">
                  <c:v>Rectoría</c:v>
                </c:pt>
                <c:pt idx="1">
                  <c:v>Vicerrectoría Administrativa y Financiera</c:v>
                </c:pt>
                <c:pt idx="2">
                  <c:v>Vicerrectoría Académica</c:v>
                </c:pt>
                <c:pt idx="3">
                  <c:v>Vicerrectoría de Investigación, Extensión y Transferencia</c:v>
                </c:pt>
                <c:pt idx="4">
                  <c:v>Sin obligatorio avance 2022</c:v>
                </c:pt>
              </c:strCache>
            </c:strRef>
          </c:cat>
          <c:val>
            <c:numRef>
              <c:f>'AVANCES 2022'!$E$3:$E$7</c:f>
              <c:numCache>
                <c:formatCode>General</c:formatCode>
                <c:ptCount val="5"/>
                <c:pt idx="0">
                  <c:v>12</c:v>
                </c:pt>
                <c:pt idx="1">
                  <c:v>22</c:v>
                </c:pt>
                <c:pt idx="2">
                  <c:v>17</c:v>
                </c:pt>
                <c:pt idx="3">
                  <c:v>14</c:v>
                </c:pt>
                <c:pt idx="4">
                  <c:v>6</c:v>
                </c:pt>
              </c:numCache>
            </c:numRef>
          </c:val>
          <c:extLst>
            <c:ext xmlns:c16="http://schemas.microsoft.com/office/drawing/2014/chart" uri="{C3380CC4-5D6E-409C-BE32-E72D297353CC}">
              <c16:uniqueId val="{0000000A-AAD0-4427-9F92-0A20FC35B5E9}"/>
            </c:ext>
          </c:extLst>
        </c:ser>
        <c:dLbls>
          <c:showLegendKey val="0"/>
          <c:showVal val="0"/>
          <c:showCatName val="0"/>
          <c:showSerName val="0"/>
          <c:showPercent val="1"/>
          <c:showBubbleSize val="0"/>
          <c:showLeaderLines val="0"/>
        </c:dLbls>
        <c:firstSliceAng val="0"/>
        <c:holeSize val="50"/>
      </c:doughnutChart>
      <c:spPr>
        <a:noFill/>
        <a:ln>
          <a:noFill/>
        </a:ln>
        <a:effectLst/>
      </c:spPr>
    </c:plotArea>
    <c:legend>
      <c:legendPos val="r"/>
      <c:layout>
        <c:manualLayout>
          <c:xMode val="edge"/>
          <c:yMode val="edge"/>
          <c:x val="0.55260027605491313"/>
          <c:y val="0.10559482873524496"/>
          <c:w val="0.43958452689443145"/>
          <c:h val="0.856481666070776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b="1" i="0" u="none" strike="noStrike" kern="1200" cap="none" spc="20" baseline="0">
                <a:solidFill>
                  <a:sysClr val="windowText" lastClr="000000"/>
                </a:solidFill>
                <a:latin typeface="+mn-lt"/>
                <a:ea typeface="+mn-ea"/>
                <a:cs typeface="+mn-cs"/>
              </a:rPr>
              <a:t>N° METAS ESTRATÉGICAS </a:t>
            </a:r>
            <a:br>
              <a:rPr lang="en-US" sz="1400" b="1" i="0" u="none" strike="noStrike" kern="1200" cap="none" spc="20" baseline="0">
                <a:solidFill>
                  <a:sysClr val="windowText" lastClr="000000"/>
                </a:solidFill>
                <a:latin typeface="+mn-lt"/>
                <a:ea typeface="+mn-ea"/>
                <a:cs typeface="+mn-cs"/>
              </a:rPr>
            </a:br>
            <a:r>
              <a:rPr lang="en-US" sz="1400" b="1" i="0" u="none" strike="noStrike" kern="1200" cap="none" spc="20" baseline="0">
                <a:solidFill>
                  <a:sysClr val="windowText" lastClr="000000"/>
                </a:solidFill>
                <a:latin typeface="+mn-lt"/>
                <a:ea typeface="+mn-ea"/>
                <a:cs typeface="+mn-cs"/>
              </a:rPr>
              <a:t>POR ESTRATEGIA</a:t>
            </a:r>
          </a:p>
        </c:rich>
      </c:tx>
      <c:layout>
        <c:manualLayout>
          <c:xMode val="edge"/>
          <c:yMode val="edge"/>
          <c:x val="0.15567020476170443"/>
          <c:y val="6.2730819708433749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pieChart>
        <c:varyColors val="1"/>
        <c:ser>
          <c:idx val="0"/>
          <c:order val="0"/>
          <c:tx>
            <c:strRef>
              <c:f>'AVANCES 2022'!$K$3</c:f>
              <c:strCache>
                <c:ptCount val="1"/>
                <c:pt idx="0">
                  <c:v>METAS ESTRATÉGICAS </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1FA2-41A4-AC67-15CB30DB7311}"/>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1FA2-41A4-AC67-15CB30DB7311}"/>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1FA2-41A4-AC67-15CB30DB7311}"/>
              </c:ext>
            </c:extLst>
          </c:dPt>
          <c:dLbls>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'AVANCES 2022'!$J$4:$J$6</c:f>
              <c:strCache>
                <c:ptCount val="3"/>
                <c:pt idx="0">
                  <c:v>Lo Intitucional </c:v>
                </c:pt>
                <c:pt idx="1">
                  <c:v>Lo Social </c:v>
                </c:pt>
                <c:pt idx="2">
                  <c:v>Lo ambiental </c:v>
                </c:pt>
              </c:strCache>
            </c:strRef>
          </c:cat>
          <c:val>
            <c:numRef>
              <c:f>'AVANCES 2022'!$K$4:$K$6</c:f>
              <c:numCache>
                <c:formatCode>General</c:formatCode>
                <c:ptCount val="3"/>
                <c:pt idx="0">
                  <c:v>26</c:v>
                </c:pt>
                <c:pt idx="1">
                  <c:v>23</c:v>
                </c:pt>
                <c:pt idx="2">
                  <c:v>16</c:v>
                </c:pt>
              </c:numCache>
            </c:numRef>
          </c:val>
          <c:extLst>
            <c:ext xmlns:c16="http://schemas.microsoft.com/office/drawing/2014/chart" uri="{C3380CC4-5D6E-409C-BE32-E72D297353CC}">
              <c16:uniqueId val="{00000006-1FA2-41A4-AC67-15CB30DB7311}"/>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0724868766404194"/>
          <c:y val="0.32746391076115483"/>
          <c:w val="0.25386242344706911"/>
          <c:h val="0.2847714348206474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solidFill>
                  <a:schemeClr val="tx1"/>
                </a:solidFill>
              </a:rPr>
              <a:t>AVANCE GENERAL VIGENCIA 2022 - ETITC </a:t>
            </a:r>
          </a:p>
          <a:p>
            <a:pPr>
              <a:defRPr>
                <a:solidFill>
                  <a:schemeClr val="tx1"/>
                </a:solidFill>
              </a:defRPr>
            </a:pPr>
            <a:r>
              <a:rPr lang="en-US">
                <a:solidFill>
                  <a:schemeClr val="tx1"/>
                </a:solidFill>
              </a:rPr>
              <a:t>PLAN DE ACCIÓN 2022</a:t>
            </a:r>
          </a:p>
        </c:rich>
      </c:tx>
      <c:layout>
        <c:manualLayout>
          <c:xMode val="edge"/>
          <c:yMode val="edge"/>
          <c:x val="0.19094929645994663"/>
          <c:y val="7.81810715622960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'AVANCES 2022'!$N$2</c:f>
              <c:strCache>
                <c:ptCount val="1"/>
                <c:pt idx="0">
                  <c:v>AVANCE TOTAL </c:v>
                </c:pt>
              </c:strCache>
            </c:strRef>
          </c:tx>
          <c:spPr>
            <a:solidFill>
              <a:schemeClr val="accent2"/>
            </a:solidFill>
            <a:ln>
              <a:noFill/>
            </a:ln>
            <a:effectLst/>
            <a:sp3d/>
          </c:spPr>
          <c:invertIfNegative val="0"/>
          <c:dLbls>
            <c:dLbl>
              <c:idx val="0"/>
              <c:layout>
                <c:manualLayout>
                  <c:x val="1.3888888888888914E-2"/>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2E-471F-A9DA-122F06231752}"/>
                </c:ext>
              </c:extLst>
            </c:dLbl>
            <c:dLbl>
              <c:idx val="1"/>
              <c:layout>
                <c:manualLayout>
                  <c:x val="2.2222222222222223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2E-471F-A9DA-122F06231752}"/>
                </c:ext>
              </c:extLst>
            </c:dLbl>
            <c:dLbl>
              <c:idx val="2"/>
              <c:layout>
                <c:manualLayout>
                  <c:x val="8.33333333333333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2E-471F-A9DA-122F06231752}"/>
                </c:ext>
              </c:extLst>
            </c:dLbl>
            <c:dLbl>
              <c:idx val="3"/>
              <c:layout>
                <c:manualLayout>
                  <c:x val="1.388888888888888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2E-471F-A9DA-122F0623175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'AVANCES 2022'!$M$3:$M$6</c:f>
              <c:strCache>
                <c:ptCount val="4"/>
                <c:pt idx="0">
                  <c:v>Rectoría</c:v>
                </c:pt>
                <c:pt idx="1">
                  <c:v>Vicerrectoría Administrativa y Financiera</c:v>
                </c:pt>
                <c:pt idx="2">
                  <c:v>Vicerrectoría Académica</c:v>
                </c:pt>
                <c:pt idx="3">
                  <c:v>Vicerrectoría de Investigación, Extensión y Transferencia</c:v>
                </c:pt>
              </c:strCache>
            </c:strRef>
          </c:cat>
          <c:val>
            <c:numRef>
              <c:f>'AVANCES 2022'!$N$3:$N$6</c:f>
              <c:numCache>
                <c:formatCode>0%</c:formatCode>
                <c:ptCount val="4"/>
                <c:pt idx="0">
                  <c:v>45</c:v>
                </c:pt>
                <c:pt idx="1">
                  <c:v>39</c:v>
                </c:pt>
                <c:pt idx="2">
                  <c:v>41</c:v>
                </c:pt>
                <c:pt idx="3">
                  <c:v>52</c:v>
                </c:pt>
              </c:numCache>
            </c:numRef>
          </c:val>
          <c:extLst>
            <c:ext xmlns:c16="http://schemas.microsoft.com/office/drawing/2014/chart" uri="{C3380CC4-5D6E-409C-BE32-E72D297353CC}">
              <c16:uniqueId val="{00000004-5F2E-471F-A9DA-122F06231752}"/>
            </c:ext>
          </c:extLst>
        </c:ser>
        <c:dLbls>
          <c:showLegendKey val="0"/>
          <c:showVal val="0"/>
          <c:showCatName val="0"/>
          <c:showSerName val="0"/>
          <c:showPercent val="0"/>
          <c:showBubbleSize val="0"/>
        </c:dLbls>
        <c:gapWidth val="150"/>
        <c:shape val="cylinder"/>
        <c:axId val="2059690656"/>
        <c:axId val="2059691488"/>
        <c:axId val="0"/>
      </c:bar3DChart>
      <c:catAx>
        <c:axId val="20596906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059691488"/>
        <c:crosses val="autoZero"/>
        <c:auto val="1"/>
        <c:lblAlgn val="ctr"/>
        <c:lblOffset val="100"/>
        <c:noMultiLvlLbl val="0"/>
      </c:catAx>
      <c:valAx>
        <c:axId val="2059691488"/>
        <c:scaling>
          <c:orientation val="minMax"/>
        </c:scaling>
        <c:delete val="1"/>
        <c:axPos val="l"/>
        <c:numFmt formatCode="0%" sourceLinked="1"/>
        <c:majorTickMark val="none"/>
        <c:minorTickMark val="none"/>
        <c:tickLblPos val="nextTo"/>
        <c:crossAx val="20596906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b="1">
                <a:solidFill>
                  <a:sysClr val="windowText" lastClr="000000"/>
                </a:solidFill>
              </a:rPr>
              <a:t>AVANCE GENERAL METAS PDI 2022</a:t>
            </a:r>
          </a:p>
        </c:rich>
      </c:tx>
      <c:layout>
        <c:manualLayout>
          <c:xMode val="edge"/>
          <c:yMode val="edge"/>
          <c:x val="0.22174404642084211"/>
          <c:y val="0.12608269899422761"/>
        </c:manualLayout>
      </c:layout>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11355555542281351"/>
          <c:y val="0.23762677700229184"/>
          <c:w val="0.88498840769903764"/>
          <c:h val="0.56831765820939051"/>
        </c:manualLayout>
      </c:layout>
      <c:bar3DChart>
        <c:barDir val="col"/>
        <c:grouping val="stacked"/>
        <c:varyColors val="0"/>
        <c:ser>
          <c:idx val="0"/>
          <c:order val="0"/>
          <c:tx>
            <c:strRef>
              <c:f>'AVANCES 2022'!$C$2</c:f>
              <c:strCache>
                <c:ptCount val="1"/>
                <c:pt idx="0">
                  <c:v>AVANCE TOTAL </c:v>
                </c:pt>
              </c:strCache>
            </c:strRef>
          </c:tx>
          <c:spPr>
            <a:solidFill>
              <a:schemeClr val="bg1">
                <a:lumMod val="65000"/>
              </a:schemeClr>
            </a:solidFill>
            <a:ln w="9525" cap="flat" cmpd="sng" algn="ctr">
              <a:solidFill>
                <a:schemeClr val="accent1">
                  <a:shade val="95000"/>
                </a:schemeClr>
              </a:solidFill>
              <a:round/>
            </a:ln>
            <a:effectLst>
              <a:outerShdw blurRad="50800" dist="38100" dir="5400000" algn="t" rotWithShape="0">
                <a:prstClr val="black">
                  <a:alpha val="40000"/>
                </a:prstClr>
              </a:outerShdw>
            </a:effectLst>
            <a:sp3d contourW="9525">
              <a:contourClr>
                <a:schemeClr val="accent1">
                  <a:shade val="95000"/>
                </a:schemeClr>
              </a:contourClr>
            </a:sp3d>
          </c:spPr>
          <c:invertIfNegative val="0"/>
          <c:dLbls>
            <c:dLbl>
              <c:idx val="0"/>
              <c:layout>
                <c:manualLayout>
                  <c:x val="-1.3738374008655302E-3"/>
                  <c:y val="-8.1695641769562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B7-462A-B185-66219BA9B1AA}"/>
                </c:ext>
              </c:extLst>
            </c:dLbl>
            <c:dLbl>
              <c:idx val="1"/>
              <c:layout>
                <c:manualLayout>
                  <c:x val="-2.9663991699690642E-3"/>
                  <c:y val="-9.2996601473413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B7-462A-B185-66219BA9B1AA}"/>
                </c:ext>
              </c:extLst>
            </c:dLbl>
            <c:dLbl>
              <c:idx val="2"/>
              <c:layout>
                <c:manualLayout>
                  <c:x val="6.7255740262809746E-3"/>
                  <c:y val="-5.9195927464166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B7-462A-B185-66219BA9B1AA}"/>
                </c:ext>
              </c:extLst>
            </c:dLbl>
            <c:dLbl>
              <c:idx val="3"/>
              <c:layout>
                <c:manualLayout>
                  <c:x val="2.1061233809739842E-3"/>
                  <c:y val="-8.833594042986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B7-462A-B185-66219BA9B1AA}"/>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'AVANCES 2022'!$B$3:$B$6</c:f>
              <c:strCache>
                <c:ptCount val="4"/>
                <c:pt idx="0">
                  <c:v>Rectoría</c:v>
                </c:pt>
                <c:pt idx="1">
                  <c:v>Vicerrectoría Administrativa y Financiera</c:v>
                </c:pt>
                <c:pt idx="2">
                  <c:v>Vicerrectoría Académica</c:v>
                </c:pt>
                <c:pt idx="3">
                  <c:v>Vicerrectoría de Investigación, Extensión y Transferencia</c:v>
                </c:pt>
              </c:strCache>
            </c:strRef>
          </c:cat>
          <c:val>
            <c:numRef>
              <c:f>'AVANCES 2022'!$C$3:$C$6</c:f>
              <c:numCache>
                <c:formatCode>0%</c:formatCode>
                <c:ptCount val="4"/>
                <c:pt idx="0">
                  <c:v>0</c:v>
                </c:pt>
                <c:pt idx="1">
                  <c:v>0</c:v>
                </c:pt>
                <c:pt idx="2">
                  <c:v>0</c:v>
                </c:pt>
                <c:pt idx="3">
                  <c:v>0</c:v>
                </c:pt>
              </c:numCache>
            </c:numRef>
          </c:val>
          <c:extLst>
            <c:ext xmlns:c16="http://schemas.microsoft.com/office/drawing/2014/chart" uri="{C3380CC4-5D6E-409C-BE32-E72D297353CC}">
              <c16:uniqueId val="{00000004-9BB7-462A-B185-66219BA9B1AA}"/>
            </c:ext>
          </c:extLst>
        </c:ser>
        <c:dLbls>
          <c:showLegendKey val="0"/>
          <c:showVal val="0"/>
          <c:showCatName val="0"/>
          <c:showSerName val="0"/>
          <c:showPercent val="0"/>
          <c:showBubbleSize val="0"/>
        </c:dLbls>
        <c:gapWidth val="150"/>
        <c:shape val="box"/>
        <c:axId val="1757774351"/>
        <c:axId val="2033940607"/>
        <c:axId val="0"/>
      </c:bar3DChart>
      <c:catAx>
        <c:axId val="175777435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2033940607"/>
        <c:crosses val="autoZero"/>
        <c:auto val="1"/>
        <c:lblAlgn val="ctr"/>
        <c:lblOffset val="100"/>
        <c:noMultiLvlLbl val="0"/>
      </c:catAx>
      <c:valAx>
        <c:axId val="2033940607"/>
        <c:scaling>
          <c:orientation val="minMax"/>
        </c:scaling>
        <c:delete val="1"/>
        <c:axPos val="l"/>
        <c:numFmt formatCode="0%" sourceLinked="1"/>
        <c:majorTickMark val="none"/>
        <c:minorTickMark val="none"/>
        <c:tickLblPos val="nextTo"/>
        <c:crossAx val="1757774351"/>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599931184097272"/>
          <c:y val="0.11513385525991233"/>
          <c:w val="0.49153267343119517"/>
          <c:h val="0.8634354936402181"/>
        </c:manualLayout>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D0C6-4F32-A555-E9A9915BD469}"/>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D0C6-4F32-A555-E9A9915BD469}"/>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D0C6-4F32-A555-E9A9915BD469}"/>
              </c:ext>
            </c:extLst>
          </c:dPt>
          <c:dPt>
            <c:idx val="3"/>
            <c:bubble3D val="0"/>
            <c:spPr>
              <a:solidFill>
                <a:srgbClr val="FFFF00"/>
              </a:solidFill>
              <a:ln w="19050">
                <a:solidFill>
                  <a:schemeClr val="lt1"/>
                </a:solidFill>
              </a:ln>
              <a:effectLst/>
            </c:spPr>
            <c:extLst>
              <c:ext xmlns:c16="http://schemas.microsoft.com/office/drawing/2014/chart" uri="{C3380CC4-5D6E-409C-BE32-E72D297353CC}">
                <c16:uniqueId val="{00000007-D0C6-4F32-A555-E9A9915BD469}"/>
              </c:ext>
            </c:extLst>
          </c:dPt>
          <c:dPt>
            <c:idx val="4"/>
            <c:bubble3D val="0"/>
            <c:spPr>
              <a:solidFill>
                <a:srgbClr val="FFFF00"/>
              </a:solidFill>
              <a:ln w="19050">
                <a:solidFill>
                  <a:schemeClr val="lt1"/>
                </a:solidFill>
              </a:ln>
              <a:effectLst/>
            </c:spPr>
            <c:extLst>
              <c:ext xmlns:c16="http://schemas.microsoft.com/office/drawing/2014/chart" uri="{C3380CC4-5D6E-409C-BE32-E72D297353CC}">
                <c16:uniqueId val="{00000009-D0C6-4F32-A555-E9A9915BD469}"/>
              </c:ext>
            </c:extLst>
          </c:dPt>
          <c:dPt>
            <c:idx val="5"/>
            <c:bubble3D val="0"/>
            <c:spPr>
              <a:solidFill>
                <a:srgbClr val="FFFF00"/>
              </a:solidFill>
              <a:ln w="19050">
                <a:solidFill>
                  <a:schemeClr val="lt1"/>
                </a:solidFill>
              </a:ln>
              <a:effectLst/>
            </c:spPr>
            <c:extLst>
              <c:ext xmlns:c16="http://schemas.microsoft.com/office/drawing/2014/chart" uri="{C3380CC4-5D6E-409C-BE32-E72D297353CC}">
                <c16:uniqueId val="{0000000B-D0C6-4F32-A555-E9A9915BD469}"/>
              </c:ext>
            </c:extLst>
          </c:dPt>
          <c:dPt>
            <c:idx val="6"/>
            <c:bubble3D val="0"/>
            <c:spPr>
              <a:solidFill>
                <a:srgbClr val="FFC000"/>
              </a:solidFill>
              <a:ln w="19050">
                <a:solidFill>
                  <a:schemeClr val="lt1"/>
                </a:solidFill>
              </a:ln>
              <a:effectLst/>
            </c:spPr>
            <c:extLst>
              <c:ext xmlns:c16="http://schemas.microsoft.com/office/drawing/2014/chart" uri="{C3380CC4-5D6E-409C-BE32-E72D297353CC}">
                <c16:uniqueId val="{0000000D-D0C6-4F32-A555-E9A9915BD469}"/>
              </c:ext>
            </c:extLst>
          </c:dPt>
          <c:dPt>
            <c:idx val="7"/>
            <c:bubble3D val="0"/>
            <c:spPr>
              <a:solidFill>
                <a:srgbClr val="92D050"/>
              </a:solidFill>
              <a:ln w="19050">
                <a:solidFill>
                  <a:schemeClr val="lt1"/>
                </a:solidFill>
              </a:ln>
              <a:effectLst/>
            </c:spPr>
            <c:extLst>
              <c:ext xmlns:c16="http://schemas.microsoft.com/office/drawing/2014/chart" uri="{C3380CC4-5D6E-409C-BE32-E72D297353CC}">
                <c16:uniqueId val="{0000000F-D0C6-4F32-A555-E9A9915BD469}"/>
              </c:ext>
            </c:extLst>
          </c:dPt>
          <c:dPt>
            <c:idx val="8"/>
            <c:bubble3D val="0"/>
            <c:spPr>
              <a:solidFill>
                <a:srgbClr val="00B050"/>
              </a:solidFill>
              <a:ln w="19050">
                <a:solidFill>
                  <a:schemeClr val="lt1"/>
                </a:solidFill>
              </a:ln>
              <a:effectLst/>
            </c:spPr>
            <c:extLst>
              <c:ext xmlns:c16="http://schemas.microsoft.com/office/drawing/2014/chart" uri="{C3380CC4-5D6E-409C-BE32-E72D297353CC}">
                <c16:uniqueId val="{00000011-D0C6-4F32-A555-E9A9915BD469}"/>
              </c:ext>
            </c:extLst>
          </c:dPt>
          <c:dPt>
            <c:idx val="9"/>
            <c:bubble3D val="0"/>
            <c:spPr>
              <a:solidFill>
                <a:srgbClr val="00B050"/>
              </a:solidFill>
              <a:ln w="19050">
                <a:solidFill>
                  <a:schemeClr val="lt1"/>
                </a:solidFill>
              </a:ln>
              <a:effectLst/>
            </c:spPr>
            <c:extLst>
              <c:ext xmlns:c16="http://schemas.microsoft.com/office/drawing/2014/chart" uri="{C3380CC4-5D6E-409C-BE32-E72D297353CC}">
                <c16:uniqueId val="{00000013-D0C6-4F32-A555-E9A9915BD469}"/>
              </c:ext>
            </c:extLst>
          </c:dPt>
          <c:dPt>
            <c:idx val="10"/>
            <c:bubble3D val="0"/>
            <c:spPr>
              <a:noFill/>
              <a:ln w="19050">
                <a:noFill/>
              </a:ln>
              <a:effectLst/>
            </c:spPr>
            <c:extLst>
              <c:ext xmlns:c16="http://schemas.microsoft.com/office/drawing/2014/chart" uri="{C3380CC4-5D6E-409C-BE32-E72D297353CC}">
                <c16:uniqueId val="{00000015-D0C6-4F32-A555-E9A9915BD469}"/>
              </c:ext>
            </c:extLst>
          </c:dPt>
          <c:dLbls>
            <c:dLbl>
              <c:idx val="0"/>
              <c:layout>
                <c:manualLayout>
                  <c:x val="-7.2222222222222215E-2"/>
                  <c:y val="-2.3148148148148147E-2"/>
                </c:manualLayout>
              </c:layout>
              <c:tx>
                <c:rich>
                  <a:bodyPr/>
                  <a:lstStyle/>
                  <a:p>
                    <a:fld id="{7C17BB18-1324-4D7B-BD1F-5A2E9B7E2508}"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0C6-4F32-A555-E9A9915BD469}"/>
                </c:ext>
              </c:extLst>
            </c:dLbl>
            <c:dLbl>
              <c:idx val="1"/>
              <c:layout>
                <c:manualLayout>
                  <c:x val="-6.3888888888888884E-2"/>
                  <c:y val="-6.9444444444444448E-2"/>
                </c:manualLayout>
              </c:layout>
              <c:tx>
                <c:rich>
                  <a:bodyPr/>
                  <a:lstStyle/>
                  <a:p>
                    <a:fld id="{09BD5513-7EF3-46E9-A64E-0568388D49C6}"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D0C6-4F32-A555-E9A9915BD469}"/>
                </c:ext>
              </c:extLst>
            </c:dLbl>
            <c:dLbl>
              <c:idx val="2"/>
              <c:layout>
                <c:manualLayout>
                  <c:x val="-4.7222222222222221E-2"/>
                  <c:y val="-8.3333333333333356E-2"/>
                </c:manualLayout>
              </c:layout>
              <c:tx>
                <c:rich>
                  <a:bodyPr/>
                  <a:lstStyle/>
                  <a:p>
                    <a:fld id="{8C2FE583-2950-4DE1-9A30-E10B24C4547C}"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D0C6-4F32-A555-E9A9915BD469}"/>
                </c:ext>
              </c:extLst>
            </c:dLbl>
            <c:dLbl>
              <c:idx val="3"/>
              <c:layout>
                <c:manualLayout>
                  <c:x val="-3.8888888888888938E-2"/>
                  <c:y val="-0.125"/>
                </c:manualLayout>
              </c:layout>
              <c:tx>
                <c:rich>
                  <a:bodyPr/>
                  <a:lstStyle/>
                  <a:p>
                    <a:fld id="{9278E986-8A95-497A-B26E-ABA0421B1724}"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D0C6-4F32-A555-E9A9915BD469}"/>
                </c:ext>
              </c:extLst>
            </c:dLbl>
            <c:dLbl>
              <c:idx val="4"/>
              <c:layout>
                <c:manualLayout>
                  <c:x val="-1.6666666666666718E-2"/>
                  <c:y val="-0.1388888888888889"/>
                </c:manualLayout>
              </c:layout>
              <c:tx>
                <c:rich>
                  <a:bodyPr/>
                  <a:lstStyle/>
                  <a:p>
                    <a:fld id="{2E5AAEAA-B0BD-412D-A568-33932545C9DA}"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0C6-4F32-A555-E9A9915BD469}"/>
                </c:ext>
              </c:extLst>
            </c:dLbl>
            <c:dLbl>
              <c:idx val="5"/>
              <c:layout>
                <c:manualLayout>
                  <c:x val="1.9444444444444545E-2"/>
                  <c:y val="-0.12962962962962962"/>
                </c:manualLayout>
              </c:layout>
              <c:tx>
                <c:rich>
                  <a:bodyPr/>
                  <a:lstStyle/>
                  <a:p>
                    <a:fld id="{C2DCD43F-BC8D-4A36-AAEB-709E832F4132}"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D0C6-4F32-A555-E9A9915BD469}"/>
                </c:ext>
              </c:extLst>
            </c:dLbl>
            <c:dLbl>
              <c:idx val="6"/>
              <c:layout>
                <c:manualLayout>
                  <c:x val="3.0555555555555555E-2"/>
                  <c:y val="-0.1111111111111111"/>
                </c:manualLayout>
              </c:layout>
              <c:tx>
                <c:rich>
                  <a:bodyPr/>
                  <a:lstStyle/>
                  <a:p>
                    <a:fld id="{5EF39705-533F-4A3E-82A3-A3EACF2F5853}"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D0C6-4F32-A555-E9A9915BD469}"/>
                </c:ext>
              </c:extLst>
            </c:dLbl>
            <c:dLbl>
              <c:idx val="7"/>
              <c:layout>
                <c:manualLayout>
                  <c:x val="4.4444444444444446E-2"/>
                  <c:y val="-7.870370370370372E-2"/>
                </c:manualLayout>
              </c:layout>
              <c:tx>
                <c:rich>
                  <a:bodyPr/>
                  <a:lstStyle/>
                  <a:p>
                    <a:fld id="{F3B5FBEB-4E49-4687-BDE6-1FE9D691BF99}"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D0C6-4F32-A555-E9A9915BD469}"/>
                </c:ext>
              </c:extLst>
            </c:dLbl>
            <c:dLbl>
              <c:idx val="8"/>
              <c:layout>
                <c:manualLayout>
                  <c:x val="6.3888888888888884E-2"/>
                  <c:y val="-4.6296296296296294E-2"/>
                </c:manualLayout>
              </c:layout>
              <c:tx>
                <c:rich>
                  <a:bodyPr/>
                  <a:lstStyle/>
                  <a:p>
                    <a:fld id="{4CB1E5ED-ADDE-4D25-931A-1C94B662D018}"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D0C6-4F32-A555-E9A9915BD469}"/>
                </c:ext>
              </c:extLst>
            </c:dLbl>
            <c:dLbl>
              <c:idx val="9"/>
              <c:layout>
                <c:manualLayout>
                  <c:x val="7.2222222222222215E-2"/>
                  <c:y val="-1.8518518518518517E-2"/>
                </c:manualLayout>
              </c:layout>
              <c:tx>
                <c:rich>
                  <a:bodyPr/>
                  <a:lstStyle/>
                  <a:p>
                    <a:fld id="{24BA10AE-8DF0-4ED6-84D5-061F4521A184}"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D0C6-4F32-A555-E9A9915BD469}"/>
                </c:ext>
              </c:extLst>
            </c:dLbl>
            <c:dLbl>
              <c:idx val="10"/>
              <c:tx>
                <c:rich>
                  <a:bodyPr/>
                  <a:lstStyle/>
                  <a:p>
                    <a:fld id="{46747CA0-1906-4C7B-8022-5615001A30E5}" type="CELLRANGE">
                      <a:rPr lang="es-CO"/>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D0C6-4F32-A555-E9A9915BD469}"/>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'AVANCES 2022'!$C$14:$C$24</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5="http://schemas.microsoft.com/office/drawing/2012/chart" uri="{02D57815-91ED-43cb-92C2-25804820EDAC}">
              <c15:datalabelsRange>
                <c15:f>'AVANCES 2022'!$B$14:$B$24</c15:f>
                <c15:dlblRangeCache>
                  <c:ptCount val="11"/>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6-D0C6-4F32-A555-E9A9915BD469}"/>
            </c:ext>
          </c:extLst>
        </c:ser>
        <c:dLbls>
          <c:showLegendKey val="0"/>
          <c:showVal val="0"/>
          <c:showCatName val="0"/>
          <c:showSerName val="0"/>
          <c:showPercent val="0"/>
          <c:showBubbleSize val="0"/>
          <c:showLeaderLines val="0"/>
        </c:dLbls>
        <c:firstSliceAng val="270"/>
        <c:holeSize val="66"/>
      </c:doughnutChart>
      <c:scatterChart>
        <c:scatterStyle val="smoothMarker"/>
        <c:varyColors val="0"/>
        <c:ser>
          <c:idx val="1"/>
          <c:order val="1"/>
          <c:tx>
            <c:v>puntos</c:v>
          </c:tx>
          <c:spPr>
            <a:ln w="19050" cap="rnd">
              <a:solidFill>
                <a:schemeClr val="tx1"/>
              </a:solidFill>
              <a:round/>
              <a:headEnd type="stealth" w="sm" len="sm"/>
              <a:tailEnd type="stealth"/>
            </a:ln>
            <a:effectLst>
              <a:outerShdw blurRad="50800" dist="50800" dir="5400000" algn="ctr" rotWithShape="0">
                <a:srgbClr val="00B050"/>
              </a:outerShdw>
            </a:effectLst>
          </c:spPr>
          <c:marker>
            <c:symbol val="circle"/>
            <c:size val="5"/>
            <c:spPr>
              <a:solidFill>
                <a:schemeClr val="accent2"/>
              </a:solidFill>
              <a:ln w="9525">
                <a:solidFill>
                  <a:schemeClr val="accent2"/>
                </a:solidFill>
              </a:ln>
              <a:effectLst>
                <a:outerShdw blurRad="50800" dist="50800" dir="5400000" algn="ctr" rotWithShape="0">
                  <a:srgbClr val="00B050"/>
                </a:outerShdw>
              </a:effectLst>
            </c:spPr>
          </c:marker>
          <c:xVal>
            <c:numRef>
              <c:f>'AVANCES 2022'!$C$29:$C$30</c:f>
              <c:numCache>
                <c:formatCode>General</c:formatCode>
                <c:ptCount val="2"/>
                <c:pt idx="0">
                  <c:v>0</c:v>
                </c:pt>
                <c:pt idx="1">
                  <c:v>0</c:v>
                </c:pt>
              </c:numCache>
            </c:numRef>
          </c:xVal>
          <c:yVal>
            <c:numRef>
              <c:f>'AVANCES 2022'!$D$29:$D$30</c:f>
              <c:numCache>
                <c:formatCode>General</c:formatCode>
                <c:ptCount val="2"/>
                <c:pt idx="0">
                  <c:v>0</c:v>
                </c:pt>
                <c:pt idx="1">
                  <c:v>0</c:v>
                </c:pt>
              </c:numCache>
            </c:numRef>
          </c:yVal>
          <c:smooth val="1"/>
          <c:extLst>
            <c:ext xmlns:c16="http://schemas.microsoft.com/office/drawing/2014/chart" uri="{C3380CC4-5D6E-409C-BE32-E72D297353CC}">
              <c16:uniqueId val="{00000017-D0C6-4F32-A555-E9A9915BD469}"/>
            </c:ext>
          </c:extLst>
        </c:ser>
        <c:dLbls>
          <c:showLegendKey val="0"/>
          <c:showVal val="0"/>
          <c:showCatName val="0"/>
          <c:showSerName val="0"/>
          <c:showPercent val="0"/>
          <c:showBubbleSize val="0"/>
        </c:dLbls>
        <c:axId val="1397928799"/>
        <c:axId val="1397915071"/>
      </c:scatterChart>
      <c:valAx>
        <c:axId val="1397915071"/>
        <c:scaling>
          <c:orientation val="minMax"/>
          <c:max val="1"/>
          <c:min val="-1"/>
        </c:scaling>
        <c:delete val="1"/>
        <c:axPos val="l"/>
        <c:numFmt formatCode="General" sourceLinked="1"/>
        <c:majorTickMark val="out"/>
        <c:minorTickMark val="none"/>
        <c:tickLblPos val="nextTo"/>
        <c:crossAx val="1397928799"/>
        <c:crosses val="autoZero"/>
        <c:crossBetween val="midCat"/>
      </c:valAx>
      <c:valAx>
        <c:axId val="1397928799"/>
        <c:scaling>
          <c:orientation val="minMax"/>
          <c:max val="1"/>
          <c:min val="-1"/>
        </c:scaling>
        <c:delete val="1"/>
        <c:axPos val="b"/>
        <c:numFmt formatCode="General" sourceLinked="1"/>
        <c:majorTickMark val="out"/>
        <c:minorTickMark val="none"/>
        <c:tickLblPos val="nextTo"/>
        <c:crossAx val="1397915071"/>
        <c:crosses val="autoZero"/>
        <c:crossBetween val="midCat"/>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chart" Target="../charts/chart6.xml"/><Relationship Id="rId2" Type="http://schemas.microsoft.com/office/2007/relationships/hdphoto" Target="../media/hdphoto1.wdp"/><Relationship Id="rId1" Type="http://schemas.openxmlformats.org/officeDocument/2006/relationships/image" Target="../media/image4.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 Id="rId9" Type="http://schemas.openxmlformats.org/officeDocument/2006/relationships/chart" Target="../charts/chart7.xml"/></Relationships>
</file>

<file path=xl/drawings/_rels/drawing9.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8.xml"/><Relationship Id="rId7" Type="http://schemas.openxmlformats.org/officeDocument/2006/relationships/chart" Target="../charts/chart12.xml"/><Relationship Id="rId2" Type="http://schemas.microsoft.com/office/2007/relationships/hdphoto" Target="../media/hdphoto1.wdp"/><Relationship Id="rId1" Type="http://schemas.openxmlformats.org/officeDocument/2006/relationships/image" Target="../media/image4.png"/><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0</xdr:col>
      <xdr:colOff>57501</xdr:colOff>
      <xdr:row>0</xdr:row>
      <xdr:rowOff>0</xdr:rowOff>
    </xdr:from>
    <xdr:to>
      <xdr:col>1</xdr:col>
      <xdr:colOff>1455695</xdr:colOff>
      <xdr:row>4</xdr:row>
      <xdr:rowOff>85299</xdr:rowOff>
    </xdr:to>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501" y="0"/>
          <a:ext cx="3644388" cy="1251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0.37273</cdr:x>
      <cdr:y>0.5595</cdr:y>
    </cdr:from>
    <cdr:to>
      <cdr:x>0.75671</cdr:x>
      <cdr:y>0.7017</cdr:y>
    </cdr:to>
    <cdr:sp macro="" textlink="">
      <cdr:nvSpPr>
        <cdr:cNvPr id="2"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4"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5"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6"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7"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8"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9"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0"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1"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2"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3"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4"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5"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6"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7"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8"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9"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0"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1"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2"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3"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4"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5"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6"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7"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8"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9"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0"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1"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2"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3"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userShapes>
</file>

<file path=xl/drawings/drawing2.xml><?xml version="1.0" encoding="utf-8"?>
<xdr:wsDr xmlns:xdr="http://schemas.openxmlformats.org/drawingml/2006/spreadsheetDrawing" xmlns:a="http://schemas.openxmlformats.org/drawingml/2006/main">
  <xdr:twoCellAnchor>
    <xdr:from>
      <xdr:col>7</xdr:col>
      <xdr:colOff>179294</xdr:colOff>
      <xdr:row>8</xdr:row>
      <xdr:rowOff>145676</xdr:rowOff>
    </xdr:from>
    <xdr:to>
      <xdr:col>8</xdr:col>
      <xdr:colOff>280147</xdr:colOff>
      <xdr:row>11</xdr:row>
      <xdr:rowOff>145677</xdr:rowOff>
    </xdr:to>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6835588" y="5143500"/>
          <a:ext cx="862853" cy="5154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6</xdr:col>
      <xdr:colOff>290987</xdr:colOff>
      <xdr:row>0</xdr:row>
      <xdr:rowOff>0</xdr:rowOff>
    </xdr:from>
    <xdr:ext cx="2932883" cy="842441"/>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1509" y="0"/>
          <a:ext cx="2932883" cy="842441"/>
        </a:xfrm>
        <a:prstGeom prst="rect">
          <a:avLst/>
        </a:prstGeom>
      </xdr:spPr>
    </xdr:pic>
    <xdr:clientData/>
  </xdr:oneCellAnchor>
  <xdr:oneCellAnchor>
    <xdr:from>
      <xdr:col>3</xdr:col>
      <xdr:colOff>54212</xdr:colOff>
      <xdr:row>3</xdr:row>
      <xdr:rowOff>57979</xdr:rowOff>
    </xdr:from>
    <xdr:ext cx="3186545" cy="784412"/>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54212" y="57979"/>
          <a:ext cx="3186545" cy="784412"/>
        </a:xfrm>
        <a:prstGeom prst="rect">
          <a:avLst/>
        </a:prstGeom>
      </xdr:spPr>
    </xdr:pic>
    <xdr:clientData/>
  </xdr:oneCellAnchor>
  <xdr:oneCellAnchor>
    <xdr:from>
      <xdr:col>24</xdr:col>
      <xdr:colOff>1282420</xdr:colOff>
      <xdr:row>0</xdr:row>
      <xdr:rowOff>102921</xdr:rowOff>
    </xdr:from>
    <xdr:ext cx="2991708" cy="849580"/>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170495" y="1760271"/>
          <a:ext cx="2991708" cy="849580"/>
        </a:xfrm>
        <a:prstGeom prst="rect">
          <a:avLst/>
        </a:prstGeom>
      </xdr:spPr>
    </xdr:pic>
    <xdr:clientData/>
  </xdr:oneCellAnchor>
  <xdr:twoCellAnchor>
    <xdr:from>
      <xdr:col>7</xdr:col>
      <xdr:colOff>1143000</xdr:colOff>
      <xdr:row>3</xdr:row>
      <xdr:rowOff>66260</xdr:rowOff>
    </xdr:from>
    <xdr:to>
      <xdr:col>13</xdr:col>
      <xdr:colOff>33131</xdr:colOff>
      <xdr:row>3</xdr:row>
      <xdr:rowOff>662608</xdr:rowOff>
    </xdr:to>
    <xdr:sp macro="" textlink="">
      <xdr:nvSpPr>
        <xdr:cNvPr id="2" name="CuadroTexto 1">
          <a:extLst>
            <a:ext uri="{FF2B5EF4-FFF2-40B4-BE49-F238E27FC236}">
              <a16:creationId xmlns:a16="http://schemas.microsoft.com/office/drawing/2014/main" id="{00000000-0008-0000-0200-000002000000}"/>
            </a:ext>
          </a:extLst>
        </xdr:cNvPr>
        <xdr:cNvSpPr txBox="1"/>
      </xdr:nvSpPr>
      <xdr:spPr>
        <a:xfrm>
          <a:off x="6717196" y="66260"/>
          <a:ext cx="3752022" cy="5963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50" b="1"/>
            <a:t>SEGUIMIENTO PDI 2021 - 2024, VIGENCIA 2022</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333375</xdr:colOff>
      <xdr:row>6</xdr:row>
      <xdr:rowOff>0</xdr:rowOff>
    </xdr:from>
    <xdr:to>
      <xdr:col>10</xdr:col>
      <xdr:colOff>333375</xdr:colOff>
      <xdr:row>22</xdr:row>
      <xdr:rowOff>152400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0</xdr:col>
      <xdr:colOff>47625</xdr:colOff>
      <xdr:row>0</xdr:row>
      <xdr:rowOff>167987</xdr:rowOff>
    </xdr:from>
    <xdr:ext cx="2762226" cy="727362"/>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47625" y="167987"/>
          <a:ext cx="2762226" cy="727362"/>
        </a:xfrm>
        <a:prstGeom prst="rect">
          <a:avLst/>
        </a:prstGeom>
      </xdr:spPr>
    </xdr:pic>
    <xdr:clientData/>
  </xdr:oneCellAnchor>
  <xdr:oneCellAnchor>
    <xdr:from>
      <xdr:col>3</xdr:col>
      <xdr:colOff>534700</xdr:colOff>
      <xdr:row>0</xdr:row>
      <xdr:rowOff>15523</xdr:rowOff>
    </xdr:from>
    <xdr:ext cx="3022024" cy="727427"/>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3575" y="15523"/>
          <a:ext cx="3022024" cy="727427"/>
        </a:xfrm>
        <a:prstGeom prst="rect">
          <a:avLst/>
        </a:prstGeom>
      </xdr:spPr>
    </xdr:pic>
    <xdr:clientData/>
  </xdr:oneCellAnchor>
  <xdr:oneCellAnchor>
    <xdr:from>
      <xdr:col>20</xdr:col>
      <xdr:colOff>1060431</xdr:colOff>
      <xdr:row>0</xdr:row>
      <xdr:rowOff>92222</xdr:rowOff>
    </xdr:from>
    <xdr:ext cx="2600633" cy="745977"/>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67556" y="92222"/>
          <a:ext cx="2600633" cy="745977"/>
        </a:xfrm>
        <a:prstGeom prst="rect">
          <a:avLst/>
        </a:prstGeom>
      </xdr:spPr>
    </xdr:pic>
    <xdr:clientData/>
  </xdr:oneCellAnchor>
  <xdr:twoCellAnchor>
    <xdr:from>
      <xdr:col>4</xdr:col>
      <xdr:colOff>1381125</xdr:colOff>
      <xdr:row>0</xdr:row>
      <xdr:rowOff>133350</xdr:rowOff>
    </xdr:from>
    <xdr:to>
      <xdr:col>11</xdr:col>
      <xdr:colOff>342072</xdr:colOff>
      <xdr:row>0</xdr:row>
      <xdr:rowOff>729698</xdr:rowOff>
    </xdr:to>
    <xdr:sp macro="" textlink="">
      <xdr:nvSpPr>
        <xdr:cNvPr id="5" name="CuadroTexto 4">
          <a:extLst>
            <a:ext uri="{FF2B5EF4-FFF2-40B4-BE49-F238E27FC236}">
              <a16:creationId xmlns:a16="http://schemas.microsoft.com/office/drawing/2014/main" id="{00000000-0008-0000-0300-000005000000}"/>
            </a:ext>
          </a:extLst>
        </xdr:cNvPr>
        <xdr:cNvSpPr txBox="1"/>
      </xdr:nvSpPr>
      <xdr:spPr>
        <a:xfrm>
          <a:off x="6677025" y="133350"/>
          <a:ext cx="3752022" cy="5963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t>SEGUIMIENTO PDI 2021 - 2024, VIGENCIA 2022</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5</xdr:col>
      <xdr:colOff>1358715</xdr:colOff>
      <xdr:row>0</xdr:row>
      <xdr:rowOff>0</xdr:rowOff>
    </xdr:from>
    <xdr:ext cx="2932883" cy="842441"/>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5590" y="0"/>
          <a:ext cx="2932883" cy="842441"/>
        </a:xfrm>
        <a:prstGeom prst="rect">
          <a:avLst/>
        </a:prstGeom>
      </xdr:spPr>
    </xdr:pic>
    <xdr:clientData/>
  </xdr:oneCellAnchor>
  <xdr:oneCellAnchor>
    <xdr:from>
      <xdr:col>3</xdr:col>
      <xdr:colOff>108857</xdr:colOff>
      <xdr:row>0</xdr:row>
      <xdr:rowOff>54429</xdr:rowOff>
    </xdr:from>
    <xdr:ext cx="2762226" cy="784412"/>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108857" y="54429"/>
          <a:ext cx="2762226" cy="784412"/>
        </a:xfrm>
        <a:prstGeom prst="rect">
          <a:avLst/>
        </a:prstGeom>
      </xdr:spPr>
    </xdr:pic>
    <xdr:clientData/>
  </xdr:oneCellAnchor>
  <xdr:oneCellAnchor>
    <xdr:from>
      <xdr:col>25</xdr:col>
      <xdr:colOff>232522</xdr:colOff>
      <xdr:row>0</xdr:row>
      <xdr:rowOff>71437</xdr:rowOff>
    </xdr:from>
    <xdr:ext cx="2796988" cy="738188"/>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587447" y="71437"/>
          <a:ext cx="2796988" cy="738188"/>
        </a:xfrm>
        <a:prstGeom prst="rect">
          <a:avLst/>
        </a:prstGeom>
      </xdr:spPr>
    </xdr:pic>
    <xdr:clientData/>
  </xdr:oneCellAnchor>
  <xdr:twoCellAnchor>
    <xdr:from>
      <xdr:col>7</xdr:col>
      <xdr:colOff>1590675</xdr:colOff>
      <xdr:row>0</xdr:row>
      <xdr:rowOff>152400</xdr:rowOff>
    </xdr:from>
    <xdr:to>
      <xdr:col>15</xdr:col>
      <xdr:colOff>599247</xdr:colOff>
      <xdr:row>1</xdr:row>
      <xdr:rowOff>539198</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a:off x="6553200" y="152400"/>
          <a:ext cx="3752022" cy="5963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t>SEGUIMIENTO PDI 2021 - 2024, VIGENCIA 2022</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24</xdr:col>
      <xdr:colOff>599848</xdr:colOff>
      <xdr:row>1</xdr:row>
      <xdr:rowOff>30305</xdr:rowOff>
    </xdr:from>
    <xdr:to>
      <xdr:col>30</xdr:col>
      <xdr:colOff>363682</xdr:colOff>
      <xdr:row>27</xdr:row>
      <xdr:rowOff>51955</xdr:rowOff>
    </xdr:to>
    <xdr:sp macro="" textlink="">
      <xdr:nvSpPr>
        <xdr:cNvPr id="30" name="Elipse 29">
          <a:extLst>
            <a:ext uri="{FF2B5EF4-FFF2-40B4-BE49-F238E27FC236}">
              <a16:creationId xmlns:a16="http://schemas.microsoft.com/office/drawing/2014/main" id="{00000000-0008-0000-0500-00001E000000}"/>
            </a:ext>
          </a:extLst>
        </xdr:cNvPr>
        <xdr:cNvSpPr/>
      </xdr:nvSpPr>
      <xdr:spPr>
        <a:xfrm>
          <a:off x="18887848" y="186169"/>
          <a:ext cx="4335834" cy="4074104"/>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12</xdr:col>
      <xdr:colOff>556964</xdr:colOff>
      <xdr:row>5</xdr:row>
      <xdr:rowOff>151946</xdr:rowOff>
    </xdr:from>
    <xdr:to>
      <xdr:col>14</xdr:col>
      <xdr:colOff>158750</xdr:colOff>
      <xdr:row>12</xdr:row>
      <xdr:rowOff>127000</xdr:rowOff>
    </xdr:to>
    <xdr:sp macro="" textlink="">
      <xdr:nvSpPr>
        <xdr:cNvPr id="9" name="Elipse 8">
          <a:extLst>
            <a:ext uri="{FF2B5EF4-FFF2-40B4-BE49-F238E27FC236}">
              <a16:creationId xmlns:a16="http://schemas.microsoft.com/office/drawing/2014/main" id="{00000000-0008-0000-0500-000009000000}"/>
            </a:ext>
          </a:extLst>
        </xdr:cNvPr>
        <xdr:cNvSpPr/>
      </xdr:nvSpPr>
      <xdr:spPr>
        <a:xfrm>
          <a:off x="9700964" y="945696"/>
          <a:ext cx="1125786" cy="1086304"/>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577571</xdr:colOff>
      <xdr:row>40</xdr:row>
      <xdr:rowOff>10925</xdr:rowOff>
    </xdr:from>
    <xdr:to>
      <xdr:col>16</xdr:col>
      <xdr:colOff>680757</xdr:colOff>
      <xdr:row>50</xdr:row>
      <xdr:rowOff>41088</xdr:rowOff>
    </xdr:to>
    <xdr:sp macro="" textlink="">
      <xdr:nvSpPr>
        <xdr:cNvPr id="26" name="Elipse 25">
          <a:extLst>
            <a:ext uri="{FF2B5EF4-FFF2-40B4-BE49-F238E27FC236}">
              <a16:creationId xmlns:a16="http://schemas.microsoft.com/office/drawing/2014/main" id="{00000000-0008-0000-0500-00001A000000}"/>
            </a:ext>
          </a:extLst>
        </xdr:cNvPr>
        <xdr:cNvSpPr/>
      </xdr:nvSpPr>
      <xdr:spPr>
        <a:xfrm>
          <a:off x="11245571" y="6286219"/>
          <a:ext cx="1627186" cy="1598987"/>
        </a:xfrm>
        <a:prstGeom prst="ellipse">
          <a:avLst/>
        </a:prstGeom>
        <a:solidFill>
          <a:schemeClr val="accent6">
            <a:lumMod val="20000"/>
            <a:lumOff val="80000"/>
          </a:schemeClr>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8</xdr:col>
      <xdr:colOff>760414</xdr:colOff>
      <xdr:row>41</xdr:row>
      <xdr:rowOff>119062</xdr:rowOff>
    </xdr:from>
    <xdr:to>
      <xdr:col>11</xdr:col>
      <xdr:colOff>674688</xdr:colOff>
      <xdr:row>54</xdr:row>
      <xdr:rowOff>147638</xdr:rowOff>
    </xdr:to>
    <xdr:sp macro="" textlink="">
      <xdr:nvSpPr>
        <xdr:cNvPr id="25" name="Elipse 24">
          <a:extLst>
            <a:ext uri="{FF2B5EF4-FFF2-40B4-BE49-F238E27FC236}">
              <a16:creationId xmlns:a16="http://schemas.microsoft.com/office/drawing/2014/main" id="{00000000-0008-0000-0500-000019000000}"/>
            </a:ext>
          </a:extLst>
        </xdr:cNvPr>
        <xdr:cNvSpPr/>
      </xdr:nvSpPr>
      <xdr:spPr>
        <a:xfrm>
          <a:off x="6856414" y="6627812"/>
          <a:ext cx="2200274" cy="2092326"/>
        </a:xfrm>
        <a:prstGeom prst="ellipse">
          <a:avLst/>
        </a:prstGeom>
        <a:solidFill>
          <a:schemeClr val="accent6">
            <a:lumMod val="20000"/>
            <a:lumOff val="80000"/>
          </a:schemeClr>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xdr:col>
      <xdr:colOff>539946</xdr:colOff>
      <xdr:row>24</xdr:row>
      <xdr:rowOff>11651</xdr:rowOff>
    </xdr:from>
    <xdr:to>
      <xdr:col>10</xdr:col>
      <xdr:colOff>25743</xdr:colOff>
      <xdr:row>57</xdr:row>
      <xdr:rowOff>102973</xdr:rowOff>
    </xdr:to>
    <xdr:sp macro="" textlink="">
      <xdr:nvSpPr>
        <xdr:cNvPr id="22" name="Elipse 21">
          <a:extLst>
            <a:ext uri="{FF2B5EF4-FFF2-40B4-BE49-F238E27FC236}">
              <a16:creationId xmlns:a16="http://schemas.microsoft.com/office/drawing/2014/main" id="{00000000-0008-0000-0500-000016000000}"/>
            </a:ext>
          </a:extLst>
        </xdr:cNvPr>
        <xdr:cNvSpPr/>
      </xdr:nvSpPr>
      <xdr:spPr>
        <a:xfrm>
          <a:off x="2084541" y="3718678"/>
          <a:ext cx="5664175" cy="5188484"/>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xdr:col>
      <xdr:colOff>606974</xdr:colOff>
      <xdr:row>24</xdr:row>
      <xdr:rowOff>114636</xdr:rowOff>
    </xdr:from>
    <xdr:to>
      <xdr:col>9</xdr:col>
      <xdr:colOff>695067</xdr:colOff>
      <xdr:row>57</xdr:row>
      <xdr:rowOff>77229</xdr:rowOff>
    </xdr:to>
    <xdr:sp macro="" textlink="">
      <xdr:nvSpPr>
        <xdr:cNvPr id="21" name="Elipse 20">
          <a:extLst>
            <a:ext uri="{FF2B5EF4-FFF2-40B4-BE49-F238E27FC236}">
              <a16:creationId xmlns:a16="http://schemas.microsoft.com/office/drawing/2014/main" id="{00000000-0008-0000-0500-000015000000}"/>
            </a:ext>
          </a:extLst>
        </xdr:cNvPr>
        <xdr:cNvSpPr/>
      </xdr:nvSpPr>
      <xdr:spPr>
        <a:xfrm>
          <a:off x="2151569" y="3821663"/>
          <a:ext cx="5494174" cy="5059755"/>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419574</xdr:colOff>
      <xdr:row>21</xdr:row>
      <xdr:rowOff>50404</xdr:rowOff>
    </xdr:from>
    <xdr:to>
      <xdr:col>15</xdr:col>
      <xdr:colOff>86591</xdr:colOff>
      <xdr:row>46</xdr:row>
      <xdr:rowOff>86591</xdr:rowOff>
    </xdr:to>
    <xdr:sp macro="" textlink="">
      <xdr:nvSpPr>
        <xdr:cNvPr id="20" name="Elipse 19">
          <a:extLst>
            <a:ext uri="{FF2B5EF4-FFF2-40B4-BE49-F238E27FC236}">
              <a16:creationId xmlns:a16="http://schemas.microsoft.com/office/drawing/2014/main" id="{00000000-0008-0000-0500-000014000000}"/>
            </a:ext>
          </a:extLst>
        </xdr:cNvPr>
        <xdr:cNvSpPr/>
      </xdr:nvSpPr>
      <xdr:spPr>
        <a:xfrm>
          <a:off x="7277574" y="3323540"/>
          <a:ext cx="4239017" cy="3932778"/>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9</xdr:col>
      <xdr:colOff>548864</xdr:colOff>
      <xdr:row>21</xdr:row>
      <xdr:rowOff>116920</xdr:rowOff>
    </xdr:from>
    <xdr:to>
      <xdr:col>14</xdr:col>
      <xdr:colOff>730249</xdr:colOff>
      <xdr:row>46</xdr:row>
      <xdr:rowOff>0</xdr:rowOff>
    </xdr:to>
    <xdr:sp macro="" textlink="">
      <xdr:nvSpPr>
        <xdr:cNvPr id="19" name="Elipse 18">
          <a:extLst>
            <a:ext uri="{FF2B5EF4-FFF2-40B4-BE49-F238E27FC236}">
              <a16:creationId xmlns:a16="http://schemas.microsoft.com/office/drawing/2014/main" id="{00000000-0008-0000-0500-000013000000}"/>
            </a:ext>
          </a:extLst>
        </xdr:cNvPr>
        <xdr:cNvSpPr/>
      </xdr:nvSpPr>
      <xdr:spPr>
        <a:xfrm>
          <a:off x="7406864" y="3450670"/>
          <a:ext cx="3991385" cy="3851830"/>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17</xdr:col>
      <xdr:colOff>39536</xdr:colOff>
      <xdr:row>3</xdr:row>
      <xdr:rowOff>65706</xdr:rowOff>
    </xdr:from>
    <xdr:to>
      <xdr:col>24</xdr:col>
      <xdr:colOff>731112</xdr:colOff>
      <xdr:row>41</xdr:row>
      <xdr:rowOff>40038</xdr:rowOff>
    </xdr:to>
    <xdr:pic>
      <xdr:nvPicPr>
        <xdr:cNvPr id="15" name="Imagen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cstate="print">
          <a:lum bright="70000" contrast="-70000"/>
          <a:extLst>
            <a:ext uri="{BEBA8EAE-BF5A-486C-A8C5-ECC9F3942E4B}">
              <a14:imgProps xmlns:a14="http://schemas.microsoft.com/office/drawing/2010/main">
                <a14:imgLayer r:embed="rId2">
                  <a14:imgEffect>
                    <a14:saturation sat="73000"/>
                  </a14:imgEffect>
                </a14:imgLayer>
              </a14:imgProps>
            </a:ext>
            <a:ext uri="{28A0092B-C50C-407E-A947-70E740481C1C}">
              <a14:useLocalDpi xmlns:a14="http://schemas.microsoft.com/office/drawing/2010/main" val="0"/>
            </a:ext>
          </a:extLst>
        </a:blip>
        <a:stretch>
          <a:fillRect/>
        </a:stretch>
      </xdr:blipFill>
      <xdr:spPr>
        <a:xfrm>
          <a:off x="12993536" y="533297"/>
          <a:ext cx="6025576" cy="5897150"/>
        </a:xfrm>
        <a:prstGeom prst="rect">
          <a:avLst/>
        </a:prstGeom>
        <a:effectLst>
          <a:reflection stA="7000" endPos="65000" dist="50800" dir="5400000" sy="-100000" algn="bl" rotWithShape="0"/>
        </a:effectLst>
      </xdr:spPr>
    </xdr:pic>
    <xdr:clientData/>
  </xdr:twoCellAnchor>
  <xdr:twoCellAnchor>
    <xdr:from>
      <xdr:col>7</xdr:col>
      <xdr:colOff>301625</xdr:colOff>
      <xdr:row>3</xdr:row>
      <xdr:rowOff>15873</xdr:rowOff>
    </xdr:from>
    <xdr:to>
      <xdr:col>11</xdr:col>
      <xdr:colOff>222250</xdr:colOff>
      <xdr:row>20</xdr:row>
      <xdr:rowOff>79374</xdr:rowOff>
    </xdr:to>
    <xdr:sp macro="" textlink="">
      <xdr:nvSpPr>
        <xdr:cNvPr id="14" name="Elipse 13">
          <a:extLst>
            <a:ext uri="{FF2B5EF4-FFF2-40B4-BE49-F238E27FC236}">
              <a16:creationId xmlns:a16="http://schemas.microsoft.com/office/drawing/2014/main" id="{00000000-0008-0000-0500-00000E000000}"/>
            </a:ext>
          </a:extLst>
        </xdr:cNvPr>
        <xdr:cNvSpPr/>
      </xdr:nvSpPr>
      <xdr:spPr>
        <a:xfrm>
          <a:off x="5635625" y="492123"/>
          <a:ext cx="2968625" cy="2762251"/>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7</xdr:col>
      <xdr:colOff>333291</xdr:colOff>
      <xdr:row>3</xdr:row>
      <xdr:rowOff>60593</xdr:rowOff>
    </xdr:from>
    <xdr:to>
      <xdr:col>11</xdr:col>
      <xdr:colOff>142875</xdr:colOff>
      <xdr:row>20</xdr:row>
      <xdr:rowOff>47624</xdr:rowOff>
    </xdr:to>
    <xdr:sp macro="" textlink="">
      <xdr:nvSpPr>
        <xdr:cNvPr id="6" name="Elipse 5">
          <a:extLst>
            <a:ext uri="{FF2B5EF4-FFF2-40B4-BE49-F238E27FC236}">
              <a16:creationId xmlns:a16="http://schemas.microsoft.com/office/drawing/2014/main" id="{00000000-0008-0000-0500-000006000000}"/>
            </a:ext>
          </a:extLst>
        </xdr:cNvPr>
        <xdr:cNvSpPr/>
      </xdr:nvSpPr>
      <xdr:spPr>
        <a:xfrm>
          <a:off x="5667291" y="536843"/>
          <a:ext cx="2857584" cy="2685781"/>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513258</xdr:colOff>
      <xdr:row>33</xdr:row>
      <xdr:rowOff>44739</xdr:rowOff>
    </xdr:from>
    <xdr:to>
      <xdr:col>24</xdr:col>
      <xdr:colOff>334818</xdr:colOff>
      <xdr:row>54</xdr:row>
      <xdr:rowOff>60613</xdr:rowOff>
    </xdr:to>
    <xdr:sp macro="" textlink="">
      <xdr:nvSpPr>
        <xdr:cNvPr id="13" name="Elipse 12">
          <a:extLst>
            <a:ext uri="{FF2B5EF4-FFF2-40B4-BE49-F238E27FC236}">
              <a16:creationId xmlns:a16="http://schemas.microsoft.com/office/drawing/2014/main" id="{00000000-0008-0000-0500-00000D000000}"/>
            </a:ext>
          </a:extLst>
        </xdr:cNvPr>
        <xdr:cNvSpPr/>
      </xdr:nvSpPr>
      <xdr:spPr>
        <a:xfrm>
          <a:off x="14991258" y="5188239"/>
          <a:ext cx="3631560" cy="3289010"/>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19</xdr:col>
      <xdr:colOff>587823</xdr:colOff>
      <xdr:row>33</xdr:row>
      <xdr:rowOff>95355</xdr:rowOff>
    </xdr:from>
    <xdr:to>
      <xdr:col>24</xdr:col>
      <xdr:colOff>189056</xdr:colOff>
      <xdr:row>53</xdr:row>
      <xdr:rowOff>151534</xdr:rowOff>
    </xdr:to>
    <xdr:sp macro="" textlink="">
      <xdr:nvSpPr>
        <xdr:cNvPr id="7" name="Elipse 6">
          <a:extLst>
            <a:ext uri="{FF2B5EF4-FFF2-40B4-BE49-F238E27FC236}">
              <a16:creationId xmlns:a16="http://schemas.microsoft.com/office/drawing/2014/main" id="{00000000-0008-0000-0500-000007000000}"/>
            </a:ext>
          </a:extLst>
        </xdr:cNvPr>
        <xdr:cNvSpPr/>
      </xdr:nvSpPr>
      <xdr:spPr>
        <a:xfrm>
          <a:off x="15065823" y="5238855"/>
          <a:ext cx="3411233" cy="3173452"/>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54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13</xdr:col>
      <xdr:colOff>107702</xdr:colOff>
      <xdr:row>4</xdr:row>
      <xdr:rowOff>99680</xdr:rowOff>
    </xdr:from>
    <xdr:to>
      <xdr:col>19</xdr:col>
      <xdr:colOff>581602</xdr:colOff>
      <xdr:row>33</xdr:row>
      <xdr:rowOff>95249</xdr:rowOff>
    </xdr:to>
    <xdr:sp macro="" textlink="">
      <xdr:nvSpPr>
        <xdr:cNvPr id="11" name="Elipse 10">
          <a:extLst>
            <a:ext uri="{FF2B5EF4-FFF2-40B4-BE49-F238E27FC236}">
              <a16:creationId xmlns:a16="http://schemas.microsoft.com/office/drawing/2014/main" id="{00000000-0008-0000-0500-00000B000000}"/>
            </a:ext>
          </a:extLst>
        </xdr:cNvPr>
        <xdr:cNvSpPr/>
      </xdr:nvSpPr>
      <xdr:spPr>
        <a:xfrm>
          <a:off x="10013702" y="723135"/>
          <a:ext cx="5045900" cy="4515614"/>
        </a:xfrm>
        <a:prstGeom prst="ellipse">
          <a:avLst/>
        </a:prstGeom>
        <a:solidFill>
          <a:srgbClr val="00FF00"/>
        </a:solidFill>
        <a:ln>
          <a:noFill/>
        </a:ln>
        <a:effectLst>
          <a:glow rad="228600">
            <a:schemeClr val="accent6">
              <a:satMod val="175000"/>
              <a:alpha val="40000"/>
            </a:schemeClr>
          </a:glow>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207570</xdr:colOff>
      <xdr:row>4</xdr:row>
      <xdr:rowOff>123021</xdr:rowOff>
    </xdr:from>
    <xdr:to>
      <xdr:col>19</xdr:col>
      <xdr:colOff>519545</xdr:colOff>
      <xdr:row>33</xdr:row>
      <xdr:rowOff>51955</xdr:rowOff>
    </xdr:to>
    <xdr:sp macro="" textlink="">
      <xdr:nvSpPr>
        <xdr:cNvPr id="5" name="Elipse 4">
          <a:extLst>
            <a:ext uri="{FF2B5EF4-FFF2-40B4-BE49-F238E27FC236}">
              <a16:creationId xmlns:a16="http://schemas.microsoft.com/office/drawing/2014/main" id="{00000000-0008-0000-0500-000005000000}"/>
            </a:ext>
          </a:extLst>
        </xdr:cNvPr>
        <xdr:cNvSpPr/>
      </xdr:nvSpPr>
      <xdr:spPr>
        <a:xfrm>
          <a:off x="10113570" y="746476"/>
          <a:ext cx="4883975" cy="4448979"/>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35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154441</xdr:colOff>
      <xdr:row>20</xdr:row>
      <xdr:rowOff>91623</xdr:rowOff>
    </xdr:from>
    <xdr:to>
      <xdr:col>9</xdr:col>
      <xdr:colOff>225137</xdr:colOff>
      <xdr:row>25</xdr:row>
      <xdr:rowOff>119991</xdr:rowOff>
    </xdr:to>
    <xdr:sp macro="" textlink="">
      <xdr:nvSpPr>
        <xdr:cNvPr id="10" name="Elipse 9">
          <a:extLst>
            <a:ext uri="{FF2B5EF4-FFF2-40B4-BE49-F238E27FC236}">
              <a16:creationId xmlns:a16="http://schemas.microsoft.com/office/drawing/2014/main" id="{00000000-0008-0000-0500-00000A000000}"/>
            </a:ext>
          </a:extLst>
        </xdr:cNvPr>
        <xdr:cNvSpPr/>
      </xdr:nvSpPr>
      <xdr:spPr>
        <a:xfrm>
          <a:off x="6250441" y="3266623"/>
          <a:ext cx="832696" cy="822118"/>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140264</xdr:colOff>
      <xdr:row>5</xdr:row>
      <xdr:rowOff>127837</xdr:rowOff>
    </xdr:from>
    <xdr:to>
      <xdr:col>6</xdr:col>
      <xdr:colOff>231689</xdr:colOff>
      <xdr:row>34</xdr:row>
      <xdr:rowOff>51486</xdr:rowOff>
    </xdr:to>
    <xdr:sp macro="" textlink="">
      <xdr:nvSpPr>
        <xdr:cNvPr id="12" name="Elipse 11">
          <a:extLst>
            <a:ext uri="{FF2B5EF4-FFF2-40B4-BE49-F238E27FC236}">
              <a16:creationId xmlns:a16="http://schemas.microsoft.com/office/drawing/2014/main" id="{00000000-0008-0000-0500-00000C000000}"/>
            </a:ext>
          </a:extLst>
        </xdr:cNvPr>
        <xdr:cNvSpPr/>
      </xdr:nvSpPr>
      <xdr:spPr>
        <a:xfrm>
          <a:off x="140264" y="900134"/>
          <a:ext cx="4725209" cy="4402974"/>
        </a:xfrm>
        <a:prstGeom prst="ellipse">
          <a:avLst/>
        </a:prstGeom>
        <a:solidFill>
          <a:srgbClr val="00FF00"/>
        </a:solidFill>
        <a:ln>
          <a:noFill/>
        </a:ln>
        <a:effectLst>
          <a:glow rad="228600">
            <a:schemeClr val="accent6">
              <a:satMod val="175000"/>
              <a:alpha val="40000"/>
            </a:schemeClr>
          </a:glow>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0</xdr:col>
      <xdr:colOff>263440</xdr:colOff>
      <xdr:row>6</xdr:row>
      <xdr:rowOff>97901</xdr:rowOff>
    </xdr:from>
    <xdr:to>
      <xdr:col>6</xdr:col>
      <xdr:colOff>108980</xdr:colOff>
      <xdr:row>33</xdr:row>
      <xdr:rowOff>144591</xdr:rowOff>
    </xdr:to>
    <xdr:sp macro="" textlink="">
      <xdr:nvSpPr>
        <xdr:cNvPr id="8" name="Elipse 7">
          <a:extLst>
            <a:ext uri="{FF2B5EF4-FFF2-40B4-BE49-F238E27FC236}">
              <a16:creationId xmlns:a16="http://schemas.microsoft.com/office/drawing/2014/main" id="{00000000-0008-0000-0500-000008000000}"/>
            </a:ext>
          </a:extLst>
        </xdr:cNvPr>
        <xdr:cNvSpPr/>
      </xdr:nvSpPr>
      <xdr:spPr>
        <a:xfrm>
          <a:off x="263440" y="1050401"/>
          <a:ext cx="4417540" cy="4332940"/>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path path="circle">
            <a:fillToRect l="50000" t="50000" r="50000" b="50000"/>
          </a:path>
          <a:tileRect/>
        </a:gradFill>
        <a:ln>
          <a:no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7</xdr:row>
      <xdr:rowOff>6352</xdr:rowOff>
    </xdr:from>
    <xdr:to>
      <xdr:col>6</xdr:col>
      <xdr:colOff>420585</xdr:colOff>
      <xdr:row>28</xdr:row>
      <xdr:rowOff>12370</xdr:rowOff>
    </xdr:to>
    <xdr:graphicFrame macro="">
      <xdr:nvGraphicFramePr>
        <xdr:cNvPr id="16" name="Gráfico 15">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692520</xdr:colOff>
      <xdr:row>34</xdr:row>
      <xdr:rowOff>80818</xdr:rowOff>
    </xdr:from>
    <xdr:to>
      <xdr:col>25</xdr:col>
      <xdr:colOff>396875</xdr:colOff>
      <xdr:row>55</xdr:row>
      <xdr:rowOff>49069</xdr:rowOff>
    </xdr:to>
    <xdr:graphicFrame macro="">
      <xdr:nvGraphicFramePr>
        <xdr:cNvPr id="17" name="Gráfico 16">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345292</xdr:colOff>
      <xdr:row>8</xdr:row>
      <xdr:rowOff>9836</xdr:rowOff>
    </xdr:from>
    <xdr:to>
      <xdr:col>19</xdr:col>
      <xdr:colOff>445943</xdr:colOff>
      <xdr:row>27</xdr:row>
      <xdr:rowOff>73603</xdr:rowOff>
    </xdr:to>
    <xdr:graphicFrame macro="">
      <xdr:nvGraphicFramePr>
        <xdr:cNvPr id="18" name="Gráfico 17">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737922</xdr:colOff>
      <xdr:row>31</xdr:row>
      <xdr:rowOff>7195</xdr:rowOff>
    </xdr:from>
    <xdr:to>
      <xdr:col>9</xdr:col>
      <xdr:colOff>299875</xdr:colOff>
      <xdr:row>53</xdr:row>
      <xdr:rowOff>89296</xdr:rowOff>
    </xdr:to>
    <xdr:graphicFrame macro="">
      <xdr:nvGraphicFramePr>
        <xdr:cNvPr id="23" name="Gráfico 22">
          <a:extLst>
            <a:ext uri="{FF2B5EF4-FFF2-40B4-BE49-F238E27FC236}">
              <a16:creationId xmlns:a16="http://schemas.microsoft.com/office/drawing/2014/main" id="{00000000-0008-0000-0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643582</xdr:colOff>
      <xdr:row>25</xdr:row>
      <xdr:rowOff>49420</xdr:rowOff>
    </xdr:from>
    <xdr:to>
      <xdr:col>15</xdr:col>
      <xdr:colOff>421663</xdr:colOff>
      <xdr:row>46</xdr:row>
      <xdr:rowOff>15282</xdr:rowOff>
    </xdr:to>
    <xdr:graphicFrame macro="">
      <xdr:nvGraphicFramePr>
        <xdr:cNvPr id="24" name="Gráfico 23">
          <a:extLst>
            <a:ext uri="{FF2B5EF4-FFF2-40B4-BE49-F238E27FC236}">
              <a16:creationId xmlns:a16="http://schemas.microsoft.com/office/drawing/2014/main" id="{00000000-0008-0000-05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446090</xdr:colOff>
      <xdr:row>49</xdr:row>
      <xdr:rowOff>58737</xdr:rowOff>
    </xdr:from>
    <xdr:to>
      <xdr:col>15</xdr:col>
      <xdr:colOff>79376</xdr:colOff>
      <xdr:row>56</xdr:row>
      <xdr:rowOff>31750</xdr:rowOff>
    </xdr:to>
    <xdr:sp macro="" textlink="">
      <xdr:nvSpPr>
        <xdr:cNvPr id="27" name="Elipse 26">
          <a:extLst>
            <a:ext uri="{FF2B5EF4-FFF2-40B4-BE49-F238E27FC236}">
              <a16:creationId xmlns:a16="http://schemas.microsoft.com/office/drawing/2014/main" id="{00000000-0008-0000-0500-00001B000000}"/>
            </a:ext>
          </a:extLst>
        </xdr:cNvPr>
        <xdr:cNvSpPr/>
      </xdr:nvSpPr>
      <xdr:spPr>
        <a:xfrm>
          <a:off x="10352090" y="7837487"/>
          <a:ext cx="1157286" cy="1084263"/>
        </a:xfrm>
        <a:prstGeom prst="ellipse">
          <a:avLst/>
        </a:prstGeom>
        <a:solidFill>
          <a:schemeClr val="accent6">
            <a:lumMod val="20000"/>
            <a:lumOff val="80000"/>
          </a:schemeClr>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13</xdr:col>
      <xdr:colOff>74615</xdr:colOff>
      <xdr:row>52</xdr:row>
      <xdr:rowOff>4762</xdr:rowOff>
    </xdr:from>
    <xdr:to>
      <xdr:col>14</xdr:col>
      <xdr:colOff>31751</xdr:colOff>
      <xdr:row>55</xdr:row>
      <xdr:rowOff>142875</xdr:rowOff>
    </xdr:to>
    <xdr:sp macro="" textlink="">
      <xdr:nvSpPr>
        <xdr:cNvPr id="28" name="Elipse 27">
          <a:extLst>
            <a:ext uri="{FF2B5EF4-FFF2-40B4-BE49-F238E27FC236}">
              <a16:creationId xmlns:a16="http://schemas.microsoft.com/office/drawing/2014/main" id="{00000000-0008-0000-0500-00001C000000}"/>
            </a:ext>
          </a:extLst>
        </xdr:cNvPr>
        <xdr:cNvSpPr/>
      </xdr:nvSpPr>
      <xdr:spPr>
        <a:xfrm>
          <a:off x="9980615" y="8259762"/>
          <a:ext cx="719136" cy="614363"/>
        </a:xfrm>
        <a:prstGeom prst="ellipse">
          <a:avLst/>
        </a:prstGeom>
        <a:solidFill>
          <a:schemeClr val="accent6">
            <a:lumMod val="20000"/>
            <a:lumOff val="80000"/>
          </a:schemeClr>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editAs="oneCell">
    <xdr:from>
      <xdr:col>7</xdr:col>
      <xdr:colOff>222250</xdr:colOff>
      <xdr:row>3</xdr:row>
      <xdr:rowOff>142876</xdr:rowOff>
    </xdr:from>
    <xdr:to>
      <xdr:col>11</xdr:col>
      <xdr:colOff>333375</xdr:colOff>
      <xdr:row>16</xdr:row>
      <xdr:rowOff>110326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56250" y="619126"/>
          <a:ext cx="3159125" cy="2031200"/>
        </a:xfrm>
        <a:prstGeom prst="rect">
          <a:avLst/>
        </a:prstGeom>
      </xdr:spPr>
    </xdr:pic>
    <xdr:clientData/>
  </xdr:twoCellAnchor>
  <xdr:twoCellAnchor>
    <xdr:from>
      <xdr:col>24</xdr:col>
      <xdr:colOff>726368</xdr:colOff>
      <xdr:row>1</xdr:row>
      <xdr:rowOff>103907</xdr:rowOff>
    </xdr:from>
    <xdr:to>
      <xdr:col>30</xdr:col>
      <xdr:colOff>259772</xdr:colOff>
      <xdr:row>26</xdr:row>
      <xdr:rowOff>121225</xdr:rowOff>
    </xdr:to>
    <xdr:sp macro="" textlink="">
      <xdr:nvSpPr>
        <xdr:cNvPr id="29" name="Elipse 28">
          <a:extLst>
            <a:ext uri="{FF2B5EF4-FFF2-40B4-BE49-F238E27FC236}">
              <a16:creationId xmlns:a16="http://schemas.microsoft.com/office/drawing/2014/main" id="{00000000-0008-0000-0500-00001D000000}"/>
            </a:ext>
          </a:extLst>
        </xdr:cNvPr>
        <xdr:cNvSpPr/>
      </xdr:nvSpPr>
      <xdr:spPr>
        <a:xfrm>
          <a:off x="19014368" y="259771"/>
          <a:ext cx="4105404" cy="3913909"/>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54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27</xdr:col>
      <xdr:colOff>476176</xdr:colOff>
      <xdr:row>34</xdr:row>
      <xdr:rowOff>97133</xdr:rowOff>
    </xdr:from>
    <xdr:to>
      <xdr:col>33</xdr:col>
      <xdr:colOff>243473</xdr:colOff>
      <xdr:row>60</xdr:row>
      <xdr:rowOff>118784</xdr:rowOff>
    </xdr:to>
    <xdr:sp macro="" textlink="">
      <xdr:nvSpPr>
        <xdr:cNvPr id="31" name="Elipse 30">
          <a:extLst>
            <a:ext uri="{FF2B5EF4-FFF2-40B4-BE49-F238E27FC236}">
              <a16:creationId xmlns:a16="http://schemas.microsoft.com/office/drawing/2014/main" id="{00000000-0008-0000-0500-00001F000000}"/>
            </a:ext>
          </a:extLst>
        </xdr:cNvPr>
        <xdr:cNvSpPr/>
      </xdr:nvSpPr>
      <xdr:spPr>
        <a:xfrm>
          <a:off x="21050176" y="5396497"/>
          <a:ext cx="4339297" cy="4074105"/>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27</xdr:col>
      <xdr:colOff>225771</xdr:colOff>
      <xdr:row>33</xdr:row>
      <xdr:rowOff>143230</xdr:rowOff>
    </xdr:from>
    <xdr:to>
      <xdr:col>32</xdr:col>
      <xdr:colOff>521175</xdr:colOff>
      <xdr:row>59</xdr:row>
      <xdr:rowOff>3666</xdr:rowOff>
    </xdr:to>
    <xdr:sp macro="" textlink="">
      <xdr:nvSpPr>
        <xdr:cNvPr id="32" name="Elipse 31">
          <a:extLst>
            <a:ext uri="{FF2B5EF4-FFF2-40B4-BE49-F238E27FC236}">
              <a16:creationId xmlns:a16="http://schemas.microsoft.com/office/drawing/2014/main" id="{00000000-0008-0000-0500-000020000000}"/>
            </a:ext>
          </a:extLst>
        </xdr:cNvPr>
        <xdr:cNvSpPr/>
      </xdr:nvSpPr>
      <xdr:spPr>
        <a:xfrm>
          <a:off x="20799771" y="5286730"/>
          <a:ext cx="4105404" cy="3912891"/>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54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24</xdr:col>
      <xdr:colOff>345367</xdr:colOff>
      <xdr:row>4</xdr:row>
      <xdr:rowOff>121225</xdr:rowOff>
    </xdr:from>
    <xdr:to>
      <xdr:col>30</xdr:col>
      <xdr:colOff>710044</xdr:colOff>
      <xdr:row>22</xdr:row>
      <xdr:rowOff>58880</xdr:rowOff>
    </xdr:to>
    <xdr:graphicFrame macro="">
      <xdr:nvGraphicFramePr>
        <xdr:cNvPr id="33" name="Gráfico 32">
          <a:extLst>
            <a:ext uri="{FF2B5EF4-FFF2-40B4-BE49-F238E27FC236}">
              <a16:creationId xmlns:a16="http://schemas.microsoft.com/office/drawing/2014/main" id="{00000000-0008-0000-05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0.37273</cdr:x>
      <cdr:y>0.5595</cdr:y>
    </cdr:from>
    <cdr:to>
      <cdr:x>0.75671</cdr:x>
      <cdr:y>0.7017</cdr:y>
    </cdr:to>
    <cdr:sp macro="" textlink="">
      <cdr:nvSpPr>
        <cdr:cNvPr id="2"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4"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5"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6"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7"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8"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9"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0"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1"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2"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3"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4"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5"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6"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7"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8"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19"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0"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1"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2"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3"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4"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5"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6"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7"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8"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29"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0"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1"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2"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dr:relSizeAnchor xmlns:cdr="http://schemas.openxmlformats.org/drawingml/2006/chartDrawing">
    <cdr:from>
      <cdr:x>0.37273</cdr:x>
      <cdr:y>0.5595</cdr:y>
    </cdr:from>
    <cdr:to>
      <cdr:x>0.75671</cdr:x>
      <cdr:y>0.7017</cdr:y>
    </cdr:to>
    <cdr:sp macro="" textlink="">
      <cdr:nvSpPr>
        <cdr:cNvPr id="33" name="CuadroTexto 1"/>
        <cdr:cNvSpPr txBox="1"/>
      </cdr:nvSpPr>
      <cdr:spPr>
        <a:xfrm xmlns:a="http://schemas.openxmlformats.org/drawingml/2006/main">
          <a:off x="2161995" y="1825524"/>
          <a:ext cx="2227163" cy="463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 METAS PDI</a:t>
          </a:r>
          <a:r>
            <a:rPr lang="es-CO" sz="1400" baseline="0"/>
            <a:t> 2022 TOTAL 2022</a:t>
          </a:r>
          <a:endParaRPr lang="es-CO" sz="1400"/>
        </a:p>
      </cdr:txBody>
    </cdr:sp>
  </cdr:relSizeAnchor>
</c:userShapes>
</file>

<file path=xl/drawings/drawing9.xml><?xml version="1.0" encoding="utf-8"?>
<xdr:wsDr xmlns:xdr="http://schemas.openxmlformats.org/drawingml/2006/spreadsheetDrawing" xmlns:a="http://schemas.openxmlformats.org/drawingml/2006/main">
  <xdr:twoCellAnchor>
    <xdr:from>
      <xdr:col>24</xdr:col>
      <xdr:colOff>599848</xdr:colOff>
      <xdr:row>1</xdr:row>
      <xdr:rowOff>30305</xdr:rowOff>
    </xdr:from>
    <xdr:to>
      <xdr:col>30</xdr:col>
      <xdr:colOff>363682</xdr:colOff>
      <xdr:row>27</xdr:row>
      <xdr:rowOff>51955</xdr:rowOff>
    </xdr:to>
    <xdr:sp macro="" textlink="">
      <xdr:nvSpPr>
        <xdr:cNvPr id="2" name="Elipse 1">
          <a:extLst>
            <a:ext uri="{FF2B5EF4-FFF2-40B4-BE49-F238E27FC236}">
              <a16:creationId xmlns:a16="http://schemas.microsoft.com/office/drawing/2014/main" id="{00000000-0008-0000-0600-000002000000}"/>
            </a:ext>
          </a:extLst>
        </xdr:cNvPr>
        <xdr:cNvSpPr/>
      </xdr:nvSpPr>
      <xdr:spPr>
        <a:xfrm>
          <a:off x="18887848" y="192230"/>
          <a:ext cx="4335834" cy="4231700"/>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15</xdr:col>
      <xdr:colOff>184369</xdr:colOff>
      <xdr:row>63</xdr:row>
      <xdr:rowOff>158150</xdr:rowOff>
    </xdr:from>
    <xdr:to>
      <xdr:col>16</xdr:col>
      <xdr:colOff>548155</xdr:colOff>
      <xdr:row>70</xdr:row>
      <xdr:rowOff>37954</xdr:rowOff>
    </xdr:to>
    <xdr:sp macro="" textlink="">
      <xdr:nvSpPr>
        <xdr:cNvPr id="3" name="Elipse 2">
          <a:extLst>
            <a:ext uri="{FF2B5EF4-FFF2-40B4-BE49-F238E27FC236}">
              <a16:creationId xmlns:a16="http://schemas.microsoft.com/office/drawing/2014/main" id="{00000000-0008-0000-0600-000003000000}"/>
            </a:ext>
          </a:extLst>
        </xdr:cNvPr>
        <xdr:cNvSpPr/>
      </xdr:nvSpPr>
      <xdr:spPr>
        <a:xfrm>
          <a:off x="11614369" y="10458757"/>
          <a:ext cx="1125786" cy="1118054"/>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608186</xdr:colOff>
      <xdr:row>60</xdr:row>
      <xdr:rowOff>54428</xdr:rowOff>
    </xdr:from>
    <xdr:to>
      <xdr:col>18</xdr:col>
      <xdr:colOff>711372</xdr:colOff>
      <xdr:row>69</xdr:row>
      <xdr:rowOff>163551</xdr:rowOff>
    </xdr:to>
    <xdr:sp macro="" textlink="">
      <xdr:nvSpPr>
        <xdr:cNvPr id="4" name="Elipse 3">
          <a:extLst>
            <a:ext uri="{FF2B5EF4-FFF2-40B4-BE49-F238E27FC236}">
              <a16:creationId xmlns:a16="http://schemas.microsoft.com/office/drawing/2014/main" id="{00000000-0008-0000-0600-000004000000}"/>
            </a:ext>
          </a:extLst>
        </xdr:cNvPr>
        <xdr:cNvSpPr/>
      </xdr:nvSpPr>
      <xdr:spPr>
        <a:xfrm>
          <a:off x="12800186" y="9851571"/>
          <a:ext cx="1627186" cy="1673944"/>
        </a:xfrm>
        <a:prstGeom prst="ellipse">
          <a:avLst/>
        </a:prstGeom>
        <a:solidFill>
          <a:schemeClr val="accent6">
            <a:lumMod val="20000"/>
            <a:lumOff val="80000"/>
          </a:schemeClr>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16</xdr:col>
      <xdr:colOff>242341</xdr:colOff>
      <xdr:row>61</xdr:row>
      <xdr:rowOff>146478</xdr:rowOff>
    </xdr:from>
    <xdr:to>
      <xdr:col>19</xdr:col>
      <xdr:colOff>156615</xdr:colOff>
      <xdr:row>74</xdr:row>
      <xdr:rowOff>66196</xdr:rowOff>
    </xdr:to>
    <xdr:sp macro="" textlink="">
      <xdr:nvSpPr>
        <xdr:cNvPr id="5" name="Elipse 4">
          <a:extLst>
            <a:ext uri="{FF2B5EF4-FFF2-40B4-BE49-F238E27FC236}">
              <a16:creationId xmlns:a16="http://schemas.microsoft.com/office/drawing/2014/main" id="{00000000-0008-0000-0600-000005000000}"/>
            </a:ext>
          </a:extLst>
        </xdr:cNvPr>
        <xdr:cNvSpPr/>
      </xdr:nvSpPr>
      <xdr:spPr>
        <a:xfrm>
          <a:off x="12434341" y="10106907"/>
          <a:ext cx="2200274" cy="2151289"/>
        </a:xfrm>
        <a:prstGeom prst="ellipse">
          <a:avLst/>
        </a:prstGeom>
        <a:solidFill>
          <a:schemeClr val="accent6">
            <a:lumMod val="20000"/>
            <a:lumOff val="80000"/>
          </a:schemeClr>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xdr:col>
      <xdr:colOff>562358</xdr:colOff>
      <xdr:row>38</xdr:row>
      <xdr:rowOff>34665</xdr:rowOff>
    </xdr:from>
    <xdr:to>
      <xdr:col>8</xdr:col>
      <xdr:colOff>367393</xdr:colOff>
      <xdr:row>67</xdr:row>
      <xdr:rowOff>122465</xdr:rowOff>
    </xdr:to>
    <xdr:sp macro="" textlink="">
      <xdr:nvSpPr>
        <xdr:cNvPr id="6" name="Elipse 5">
          <a:extLst>
            <a:ext uri="{FF2B5EF4-FFF2-40B4-BE49-F238E27FC236}">
              <a16:creationId xmlns:a16="http://schemas.microsoft.com/office/drawing/2014/main" id="{00000000-0008-0000-0600-000006000000}"/>
            </a:ext>
          </a:extLst>
        </xdr:cNvPr>
        <xdr:cNvSpPr/>
      </xdr:nvSpPr>
      <xdr:spPr>
        <a:xfrm>
          <a:off x="1324358" y="6239522"/>
          <a:ext cx="5139035" cy="4891122"/>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xdr:col>
      <xdr:colOff>603174</xdr:colOff>
      <xdr:row>38</xdr:row>
      <xdr:rowOff>111037</xdr:rowOff>
    </xdr:from>
    <xdr:to>
      <xdr:col>8</xdr:col>
      <xdr:colOff>312964</xdr:colOff>
      <xdr:row>67</xdr:row>
      <xdr:rowOff>68036</xdr:rowOff>
    </xdr:to>
    <xdr:sp macro="" textlink="">
      <xdr:nvSpPr>
        <xdr:cNvPr id="7" name="Elipse 6">
          <a:extLst>
            <a:ext uri="{FF2B5EF4-FFF2-40B4-BE49-F238E27FC236}">
              <a16:creationId xmlns:a16="http://schemas.microsoft.com/office/drawing/2014/main" id="{00000000-0008-0000-0600-000007000000}"/>
            </a:ext>
          </a:extLst>
        </xdr:cNvPr>
        <xdr:cNvSpPr/>
      </xdr:nvSpPr>
      <xdr:spPr>
        <a:xfrm>
          <a:off x="1365174" y="6315894"/>
          <a:ext cx="5043790" cy="4760321"/>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422977</xdr:colOff>
      <xdr:row>33</xdr:row>
      <xdr:rowOff>2779</xdr:rowOff>
    </xdr:from>
    <xdr:to>
      <xdr:col>15</xdr:col>
      <xdr:colOff>612321</xdr:colOff>
      <xdr:row>56</xdr:row>
      <xdr:rowOff>136071</xdr:rowOff>
    </xdr:to>
    <xdr:sp macro="" textlink="">
      <xdr:nvSpPr>
        <xdr:cNvPr id="8" name="Elipse 7">
          <a:extLst>
            <a:ext uri="{FF2B5EF4-FFF2-40B4-BE49-F238E27FC236}">
              <a16:creationId xmlns:a16="http://schemas.microsoft.com/office/drawing/2014/main" id="{00000000-0008-0000-0600-000008000000}"/>
            </a:ext>
          </a:extLst>
        </xdr:cNvPr>
        <xdr:cNvSpPr/>
      </xdr:nvSpPr>
      <xdr:spPr>
        <a:xfrm>
          <a:off x="8042977" y="5391208"/>
          <a:ext cx="3999344" cy="3888863"/>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10</xdr:col>
      <xdr:colOff>477427</xdr:colOff>
      <xdr:row>33</xdr:row>
      <xdr:rowOff>69295</xdr:rowOff>
    </xdr:from>
    <xdr:to>
      <xdr:col>15</xdr:col>
      <xdr:colOff>571500</xdr:colOff>
      <xdr:row>56</xdr:row>
      <xdr:rowOff>81643</xdr:rowOff>
    </xdr:to>
    <xdr:sp macro="" textlink="">
      <xdr:nvSpPr>
        <xdr:cNvPr id="9" name="Elipse 8">
          <a:extLst>
            <a:ext uri="{FF2B5EF4-FFF2-40B4-BE49-F238E27FC236}">
              <a16:creationId xmlns:a16="http://schemas.microsoft.com/office/drawing/2014/main" id="{00000000-0008-0000-0600-000009000000}"/>
            </a:ext>
          </a:extLst>
        </xdr:cNvPr>
        <xdr:cNvSpPr/>
      </xdr:nvSpPr>
      <xdr:spPr>
        <a:xfrm>
          <a:off x="8097427" y="5457724"/>
          <a:ext cx="3904073" cy="3767919"/>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36</xdr:col>
      <xdr:colOff>222396</xdr:colOff>
      <xdr:row>11</xdr:row>
      <xdr:rowOff>107219</xdr:rowOff>
    </xdr:from>
    <xdr:to>
      <xdr:col>44</xdr:col>
      <xdr:colOff>151972</xdr:colOff>
      <xdr:row>49</xdr:row>
      <xdr:rowOff>81551</xdr:rowOff>
    </xdr:to>
    <xdr:pic>
      <xdr:nvPicPr>
        <xdr:cNvPr id="10" name="Imagen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lum bright="70000" contrast="-70000"/>
          <a:extLst>
            <a:ext uri="{BEBA8EAE-BF5A-486C-A8C5-ECC9F3942E4B}">
              <a14:imgProps xmlns:a14="http://schemas.microsoft.com/office/drawing/2010/main">
                <a14:imgLayer r:embed="rId2">
                  <a14:imgEffect>
                    <a14:saturation sat="73000"/>
                  </a14:imgEffect>
                </a14:imgLayer>
              </a14:imgProps>
            </a:ext>
            <a:ext uri="{28A0092B-C50C-407E-A947-70E740481C1C}">
              <a14:useLocalDpi xmlns:a14="http://schemas.microsoft.com/office/drawing/2010/main" val="0"/>
            </a:ext>
          </a:extLst>
        </a:blip>
        <a:stretch>
          <a:fillRect/>
        </a:stretch>
      </xdr:blipFill>
      <xdr:spPr>
        <a:xfrm>
          <a:off x="27654396" y="1940782"/>
          <a:ext cx="6025576" cy="6308457"/>
        </a:xfrm>
        <a:prstGeom prst="rect">
          <a:avLst/>
        </a:prstGeom>
        <a:effectLst>
          <a:reflection stA="7000" endPos="65000" dist="50800" dir="5400000" sy="-100000" algn="bl" rotWithShape="0"/>
        </a:effectLst>
      </xdr:spPr>
    </xdr:pic>
    <xdr:clientData/>
  </xdr:twoCellAnchor>
  <xdr:twoCellAnchor>
    <xdr:from>
      <xdr:col>7</xdr:col>
      <xdr:colOff>301625</xdr:colOff>
      <xdr:row>3</xdr:row>
      <xdr:rowOff>15873</xdr:rowOff>
    </xdr:from>
    <xdr:to>
      <xdr:col>11</xdr:col>
      <xdr:colOff>222250</xdr:colOff>
      <xdr:row>20</xdr:row>
      <xdr:rowOff>79374</xdr:rowOff>
    </xdr:to>
    <xdr:sp macro="" textlink="">
      <xdr:nvSpPr>
        <xdr:cNvPr id="11" name="Elipse 10">
          <a:extLst>
            <a:ext uri="{FF2B5EF4-FFF2-40B4-BE49-F238E27FC236}">
              <a16:creationId xmlns:a16="http://schemas.microsoft.com/office/drawing/2014/main" id="{00000000-0008-0000-0600-00000B000000}"/>
            </a:ext>
          </a:extLst>
        </xdr:cNvPr>
        <xdr:cNvSpPr/>
      </xdr:nvSpPr>
      <xdr:spPr>
        <a:xfrm>
          <a:off x="5635625" y="501648"/>
          <a:ext cx="2968625" cy="2816226"/>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7</xdr:col>
      <xdr:colOff>333291</xdr:colOff>
      <xdr:row>3</xdr:row>
      <xdr:rowOff>60593</xdr:rowOff>
    </xdr:from>
    <xdr:to>
      <xdr:col>11</xdr:col>
      <xdr:colOff>142875</xdr:colOff>
      <xdr:row>20</xdr:row>
      <xdr:rowOff>47624</xdr:rowOff>
    </xdr:to>
    <xdr:sp macro="" textlink="">
      <xdr:nvSpPr>
        <xdr:cNvPr id="12" name="Elipse 11">
          <a:extLst>
            <a:ext uri="{FF2B5EF4-FFF2-40B4-BE49-F238E27FC236}">
              <a16:creationId xmlns:a16="http://schemas.microsoft.com/office/drawing/2014/main" id="{00000000-0008-0000-0600-00000C000000}"/>
            </a:ext>
          </a:extLst>
        </xdr:cNvPr>
        <xdr:cNvSpPr/>
      </xdr:nvSpPr>
      <xdr:spPr>
        <a:xfrm>
          <a:off x="5667291" y="546368"/>
          <a:ext cx="2857584" cy="2739756"/>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513258</xdr:colOff>
      <xdr:row>33</xdr:row>
      <xdr:rowOff>44739</xdr:rowOff>
    </xdr:from>
    <xdr:to>
      <xdr:col>24</xdr:col>
      <xdr:colOff>258536</xdr:colOff>
      <xdr:row>54</xdr:row>
      <xdr:rowOff>60613</xdr:rowOff>
    </xdr:to>
    <xdr:sp macro="" textlink="">
      <xdr:nvSpPr>
        <xdr:cNvPr id="13" name="Elipse 12">
          <a:extLst>
            <a:ext uri="{FF2B5EF4-FFF2-40B4-BE49-F238E27FC236}">
              <a16:creationId xmlns:a16="http://schemas.microsoft.com/office/drawing/2014/main" id="{00000000-0008-0000-0600-00000D000000}"/>
            </a:ext>
          </a:extLst>
        </xdr:cNvPr>
        <xdr:cNvSpPr/>
      </xdr:nvSpPr>
      <xdr:spPr>
        <a:xfrm>
          <a:off x="14991258" y="5433168"/>
          <a:ext cx="3555278" cy="3444874"/>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19</xdr:col>
      <xdr:colOff>587823</xdr:colOff>
      <xdr:row>33</xdr:row>
      <xdr:rowOff>95355</xdr:rowOff>
    </xdr:from>
    <xdr:to>
      <xdr:col>24</xdr:col>
      <xdr:colOff>189056</xdr:colOff>
      <xdr:row>53</xdr:row>
      <xdr:rowOff>151534</xdr:rowOff>
    </xdr:to>
    <xdr:sp macro="" textlink="">
      <xdr:nvSpPr>
        <xdr:cNvPr id="14" name="Elipse 13">
          <a:extLst>
            <a:ext uri="{FF2B5EF4-FFF2-40B4-BE49-F238E27FC236}">
              <a16:creationId xmlns:a16="http://schemas.microsoft.com/office/drawing/2014/main" id="{00000000-0008-0000-0600-00000E000000}"/>
            </a:ext>
          </a:extLst>
        </xdr:cNvPr>
        <xdr:cNvSpPr/>
      </xdr:nvSpPr>
      <xdr:spPr>
        <a:xfrm>
          <a:off x="15065823" y="5438880"/>
          <a:ext cx="3411233" cy="3294679"/>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54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12</xdr:col>
      <xdr:colOff>410260</xdr:colOff>
      <xdr:row>1</xdr:row>
      <xdr:rowOff>68864</xdr:rowOff>
    </xdr:from>
    <xdr:to>
      <xdr:col>18</xdr:col>
      <xdr:colOff>672353</xdr:colOff>
      <xdr:row>30</xdr:row>
      <xdr:rowOff>64432</xdr:rowOff>
    </xdr:to>
    <xdr:sp macro="" textlink="">
      <xdr:nvSpPr>
        <xdr:cNvPr id="15" name="Elipse 14">
          <a:extLst>
            <a:ext uri="{FF2B5EF4-FFF2-40B4-BE49-F238E27FC236}">
              <a16:creationId xmlns:a16="http://schemas.microsoft.com/office/drawing/2014/main" id="{00000000-0008-0000-0600-00000F000000}"/>
            </a:ext>
          </a:extLst>
        </xdr:cNvPr>
        <xdr:cNvSpPr/>
      </xdr:nvSpPr>
      <xdr:spPr>
        <a:xfrm>
          <a:off x="9554260" y="225746"/>
          <a:ext cx="4834093" cy="4545157"/>
        </a:xfrm>
        <a:prstGeom prst="ellipse">
          <a:avLst/>
        </a:prstGeom>
        <a:solidFill>
          <a:srgbClr val="00FF00"/>
        </a:solidFill>
        <a:ln>
          <a:noFill/>
        </a:ln>
        <a:effectLst>
          <a:glow rad="228600">
            <a:schemeClr val="accent6">
              <a:satMod val="175000"/>
              <a:alpha val="40000"/>
            </a:schemeClr>
          </a:glow>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497521</xdr:colOff>
      <xdr:row>1</xdr:row>
      <xdr:rowOff>96406</xdr:rowOff>
    </xdr:from>
    <xdr:to>
      <xdr:col>18</xdr:col>
      <xdr:colOff>627528</xdr:colOff>
      <xdr:row>30</xdr:row>
      <xdr:rowOff>35145</xdr:rowOff>
    </xdr:to>
    <xdr:sp macro="" textlink="">
      <xdr:nvSpPr>
        <xdr:cNvPr id="16" name="Elipse 15">
          <a:extLst>
            <a:ext uri="{FF2B5EF4-FFF2-40B4-BE49-F238E27FC236}">
              <a16:creationId xmlns:a16="http://schemas.microsoft.com/office/drawing/2014/main" id="{00000000-0008-0000-0600-000010000000}"/>
            </a:ext>
          </a:extLst>
        </xdr:cNvPr>
        <xdr:cNvSpPr/>
      </xdr:nvSpPr>
      <xdr:spPr>
        <a:xfrm>
          <a:off x="9641521" y="253288"/>
          <a:ext cx="4702007" cy="4488328"/>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35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154441</xdr:colOff>
      <xdr:row>20</xdr:row>
      <xdr:rowOff>91623</xdr:rowOff>
    </xdr:from>
    <xdr:to>
      <xdr:col>9</xdr:col>
      <xdr:colOff>225137</xdr:colOff>
      <xdr:row>25</xdr:row>
      <xdr:rowOff>119991</xdr:rowOff>
    </xdr:to>
    <xdr:sp macro="" textlink="">
      <xdr:nvSpPr>
        <xdr:cNvPr id="17" name="Elipse 16">
          <a:extLst>
            <a:ext uri="{FF2B5EF4-FFF2-40B4-BE49-F238E27FC236}">
              <a16:creationId xmlns:a16="http://schemas.microsoft.com/office/drawing/2014/main" id="{00000000-0008-0000-0600-000011000000}"/>
            </a:ext>
          </a:extLst>
        </xdr:cNvPr>
        <xdr:cNvSpPr/>
      </xdr:nvSpPr>
      <xdr:spPr>
        <a:xfrm>
          <a:off x="6250441" y="3330123"/>
          <a:ext cx="832696" cy="837993"/>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235515</xdr:colOff>
      <xdr:row>6</xdr:row>
      <xdr:rowOff>35718</xdr:rowOff>
    </xdr:from>
    <xdr:to>
      <xdr:col>6</xdr:col>
      <xdr:colOff>142875</xdr:colOff>
      <xdr:row>34</xdr:row>
      <xdr:rowOff>23812</xdr:rowOff>
    </xdr:to>
    <xdr:sp macro="" textlink="">
      <xdr:nvSpPr>
        <xdr:cNvPr id="18" name="Elipse 17">
          <a:extLst>
            <a:ext uri="{FF2B5EF4-FFF2-40B4-BE49-F238E27FC236}">
              <a16:creationId xmlns:a16="http://schemas.microsoft.com/office/drawing/2014/main" id="{00000000-0008-0000-0600-000012000000}"/>
            </a:ext>
          </a:extLst>
        </xdr:cNvPr>
        <xdr:cNvSpPr/>
      </xdr:nvSpPr>
      <xdr:spPr>
        <a:xfrm>
          <a:off x="235515" y="1035843"/>
          <a:ext cx="4479360" cy="4655344"/>
        </a:xfrm>
        <a:prstGeom prst="ellipse">
          <a:avLst/>
        </a:prstGeom>
        <a:solidFill>
          <a:srgbClr val="00FF00"/>
        </a:solidFill>
        <a:ln>
          <a:noFill/>
        </a:ln>
        <a:effectLst>
          <a:glow rad="228600">
            <a:schemeClr val="accent6">
              <a:satMod val="175000"/>
              <a:alpha val="40000"/>
            </a:schemeClr>
          </a:glow>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0</xdr:col>
      <xdr:colOff>261937</xdr:colOff>
      <xdr:row>6</xdr:row>
      <xdr:rowOff>97901</xdr:rowOff>
    </xdr:from>
    <xdr:to>
      <xdr:col>6</xdr:col>
      <xdr:colOff>108980</xdr:colOff>
      <xdr:row>33</xdr:row>
      <xdr:rowOff>154781</xdr:rowOff>
    </xdr:to>
    <xdr:sp macro="" textlink="">
      <xdr:nvSpPr>
        <xdr:cNvPr id="19" name="Elipse 18">
          <a:extLst>
            <a:ext uri="{FF2B5EF4-FFF2-40B4-BE49-F238E27FC236}">
              <a16:creationId xmlns:a16="http://schemas.microsoft.com/office/drawing/2014/main" id="{00000000-0008-0000-0600-000013000000}"/>
            </a:ext>
          </a:extLst>
        </xdr:cNvPr>
        <xdr:cNvSpPr/>
      </xdr:nvSpPr>
      <xdr:spPr>
        <a:xfrm>
          <a:off x="261937" y="1098026"/>
          <a:ext cx="4419043" cy="4557443"/>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path path="circle">
            <a:fillToRect l="50000" t="50000" r="50000" b="50000"/>
          </a:path>
          <a:tileRect/>
        </a:gradFill>
        <a:ln>
          <a:no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7</xdr:row>
      <xdr:rowOff>6352</xdr:rowOff>
    </xdr:from>
    <xdr:to>
      <xdr:col>6</xdr:col>
      <xdr:colOff>420585</xdr:colOff>
      <xdr:row>28</xdr:row>
      <xdr:rowOff>12370</xdr:rowOff>
    </xdr:to>
    <xdr:graphicFrame macro="">
      <xdr:nvGraphicFramePr>
        <xdr:cNvPr id="20" name="Gráfico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692520</xdr:colOff>
      <xdr:row>34</xdr:row>
      <xdr:rowOff>80818</xdr:rowOff>
    </xdr:from>
    <xdr:to>
      <xdr:col>25</xdr:col>
      <xdr:colOff>396875</xdr:colOff>
      <xdr:row>55</xdr:row>
      <xdr:rowOff>49069</xdr:rowOff>
    </xdr:to>
    <xdr:graphicFrame macro="">
      <xdr:nvGraphicFramePr>
        <xdr:cNvPr id="21" name="Gráfico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583417</xdr:colOff>
      <xdr:row>5</xdr:row>
      <xdr:rowOff>57460</xdr:rowOff>
    </xdr:from>
    <xdr:to>
      <xdr:col>18</xdr:col>
      <xdr:colOff>684068</xdr:colOff>
      <xdr:row>24</xdr:row>
      <xdr:rowOff>121228</xdr:rowOff>
    </xdr:to>
    <xdr:graphicFrame macro="">
      <xdr:nvGraphicFramePr>
        <xdr:cNvPr id="22" name="Gráfico 21">
          <a:extLst>
            <a:ext uri="{FF2B5EF4-FFF2-40B4-BE49-F238E27FC236}">
              <a16:creationId xmlns:a16="http://schemas.microsoft.com/office/drawing/2014/main"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264474</xdr:colOff>
      <xdr:row>42</xdr:row>
      <xdr:rowOff>134662</xdr:rowOff>
    </xdr:from>
    <xdr:to>
      <xdr:col>7</xdr:col>
      <xdr:colOff>588427</xdr:colOff>
      <xdr:row>65</xdr:row>
      <xdr:rowOff>26263</xdr:rowOff>
    </xdr:to>
    <xdr:graphicFrame macro="">
      <xdr:nvGraphicFramePr>
        <xdr:cNvPr id="23" name="Gráfico 22">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524520</xdr:colOff>
      <xdr:row>34</xdr:row>
      <xdr:rowOff>18804</xdr:rowOff>
    </xdr:from>
    <xdr:to>
      <xdr:col>16</xdr:col>
      <xdr:colOff>302601</xdr:colOff>
      <xdr:row>54</xdr:row>
      <xdr:rowOff>147950</xdr:rowOff>
    </xdr:to>
    <xdr:graphicFrame macro="">
      <xdr:nvGraphicFramePr>
        <xdr:cNvPr id="24" name="Gráfico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7</xdr:col>
      <xdr:colOff>222250</xdr:colOff>
      <xdr:row>3</xdr:row>
      <xdr:rowOff>142876</xdr:rowOff>
    </xdr:from>
    <xdr:to>
      <xdr:col>11</xdr:col>
      <xdr:colOff>333375</xdr:colOff>
      <xdr:row>16</xdr:row>
      <xdr:rowOff>110326</xdr:rowOff>
    </xdr:to>
    <xdr:pic>
      <xdr:nvPicPr>
        <xdr:cNvPr id="27" name="Imagen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56250" y="628651"/>
          <a:ext cx="3159125" cy="2072475"/>
        </a:xfrm>
        <a:prstGeom prst="rect">
          <a:avLst/>
        </a:prstGeom>
      </xdr:spPr>
    </xdr:pic>
    <xdr:clientData/>
  </xdr:twoCellAnchor>
  <xdr:twoCellAnchor>
    <xdr:from>
      <xdr:col>24</xdr:col>
      <xdr:colOff>726368</xdr:colOff>
      <xdr:row>1</xdr:row>
      <xdr:rowOff>103907</xdr:rowOff>
    </xdr:from>
    <xdr:to>
      <xdr:col>30</xdr:col>
      <xdr:colOff>259772</xdr:colOff>
      <xdr:row>26</xdr:row>
      <xdr:rowOff>121225</xdr:rowOff>
    </xdr:to>
    <xdr:sp macro="" textlink="">
      <xdr:nvSpPr>
        <xdr:cNvPr id="28" name="Elipse 27">
          <a:extLst>
            <a:ext uri="{FF2B5EF4-FFF2-40B4-BE49-F238E27FC236}">
              <a16:creationId xmlns:a16="http://schemas.microsoft.com/office/drawing/2014/main" id="{00000000-0008-0000-0600-00001C000000}"/>
            </a:ext>
          </a:extLst>
        </xdr:cNvPr>
        <xdr:cNvSpPr/>
      </xdr:nvSpPr>
      <xdr:spPr>
        <a:xfrm>
          <a:off x="19014368" y="265832"/>
          <a:ext cx="4105404" cy="4065443"/>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54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27</xdr:col>
      <xdr:colOff>544431</xdr:colOff>
      <xdr:row>34</xdr:row>
      <xdr:rowOff>130752</xdr:rowOff>
    </xdr:from>
    <xdr:to>
      <xdr:col>33</xdr:col>
      <xdr:colOff>311728</xdr:colOff>
      <xdr:row>60</xdr:row>
      <xdr:rowOff>152401</xdr:rowOff>
    </xdr:to>
    <xdr:sp macro="" textlink="">
      <xdr:nvSpPr>
        <xdr:cNvPr id="29" name="Elipse 28">
          <a:extLst>
            <a:ext uri="{FF2B5EF4-FFF2-40B4-BE49-F238E27FC236}">
              <a16:creationId xmlns:a16="http://schemas.microsoft.com/office/drawing/2014/main" id="{00000000-0008-0000-0600-00001D000000}"/>
            </a:ext>
          </a:extLst>
        </xdr:cNvPr>
        <xdr:cNvSpPr/>
      </xdr:nvSpPr>
      <xdr:spPr>
        <a:xfrm>
          <a:off x="21118431" y="5798127"/>
          <a:ext cx="4339297" cy="4355524"/>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27</xdr:col>
      <xdr:colOff>534571</xdr:colOff>
      <xdr:row>35</xdr:row>
      <xdr:rowOff>78796</xdr:rowOff>
    </xdr:from>
    <xdr:to>
      <xdr:col>33</xdr:col>
      <xdr:colOff>67975</xdr:colOff>
      <xdr:row>60</xdr:row>
      <xdr:rowOff>96115</xdr:rowOff>
    </xdr:to>
    <xdr:sp macro="" textlink="">
      <xdr:nvSpPr>
        <xdr:cNvPr id="30" name="Elipse 29">
          <a:extLst>
            <a:ext uri="{FF2B5EF4-FFF2-40B4-BE49-F238E27FC236}">
              <a16:creationId xmlns:a16="http://schemas.microsoft.com/office/drawing/2014/main" id="{00000000-0008-0000-0600-00001E000000}"/>
            </a:ext>
          </a:extLst>
        </xdr:cNvPr>
        <xdr:cNvSpPr/>
      </xdr:nvSpPr>
      <xdr:spPr>
        <a:xfrm>
          <a:off x="21108571" y="5912859"/>
          <a:ext cx="4105404" cy="4184506"/>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54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24</xdr:col>
      <xdr:colOff>345367</xdr:colOff>
      <xdr:row>4</xdr:row>
      <xdr:rowOff>121225</xdr:rowOff>
    </xdr:from>
    <xdr:to>
      <xdr:col>30</xdr:col>
      <xdr:colOff>710044</xdr:colOff>
      <xdr:row>22</xdr:row>
      <xdr:rowOff>58880</xdr:rowOff>
    </xdr:to>
    <xdr:graphicFrame macro="">
      <xdr:nvGraphicFramePr>
        <xdr:cNvPr id="31" name="Gráfico 30">
          <a:extLst>
            <a:ext uri="{FF2B5EF4-FFF2-40B4-BE49-F238E27FC236}">
              <a16:creationId xmlns:a16="http://schemas.microsoft.com/office/drawing/2014/main" id="{00000000-0008-0000-06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itceduco-my.sharepoint.com/:f:/g/personal/psicologia_itc_edu_co/EorFXOKDWrhOnWAgY-c7pUwBMheF_fT_rKD1LWEOHo7LAQ?e=UYcvib" TargetMode="External"/><Relationship Id="rId117" Type="http://schemas.openxmlformats.org/officeDocument/2006/relationships/comments" Target="../comments1.xml"/><Relationship Id="rId21" Type="http://schemas.openxmlformats.org/officeDocument/2006/relationships/hyperlink" Target="https://itceduco-my.sharepoint.com/:f:/g/personal/procesos_itc_edu_co/EsrxrLcyDCVCk9SL-mWNID8BIP55yoHgN1Jckgvh8fTk8w?e=WM6qGu" TargetMode="External"/><Relationship Id="rId42" Type="http://schemas.openxmlformats.org/officeDocument/2006/relationships/hyperlink" Target="https://itceduco-my.sharepoint.com/:f:/g/personal/musica_itc_edu_co/EipnNE1uGOpGish1xXBStYYBqcY_L-Nim3Whgku8SIM0Dw?e=NWMoFt" TargetMode="External"/><Relationship Id="rId47" Type="http://schemas.openxmlformats.org/officeDocument/2006/relationships/hyperlink" Target="https://itceduco-my.sharepoint.com/:f:/g/personal/psicologia_itc_edu_co/EorFXOKDWrhOnWAgY-c7pUwBMheF_fT_rKD1LWEOHo7LAQ?e=UYcvib" TargetMode="External"/><Relationship Id="rId63" Type="http://schemas.openxmlformats.org/officeDocument/2006/relationships/hyperlink" Target="https://itceduco-my.sharepoint.com/:f:/g/personal/pastoralpes_itc_edu_co/EvhGo8GMYLZImhav6eutNhwBFqpHFao5ip8fhQKGm29xZw?e=CyqrdI" TargetMode="External"/><Relationship Id="rId68" Type="http://schemas.openxmlformats.org/officeDocument/2006/relationships/hyperlink" Target="https://itceduco-my.sharepoint.com/:f:/g/personal/bienestaruniversitario_itc_edu_co/EpV5CWLqZ_NDhAOSE1h40bYBHAKIuXaBkbiAaffxBrb80w?e=C8pgHs" TargetMode="External"/><Relationship Id="rId84" Type="http://schemas.openxmlformats.org/officeDocument/2006/relationships/hyperlink" Target="../../../../../../../../../../:w:/g/personal/almacen_itc_edu_co/ETz79cpMtgpEkGLAHNP6zpkByWMJdgvvXKg1hhKX9a2P5w?e=5oDTCK" TargetMode="External"/><Relationship Id="rId89" Type="http://schemas.openxmlformats.org/officeDocument/2006/relationships/hyperlink" Target="https://itceduco-my.sharepoint.com/personal/procesos_itc_edu_co/_layouts/15/onedrive.aspx?id=%2Fpersonal%2Fprocesos%5Fitc%5Fedu%5Fco%2FDocuments%2F2022%2FPlan%20de%20acci%C3%B3n%202022&amp;ct=1666120680158&amp;or=Teams%2DHL&amp;ga=1" TargetMode="External"/><Relationship Id="rId112" Type="http://schemas.openxmlformats.org/officeDocument/2006/relationships/hyperlink" Target="https://itceduco-my.sharepoint.com/:b:/g/personal/bienestaruniversitario_itc_edu_co/EUMmPYmPbSBBtMjsGmVjo6wB-pOghWAdd8qEJIwJVjFaTw?e=lMLoyn" TargetMode="External"/><Relationship Id="rId16" Type="http://schemas.openxmlformats.org/officeDocument/2006/relationships/hyperlink" Target="https://itceduco-my.sharepoint.com/:f:/g/personal/procesos_itc_edu_co/EsrxrLcyDCVCk9SL-mWNID8BIP55yoHgN1Jckgvh8fTk8w?e=WM6qGu" TargetMode="External"/><Relationship Id="rId107" Type="http://schemas.openxmlformats.org/officeDocument/2006/relationships/hyperlink" Target="https://itceduco-my.sharepoint.com/:f:/g/personal/practicantepsicologia1_itc_edu_co/Eu_xk_Sk3O5LocOzsPpegx0BF8taU-w16yBtzEO1Q3OHMQ?e=ypN5GE" TargetMode="External"/><Relationship Id="rId11" Type="http://schemas.openxmlformats.org/officeDocument/2006/relationships/hyperlink" Target="https://itceduco-my.sharepoint.com/:f:/g/personal/procesos_itc_edu_co/EsrxrLcyDCVCk9SL-mWNID8BIP55yoHgN1Jckgvh8fTk8w?e=WM6qGu" TargetMode="External"/><Relationship Id="rId32" Type="http://schemas.openxmlformats.org/officeDocument/2006/relationships/hyperlink" Target="https://itceduco-my.sharepoint.com/:b:/g/personal/bienestaruniversitario_itc_edu_co/Ec5Zp6tRSzlBte4F7HhFRgcBxvsO89eG6b1oExDYMeIYpQ?e=6puPcN" TargetMode="External"/><Relationship Id="rId37" Type="http://schemas.openxmlformats.org/officeDocument/2006/relationships/hyperlink" Target="https://itceduco-my.sharepoint.com/:f:/g/personal/bienestaruniversitario_itc_edu_co/Er9XSfgiSRdBuM8BurGbQWcB5hMTZ4CQF5nIhVSGOlzS7w?e=V7exz8" TargetMode="External"/><Relationship Id="rId53" Type="http://schemas.openxmlformats.org/officeDocument/2006/relationships/hyperlink" Target="https://itceduco-my.sharepoint.com/:f:/g/personal/psicologia_itc_edu_co/Eqn9xc3uW85CmY79OXo0WxkBd350ucdydH30bzEVsNPXXg?e=6pS4Lf" TargetMode="External"/><Relationship Id="rId58" Type="http://schemas.openxmlformats.org/officeDocument/2006/relationships/hyperlink" Target="https://bit.ly/3v7TnSe" TargetMode="External"/><Relationship Id="rId74" Type="http://schemas.openxmlformats.org/officeDocument/2006/relationships/hyperlink" Target="https://www.etitc.edu.co/archives/informeausteridad26.pdf" TargetMode="External"/><Relationship Id="rId79" Type="http://schemas.openxmlformats.org/officeDocument/2006/relationships/hyperlink" Target="https://www.etitc.edu.co/archives/segesparyrdc22.xlsx" TargetMode="External"/><Relationship Id="rId102" Type="http://schemas.openxmlformats.org/officeDocument/2006/relationships/hyperlink" Target="https://itceduco-my.sharepoint.com/:f:/g/personal/bienestaruniversitario_itc_edu_co/Em4XFxjPCdJPozNlvmkvwtwBJmjLh0Ye_JkhsbXabC60Vw?e=h7T7fy" TargetMode="External"/><Relationship Id="rId5" Type="http://schemas.openxmlformats.org/officeDocument/2006/relationships/hyperlink" Target="https://www.etitc.edu.co/archives/seguimientoplanan321.pdf" TargetMode="External"/><Relationship Id="rId90" Type="http://schemas.openxmlformats.org/officeDocument/2006/relationships/hyperlink" Target="https://itceduco-my.sharepoint.com/personal/procesos_itc_edu_co/_layouts/15/onedrive.aspx?id=%2Fpersonal%2Fprocesos%5Fitc%5Fedu%5Fco%2FDocuments%2F2022%2FEIEI%20ACOFI%202022&amp;ct=1666120510986&amp;or=Teams%2DHL&amp;ga=1" TargetMode="External"/><Relationship Id="rId95" Type="http://schemas.openxmlformats.org/officeDocument/2006/relationships/hyperlink" Target="https://itceduco-my.sharepoint.com/personal/procesos_itc_edu_co/_layouts/15/onedrive.aspx?ct=1666120680158&amp;or=Teams%2DHL&amp;ga=1&amp;id=%2Fpersonal%2Fprocesos%5Fitc%5Fedu%5Fco%2FDocuments%2F2022%2FPlan%20de%20acci%C3%B3n%202022%2FEVIDENCIAS%20PLAN%20DE%20ACCION" TargetMode="External"/><Relationship Id="rId22" Type="http://schemas.openxmlformats.org/officeDocument/2006/relationships/hyperlink" Target="https://etitc.edu.co/es/" TargetMode="External"/><Relationship Id="rId27" Type="http://schemas.openxmlformats.org/officeDocument/2006/relationships/hyperlink" Target="https://itceduco-my.sharepoint.com/:f:/g/personal/psicologia_itc_edu_co/EorFXOKDWrhOnWAgY-c7pUwBMheF_fT_rKD1LWEOHo7LAQ?e=UYcvib" TargetMode="External"/><Relationship Id="rId43" Type="http://schemas.openxmlformats.org/officeDocument/2006/relationships/hyperlink" Target="https://itceduco-my.sharepoint.com/:f:/g/personal/musica_itc_edu_co/EseavQq2979Kq6wid0adFNcBphQdTGfxZCqKa0TlTZ6-1A?e=hZY9pV" TargetMode="External"/><Relationship Id="rId48" Type="http://schemas.openxmlformats.org/officeDocument/2006/relationships/hyperlink" Target="https://itceduco-my.sharepoint.com/:f:/g/personal/psicologia_itc_edu_co/EorFXOKDWrhOnWAgY-c7pUwBMheF_fT_rKD1LWEOHo7LAQ?e=UYcvib" TargetMode="External"/><Relationship Id="rId64" Type="http://schemas.openxmlformats.org/officeDocument/2006/relationships/hyperlink" Target="https://itceduco-my.sharepoint.com/:w:/g/personal/pastoralpes_itc_edu_co/ESmT9kC79ixBoX0VuZHwRaIB_xCvyZFOQbwEWofwJ6Ayew?e=aIlzzx" TargetMode="External"/><Relationship Id="rId69" Type="http://schemas.openxmlformats.org/officeDocument/2006/relationships/hyperlink" Target="https://itceduco-my.sharepoint.com/:f:/g/personal/bienestaruniversitario_itc_edu_co/Eo6WliMigMBPlf_uBzkGiN8BG6HR8aB4xjVcCmBUNDq9GQ?e=nydzXG" TargetMode="External"/><Relationship Id="rId113" Type="http://schemas.openxmlformats.org/officeDocument/2006/relationships/hyperlink" Target="https://itceduco-my.sharepoint.com/:b:/g/personal/bienestaruniversitario_itc_edu_co/ETAXBw0zfoFArposTocVw70BICEAG_LcxhjpEt_rypFgMw?e=25yYvg" TargetMode="External"/><Relationship Id="rId80" Type="http://schemas.openxmlformats.org/officeDocument/2006/relationships/hyperlink" Target="https://www.etitc.edu.co/archives/seguimientopdi2022.xlsx" TargetMode="External"/><Relationship Id="rId85" Type="http://schemas.openxmlformats.org/officeDocument/2006/relationships/hyperlink" Target="../../../../../../../../../../:x:/g/personal/contratacion_itc_edu_co/EXYaRAirUB1KicYCdCefE5sBUQJhdmlQaS-529-bvjdI1g?e=4%3ADvp3pZ&amp;at=9&amp;CID=87d08281-a9af-22cd-1044-31f72aea7b6f" TargetMode="External"/><Relationship Id="rId12" Type="http://schemas.openxmlformats.org/officeDocument/2006/relationships/hyperlink" Target="https://itceduco-my.sharepoint.com/:f:/g/personal/procesos_itc_edu_co/EsrxrLcyDCVCk9SL-mWNID8BIP55yoHgN1Jckgvh8fTk8w?e=WM6qGu" TargetMode="External"/><Relationship Id="rId17" Type="http://schemas.openxmlformats.org/officeDocument/2006/relationships/hyperlink" Target="https://itceduco-my.sharepoint.com/:f:/g/personal/procesos_itc_edu_co/EsrxrLcyDCVCk9SL-mWNID8BIP55yoHgN1Jckgvh8fTk8w?e=WM6qGu" TargetMode="External"/><Relationship Id="rId33" Type="http://schemas.openxmlformats.org/officeDocument/2006/relationships/hyperlink" Target="https://itceduco-my.sharepoint.com/:x:/g/personal/psicologia1_itc_edu_co/Eba6EukQQfJGk8lcRw0e3sABh7W7fCJTCkPvD8Yc6EcIGQ?e=05D3Mc" TargetMode="External"/><Relationship Id="rId38" Type="http://schemas.openxmlformats.org/officeDocument/2006/relationships/hyperlink" Target="https://itceduco-my.sharepoint.com/:f:/g/personal/bienestaruniversitario_itc_edu_co/Er9XSfgiSRdBuM8BurGbQWcB5hMTZ4CQF5nIhVSGOlzS7w?e=V7exz8" TargetMode="External"/><Relationship Id="rId59" Type="http://schemas.openxmlformats.org/officeDocument/2006/relationships/hyperlink" Target="https://bit.ly/3v7TnSe" TargetMode="External"/><Relationship Id="rId103" Type="http://schemas.openxmlformats.org/officeDocument/2006/relationships/hyperlink" Target="https://itceduco-my.sharepoint.com/:b:/g/personal/bienestaruniversitario_itc_edu_co/ES1JohYn82BJjSF3qdTUSmUBPr3YpYM6kiPi6xN0YCOc_Q?e=Vecc87" TargetMode="External"/><Relationship Id="rId108" Type="http://schemas.openxmlformats.org/officeDocument/2006/relationships/hyperlink" Target="https://itceduco-my.sharepoint.com/:f:/g/personal/psicologia_itc_edu_co/Eu-0aIegVYROt75_1FR2SYABjKwc84iikTtEad5H866Asw?e=KwyWna" TargetMode="External"/><Relationship Id="rId54" Type="http://schemas.openxmlformats.org/officeDocument/2006/relationships/hyperlink" Target="https://itceduco-my.sharepoint.com/:f:/g/personal/psicologia_itc_edu_co/EgWiZIFTl-5FnfUig8YZoiYBY5AhsLUmPcL3fPyr5BJc-g?e=uEOqGu" TargetMode="External"/><Relationship Id="rId70" Type="http://schemas.openxmlformats.org/officeDocument/2006/relationships/hyperlink" Target="https://itceduco-my.sharepoint.com/:f:/g/personal/bienestaruniversitario_itc_edu_co/EiiCz1q757BDhqgu2llMxWoBRoY0XAglAEBcTG9tmHjrZw?e=Gd8Yqu" TargetMode="External"/><Relationship Id="rId75" Type="http://schemas.openxmlformats.org/officeDocument/2006/relationships/hyperlink" Target="https://www.etitc.edu.co/archives/seguimientoplanan321.pdf" TargetMode="External"/><Relationship Id="rId91" Type="http://schemas.openxmlformats.org/officeDocument/2006/relationships/hyperlink" Target="https://itceduco-my.sharepoint.com/personal/procesos_itc_edu_co/_layouts/15/onedrive.aspx?id=%2Fpersonal%2Fprocesos%5Fitc%5Fedu%5Fco%2FDocuments%2F2022%2FPlan%20de%20acci%C3%B3n%202022&amp;ct=1666120680158&amp;or=Teams%2DHL&amp;ga=1" TargetMode="External"/><Relationship Id="rId96" Type="http://schemas.openxmlformats.org/officeDocument/2006/relationships/hyperlink" Target="https://itceduco-my.sharepoint.com/personal/procesos_itc_edu_co/_layouts/15/onedrive.aspx?ct=1666120680158&amp;or=Teams%2DHL&amp;ga=1&amp;id=%2Fpersonal%2Fprocesos%5Fitc%5Fedu%5Fco%2FDocuments%2F2022%2FPlan%20de%20acci%C3%B3n%202022%2FEVIDENCIAS%20PLAN%20DE%20ACCION" TargetMode="External"/><Relationship Id="rId1" Type="http://schemas.openxmlformats.org/officeDocument/2006/relationships/hyperlink" Target="https://itceduco-my.sharepoint.com/:f:/g/personal/calidad_itc_edu_co/EpT1760NHatIvGy2r9_BHYYBUW38e1quYehurvBx514DfA?e=rOeONH" TargetMode="External"/><Relationship Id="rId6" Type="http://schemas.openxmlformats.org/officeDocument/2006/relationships/hyperlink" Target="https://etitc.edu.co/es/page/control-interno" TargetMode="External"/><Relationship Id="rId23" Type="http://schemas.openxmlformats.org/officeDocument/2006/relationships/hyperlink" Target="https://etitc.edu.co/es/" TargetMode="External"/><Relationship Id="rId28" Type="http://schemas.openxmlformats.org/officeDocument/2006/relationships/hyperlink" Target="https://itceduco-my.sharepoint.com/:f:/g/personal/psicologia_itc_edu_co/EorFXOKDWrhOnWAgY-c7pUwBMheF_fT_rKD1LWEOHo7LAQ?e=UYcvib" TargetMode="External"/><Relationship Id="rId49" Type="http://schemas.openxmlformats.org/officeDocument/2006/relationships/hyperlink" Target="https://www.etitc.edu.co/archives/siacet2.pdf" TargetMode="External"/><Relationship Id="rId114" Type="http://schemas.openxmlformats.org/officeDocument/2006/relationships/printerSettings" Target="../printerSettings/printerSettings1.bin"/><Relationship Id="rId10" Type="http://schemas.openxmlformats.org/officeDocument/2006/relationships/hyperlink" Target="https://itceduco-my.sharepoint.com/:f:/g/personal/procesos_itc_edu_co/EsrxrLcyDCVCk9SL-mWNID8BIP55yoHgN1Jckgvh8fTk8w?e=WM6qGu" TargetMode="External"/><Relationship Id="rId31" Type="http://schemas.openxmlformats.org/officeDocument/2006/relationships/hyperlink" Target="https://itceduco-my.sharepoint.com/:b:/g/personal/bienestaruniversitario_itc_edu_co/EW3LLdHq6ZtCo0R4xEBD1JwBBKFAXIYX7SnJAY22TakehQ?e=0rwMM6" TargetMode="External"/><Relationship Id="rId44" Type="http://schemas.openxmlformats.org/officeDocument/2006/relationships/hyperlink" Target="https://itceduco-my.sharepoint.com/:f:/g/personal/psicologia_itc_edu_co/EorFXOKDWrhOnWAgY-c7pUwBMheF_fT_rKD1LWEOHo7LAQ?e=UYcvib" TargetMode="External"/><Relationship Id="rId52" Type="http://schemas.openxmlformats.org/officeDocument/2006/relationships/hyperlink" Target="https://itceduco-my.sharepoint.com/personal/psicologia_itc_edu_co/_layouts/15/onedrive.aspx?id=%2Fpersonal%2Fpsicologia%5Fitc%5Fedu%5Fco%2FDocuments%2F2022%2FPLANEACI%C3%93N%2FSEGUNDO%20TRIMESTRE%2FCREA&amp;ga=1" TargetMode="External"/><Relationship Id="rId60" Type="http://schemas.openxmlformats.org/officeDocument/2006/relationships/hyperlink" Target="https://itceduco-my.sharepoint.com/personal/enfermeria_itc_edu_co/_layouts/15/onedrive.aspx?id=%2Fpersonal%2Fenfermeria%5Fitc%5Fedu%5Fco%2FDocuments%2FATENCI%C3%93N%20EN%20SALUD%20PES%202022%2FPLAN%20DE%20ACCI%C3%93N%2FSEGUNDO%20TRIMESTRE&amp;ga=1" TargetMode="External"/><Relationship Id="rId65" Type="http://schemas.openxmlformats.org/officeDocument/2006/relationships/hyperlink" Target="https://itceduco-my.sharepoint.com/personal/psicologia_itc_edu_co/_layouts/15/onedrive.aspx?id=%2Fpersonal%2Fpsicologia%5Fitc%5Fedu%5Fco%2FDocuments%2F2022%2FPLANEACI%C3%93N%2FSEGUNDO%20TRIMESTRE%2FSALUD%20MENTAL&amp;ga=1" TargetMode="External"/><Relationship Id="rId73" Type="http://schemas.openxmlformats.org/officeDocument/2006/relationships/hyperlink" Target="https://www.etitc.edu.co/archives/infoderechosautor21.pdf" TargetMode="External"/><Relationship Id="rId78" Type="http://schemas.openxmlformats.org/officeDocument/2006/relationships/hyperlink" Target="../../../../../../../../../../:w:/r/personal/asuntosdisciplinarios_itc_edu_co/_layouts/15/Doc.aspx?sourcedoc=%7B942F1D1D-5033-4093-B06F-97D7FE929C6C%7D&amp;file=PROCESOS%20DISCIPLINARIOS%20BASE.docx&amp;action=default&amp;mobileredirect=true" TargetMode="External"/><Relationship Id="rId81" Type="http://schemas.openxmlformats.org/officeDocument/2006/relationships/hyperlink" Target="https://www.etitc.edu.co/archives/indicadorgestionmar22.xlsx" TargetMode="External"/><Relationship Id="rId86" Type="http://schemas.openxmlformats.org/officeDocument/2006/relationships/hyperlink" Target="https://etitc.edu.co/archives/convocatoria0222.pdf" TargetMode="External"/><Relationship Id="rId94" Type="http://schemas.openxmlformats.org/officeDocument/2006/relationships/hyperlink" Target="https://itceduco-my.sharepoint.com/personal/procesos_itc_edu_co/_layouts/15/onedrive.aspx?ct=1666120680158&amp;or=Teams%2DHL&amp;ga=1&amp;id=%2Fpersonal%2Fprocesos%5Fitc%5Fedu%5Fco%2FDocuments%2F2022%2FPlan%20de%20acci%C3%B3n%202022%2FEVIDENCIAS%20PLAN%20DE%20ACCION" TargetMode="External"/><Relationship Id="rId99" Type="http://schemas.openxmlformats.org/officeDocument/2006/relationships/hyperlink" Target="https://itceduco-my.sharepoint.com/:f:/g/personal/psicologia_itc_edu_co/EvQRr1JDnBRLlA0JXwfN6XwBOo9bNOUtZU0Y723jk65dDg?e=r4YsoR" TargetMode="External"/><Relationship Id="rId101" Type="http://schemas.openxmlformats.org/officeDocument/2006/relationships/hyperlink" Target="https://itceduco-my.sharepoint.com/:f:/g/personal/psicologia_itc_edu_co/Eqn9xc3uW85CmY79OXo0WxkBd350ucdydH30bzEVsNPXXg?e=6pS4Lf" TargetMode="External"/><Relationship Id="rId4" Type="http://schemas.openxmlformats.org/officeDocument/2006/relationships/hyperlink" Target="https://www.etitc.edu.co/archives/informeausteridad26.pdf" TargetMode="External"/><Relationship Id="rId9" Type="http://schemas.openxmlformats.org/officeDocument/2006/relationships/hyperlink" Target="https://itceduco-my.sharepoint.com/:f:/g/personal/procesos_itc_edu_co/EsrxrLcyDCVCk9SL-mWNID8BIP55yoHgN1Jckgvh8fTk8w?e=WM6qGu" TargetMode="External"/><Relationship Id="rId13" Type="http://schemas.openxmlformats.org/officeDocument/2006/relationships/hyperlink" Target="https://itceduco-my.sharepoint.com/:f:/g/personal/procesos_itc_edu_co/EsrxrLcyDCVCk9SL-mWNID8BIP55yoHgN1Jckgvh8fTk8w?e=WM6qGu" TargetMode="External"/><Relationship Id="rId18" Type="http://schemas.openxmlformats.org/officeDocument/2006/relationships/hyperlink" Target="https://itceduco-my.sharepoint.com/:f:/g/personal/procesos_itc_edu_co/EsrxrLcyDCVCk9SL-mWNID8BIP55yoHgN1Jckgvh8fTk8w?e=WM6qGu" TargetMode="External"/><Relationship Id="rId39" Type="http://schemas.openxmlformats.org/officeDocument/2006/relationships/hyperlink" Target="https://itceduco-my.sharepoint.com/:f:/g/personal/bienestaruniversitario_itc_edu_co/Er9XSfgiSRdBuM8BurGbQWcB5hMTZ4CQF5nIhVSGOlzS7w?e=V7exz8" TargetMode="External"/><Relationship Id="rId109" Type="http://schemas.openxmlformats.org/officeDocument/2006/relationships/hyperlink" Target="https://itceduco-my.sharepoint.com/personal/psicologia_itc_edu_co/_layouts/15/onedrive.aspx?id=%2Fpersonal%2Fpsicologia%5Fitc%5Fedu%5Fco%2FDocuments%2F2022%2F%C3%80REA%2F2022%2F2022%2D2%2FPSICOLOG%C3%8DA%2FINFORMES%2FATENCI%C3%92N%203%20TRIMESTRE%2Edocx&amp;parent=%2Fpersonal%2Fpsicologia%5Fitc%5Fedu%5Fco%2FDocuments%2F2022%2F%C3%80REA%2F2022%2F2022%2D2%2FPSICOLOG%C3%8DA%2FINFORMES" TargetMode="External"/><Relationship Id="rId34" Type="http://schemas.openxmlformats.org/officeDocument/2006/relationships/hyperlink" Target="https://bit.ly/3v7TnSe" TargetMode="External"/><Relationship Id="rId50" Type="http://schemas.openxmlformats.org/officeDocument/2006/relationships/hyperlink" Target="https://www.etitc.edu.co/es/page/nosotros&amp;sgi" TargetMode="External"/><Relationship Id="rId55" Type="http://schemas.openxmlformats.org/officeDocument/2006/relationships/hyperlink" Target="https://itceduco-my.sharepoint.com/:b:/g/personal/bienestaruniversitario_itc_edu_co/EYhUID-hSS9OnSIa7xzgGAwBxFlROH8Bv_xjjBFEhtMiiA?e=vquiWv" TargetMode="External"/><Relationship Id="rId76" Type="http://schemas.openxmlformats.org/officeDocument/2006/relationships/hyperlink" Target="https://etitc.edu.co/es/page/control-interno" TargetMode="External"/><Relationship Id="rId97" Type="http://schemas.openxmlformats.org/officeDocument/2006/relationships/hyperlink" Target="https://itceduco-my.sharepoint.com/personal/procesos_itc_edu_co/_layouts/15/onedrive.aspx?ct=1666120680158&amp;or=Teams%2DHL&amp;ga=1&amp;id=%2Fpersonal%2Fprocesos%5Fitc%5Fedu%5Fco%2FDocuments%2F2022%2FPlan%20de%20acci%C3%B3n%202022%2FEVIDENCIAS%20PLAN%20DE%20ACCION" TargetMode="External"/><Relationship Id="rId104" Type="http://schemas.openxmlformats.org/officeDocument/2006/relationships/hyperlink" Target="https://bit.ly/3v7TnSe" TargetMode="External"/><Relationship Id="rId7" Type="http://schemas.openxmlformats.org/officeDocument/2006/relationships/hyperlink" Target="https://www.facebook.com/watch/16872038093/2246567575376324/" TargetMode="External"/><Relationship Id="rId71" Type="http://schemas.openxmlformats.org/officeDocument/2006/relationships/hyperlink" Target="https://etitc.edu.co/archives/circular102022.pdf" TargetMode="External"/><Relationship Id="rId92" Type="http://schemas.openxmlformats.org/officeDocument/2006/relationships/hyperlink" Target="https://itceduco-my.sharepoint.com/personal/procesos_itc_edu_co/_layouts/15/onedrive.aspx?ct=1666120680158&amp;or=Teams%2DHL&amp;ga=1&amp;id=%2Fpersonal%2Fprocesos%5Fitc%5Fedu%5Fco%2FDocuments%2F2022%2FPlan%20de%20acci%C3%B3n%202022%2FEVIDENCIAS%20PLAN%20DE%20ACCION" TargetMode="External"/><Relationship Id="rId2" Type="http://schemas.openxmlformats.org/officeDocument/2006/relationships/hyperlink" Target="https://www.etitc.edu.co/archives/paai22.pdf" TargetMode="External"/><Relationship Id="rId29" Type="http://schemas.openxmlformats.org/officeDocument/2006/relationships/hyperlink" Target="https://itceduco-my.sharepoint.com/:b:/g/personal/bienestaruniversitario_itc_edu_co/EfL3dNKjOnhJglXtW9tRQdABn04AYAQ8aNWf5j3Z_0oFxA?e=HOIt18" TargetMode="External"/><Relationship Id="rId24" Type="http://schemas.openxmlformats.org/officeDocument/2006/relationships/hyperlink" Target="https://itceduco-my.sharepoint.com/:f:/g/personal/asesorinnovacion_itc_edu_co/ErGKbo_D46VOitI5W-6v8oUB1Gk-WUbXEGrPOUXsurC7AQ?e=Kjr2rD" TargetMode="External"/><Relationship Id="rId40" Type="http://schemas.openxmlformats.org/officeDocument/2006/relationships/hyperlink" Target="https://itceduco-my.sharepoint.com/:f:/g/personal/bienestaruniversitario_itc_edu_co/Er9XSfgiSRdBuM8BurGbQWcB5hMTZ4CQF5nIhVSGOlzS7w?e=V7exz8" TargetMode="External"/><Relationship Id="rId45" Type="http://schemas.openxmlformats.org/officeDocument/2006/relationships/hyperlink" Target="https://itceduco-my.sharepoint.com/:f:/g/personal/psicologia_itc_edu_co/EorFXOKDWrhOnWAgY-c7pUwBMheF_fT_rKD1LWEOHo7LAQ?e=UYcvib" TargetMode="External"/><Relationship Id="rId66" Type="http://schemas.openxmlformats.org/officeDocument/2006/relationships/hyperlink" Target="https://itceduco-my.sharepoint.com/:f:/g/personal/psicologia_itc_edu_co/Eu-0aIegVYROt75_1FR2SYABjKwc84iikTtEad5H866Asw?e=KwyWna" TargetMode="External"/><Relationship Id="rId87" Type="http://schemas.openxmlformats.org/officeDocument/2006/relationships/hyperlink" Target="https://itceduco-my.sharepoint.com/personal/procesos_itc_edu_co/_layouts/15/onedrive.aspx?id=%2Fpersonal%2Fprocesos%5Fitc%5Fedu%5Fco%2FDocuments%2F2022%2FEIEI%20ACOFI%202022&amp;ct=1666120510986&amp;or=Teams%2DHL&amp;ga=1" TargetMode="External"/><Relationship Id="rId110" Type="http://schemas.openxmlformats.org/officeDocument/2006/relationships/hyperlink" Target="https://itceduco-my.sharepoint.com/:f:/g/personal/bienestaruniversitario_itc_edu_co/EoDhqIO2UmROnVwK0dACcAoBacI38KVCwVzrp0S56zWVsQ?e=JdYuc0" TargetMode="External"/><Relationship Id="rId115" Type="http://schemas.openxmlformats.org/officeDocument/2006/relationships/drawing" Target="../drawings/drawing1.xml"/><Relationship Id="rId61" Type="http://schemas.openxmlformats.org/officeDocument/2006/relationships/hyperlink" Target="https://itceduco-my.sharepoint.com/:w:/g/personal/pastoralpes_itc_edu_co/EYVuo3z81htAgo-9BvKNYuABTuN9kAaDEY_FzRmUXvYxKw?e=CfB5r6" TargetMode="External"/><Relationship Id="rId82" Type="http://schemas.openxmlformats.org/officeDocument/2006/relationships/hyperlink" Target="https://www.etitc.edu.co/archives/pas22.xlsx" TargetMode="External"/><Relationship Id="rId19" Type="http://schemas.openxmlformats.org/officeDocument/2006/relationships/hyperlink" Target="https://itceduco-my.sharepoint.com/:f:/g/personal/procesos_itc_edu_co/EsrxrLcyDCVCk9SL-mWNID8BIP55yoHgN1Jckgvh8fTk8w?e=WM6qGu" TargetMode="External"/><Relationship Id="rId14" Type="http://schemas.openxmlformats.org/officeDocument/2006/relationships/hyperlink" Target="https://itceduco-my.sharepoint.com/:f:/g/personal/procesos_itc_edu_co/EsrxrLcyDCVCk9SL-mWNID8BIP55yoHgN1Jckgvh8fTk8w?e=WM6qGu" TargetMode="External"/><Relationship Id="rId30" Type="http://schemas.openxmlformats.org/officeDocument/2006/relationships/hyperlink" Target="https://itceduco-my.sharepoint.com/:b:/g/personal/bienestaruniversitario_itc_edu_co/ETpa8IvlgZBFtCO1DR1-lPUBIYvNPFdJkm7a7UFniVT3vg?e=yUAvIJ" TargetMode="External"/><Relationship Id="rId35" Type="http://schemas.openxmlformats.org/officeDocument/2006/relationships/hyperlink" Target="https://itceduco-my.sharepoint.com/:f:/g/personal/enfermeria_itc_edu_co/EtGPza4yuGpKr40RoAK_n5QBZiwrY2GL3dtoBA0-VWJ08Q?e=vzopH6" TargetMode="External"/><Relationship Id="rId56" Type="http://schemas.openxmlformats.org/officeDocument/2006/relationships/hyperlink" Target="https://itceduco-my.sharepoint.com/:b:/g/personal/bienestaruniversitario_itc_edu_co/EexQGHd2m-VDhIgJY_X_LRsBRS_R2OV7B5qqJEPwHxAGzg?e=VYtjQM" TargetMode="External"/><Relationship Id="rId77" Type="http://schemas.openxmlformats.org/officeDocument/2006/relationships/hyperlink" Target="https://etitc.edu.co/es/page/nosotros&amp;normatividad&amp;resoluciones" TargetMode="External"/><Relationship Id="rId100" Type="http://schemas.openxmlformats.org/officeDocument/2006/relationships/hyperlink" Target="https://itceduco-my.sharepoint.com/:f:/g/personal/psicologia_itc_edu_co/EvQRr1JDnBRLlA0JXwfN6XwBOo9bNOUtZU0Y723jk65dDg?e=r4YsoR" TargetMode="External"/><Relationship Id="rId105" Type="http://schemas.openxmlformats.org/officeDocument/2006/relationships/hyperlink" Target="https://bit.ly/3v7TnSe" TargetMode="External"/><Relationship Id="rId8" Type="http://schemas.openxmlformats.org/officeDocument/2006/relationships/hyperlink" Target="https://itceduco-my.sharepoint.com/:f:/g/personal/procesos_itc_edu_co/EsrxrLcyDCVCk9SL-mWNID8BIP55yoHgN1Jckgvh8fTk8w?e=WM6qGu" TargetMode="External"/><Relationship Id="rId51" Type="http://schemas.openxmlformats.org/officeDocument/2006/relationships/hyperlink" Target="https://itceduco-my.sharepoint.com/:f:/g/personal/bienestaruniversitario_itc_edu_co/EqIvDl7bUxFJi_tQkXPEnBUBdqfUW5mv-nOTBaOg6F3CRw?e=hZrQIg" TargetMode="External"/><Relationship Id="rId72" Type="http://schemas.openxmlformats.org/officeDocument/2006/relationships/hyperlink" Target="https://www.etitc.edu.co/archives/paai22.pdf" TargetMode="External"/><Relationship Id="rId93" Type="http://schemas.openxmlformats.org/officeDocument/2006/relationships/hyperlink" Target="https://itceduco-my.sharepoint.com/personal/procesos_itc_edu_co/_layouts/15/onedrive.aspx?ct=1666120680158&amp;or=Teams%2DHL&amp;ga=1&amp;id=%2Fpersonal%2Fprocesos%5Fitc%5Fedu%5Fco%2FDocuments%2F2022%2FPlan%20de%20acci%C3%B3n%202022%2FEVIDENCIAS%20PLAN%20DE%20ACCION" TargetMode="External"/><Relationship Id="rId98" Type="http://schemas.openxmlformats.org/officeDocument/2006/relationships/hyperlink" Target="https://repositorio.itc.edu.co/flip/index.jsp?pdf=/bitstream/001/438/1/Bolet%C3%ADn%20virtual%20de%20Investigaci%C3%B3n%2c%20Extensi%C3%B3n%20y%20Transferencia%20No.6.pdf" TargetMode="External"/><Relationship Id="rId3" Type="http://schemas.openxmlformats.org/officeDocument/2006/relationships/hyperlink" Target="https://www.etitc.edu.co/archives/infoderechosautor21.pdf" TargetMode="External"/><Relationship Id="rId25" Type="http://schemas.openxmlformats.org/officeDocument/2006/relationships/hyperlink" Target="https://etitc.edu.co/es/page/leytransparencia" TargetMode="External"/><Relationship Id="rId46" Type="http://schemas.openxmlformats.org/officeDocument/2006/relationships/hyperlink" Target="https://itceduco-my.sharepoint.com/:f:/g/personal/psicologia_itc_edu_co/EorFXOKDWrhOnWAgY-c7pUwBMheF_fT_rKD1LWEOHo7LAQ?e=UYcvib" TargetMode="External"/><Relationship Id="rId67" Type="http://schemas.openxmlformats.org/officeDocument/2006/relationships/hyperlink" Target="https://itceduco-my.sharepoint.com/:f:/g/personal/bienestaruniversitario_itc_edu_co/Eghz4lpwwPFAgyP1ZNuLjLgBVCjZ-punMQHXr_HjpQiNSw?e=kQSed1" TargetMode="External"/><Relationship Id="rId116" Type="http://schemas.openxmlformats.org/officeDocument/2006/relationships/vmlDrawing" Target="../drawings/vmlDrawing1.vml"/><Relationship Id="rId20" Type="http://schemas.openxmlformats.org/officeDocument/2006/relationships/hyperlink" Target="https://itceduco-my.sharepoint.com/:f:/g/personal/procesos_itc_edu_co/EsrxrLcyDCVCk9SL-mWNID8BIP55yoHgN1Jckgvh8fTk8w?e=WM6qGu" TargetMode="External"/><Relationship Id="rId41" Type="http://schemas.openxmlformats.org/officeDocument/2006/relationships/hyperlink" Target="https://itceduco-my.sharepoint.com/:f:/g/personal/psicologia_itc_edu_co/EorFXOKDWrhOnWAgY-c7pUwBMheF_fT_rKD1LWEOHo7LAQ?e=UYcvib" TargetMode="External"/><Relationship Id="rId62" Type="http://schemas.openxmlformats.org/officeDocument/2006/relationships/hyperlink" Target="https://forms.office.com/Pages/DesignPageV2.aspx?subpage=design&amp;FormId=RtBfSWTYZ0ae6FBnl2TYNAD89WLqL4JAgWFtXVM6CClUM0NCUFBNT0NEUUVVUVBBQ00xT0dPMjBJQS4u&amp;Token=cd510f6a7cc84b87858bb150f7eba1ae" TargetMode="External"/><Relationship Id="rId83" Type="http://schemas.openxmlformats.org/officeDocument/2006/relationships/hyperlink" Target="https://etitc.edu.co/archives/siacet2.pdf" TargetMode="External"/><Relationship Id="rId88" Type="http://schemas.openxmlformats.org/officeDocument/2006/relationships/hyperlink" Target="https://itceduco-my.sharepoint.com/personal/procesos_itc_edu_co/_layouts/15/onedrive.aspx?id=%2Fpersonal%2Fprocesos%5Fitc%5Fedu%5Fco%2FDocuments%2F2022%2FEIEI%20ACOFI%202022&amp;ct=1666120510986&amp;or=Teams%2DHL&amp;ga=1" TargetMode="External"/><Relationship Id="rId111" Type="http://schemas.openxmlformats.org/officeDocument/2006/relationships/hyperlink" Target="https://itceduco-my.sharepoint.com/:f:/g/personal/bienestaruniversitario_itc_edu_co/EpV5CWLqZ_NDhAOSE1h40bYBHAKIuXaBkbiAaffxBrb80w?e=do4qYK" TargetMode="External"/><Relationship Id="rId15" Type="http://schemas.openxmlformats.org/officeDocument/2006/relationships/hyperlink" Target="https://itceduco-my.sharepoint.com/:f:/g/personal/procesos_itc_edu_co/EsrxrLcyDCVCk9SL-mWNID8BIP55yoHgN1Jckgvh8fTk8w?e=WM6qGu" TargetMode="External"/><Relationship Id="rId36" Type="http://schemas.openxmlformats.org/officeDocument/2006/relationships/hyperlink" Target="https://itceduco-my.sharepoint.com/:f:/g/personal/psicologia_itc_edu_co/EorFXOKDWrhOnWAgY-c7pUwBMheF_fT_rKD1LWEOHo7LAQ?e=UYcvib" TargetMode="External"/><Relationship Id="rId57" Type="http://schemas.openxmlformats.org/officeDocument/2006/relationships/hyperlink" Target="https://itceduco-my.sharepoint.com/:b:/g/personal/bienestaruniversitario_itc_edu_co/ER9GE4X25MNMoJ6ltMl5SqYBuxOvzpNYcK-7XGEZya2MfQ?e=xP7oPb" TargetMode="External"/><Relationship Id="rId106" Type="http://schemas.openxmlformats.org/officeDocument/2006/relationships/hyperlink" Target="https://itceduco-my.sharepoint.com/personal/enfermeria_itc_edu_co/_layouts/15/onedrive.aspx?id=%2Fpersonal%2Fenfermeria%5Fitc%5Fedu%5Fco%2FDocuments%2FATENCI%C3%93N%20EN%20SALUD%20PES%202022%2FPLAN%20DE%20ACCI%C3%93N%2FTERCER%20TRIMESTRE&amp;ga=1"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etitc.edu.co/archives/pdi2021-2024.pdf"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3705"/>
  <sheetViews>
    <sheetView showGridLines="0" tabSelected="1" zoomScale="40" zoomScaleNormal="40" workbookViewId="0">
      <pane ySplit="6" topLeftCell="A7" activePane="bottomLeft" state="frozen"/>
      <selection activeCell="B1" sqref="B1"/>
      <selection pane="bottomLeft" activeCell="T424" sqref="T424"/>
    </sheetView>
  </sheetViews>
  <sheetFormatPr baseColWidth="10" defaultColWidth="11.42578125" defaultRowHeight="44.25" outlineLevelRow="1" x14ac:dyDescent="0.2"/>
  <cols>
    <col min="1" max="1" width="33.7109375" style="251" customWidth="1"/>
    <col min="2" max="2" width="40.140625" style="6" customWidth="1"/>
    <col min="3" max="3" width="50" style="6" customWidth="1"/>
    <col min="4" max="4" width="17.85546875" style="7" customWidth="1"/>
    <col min="5" max="5" width="19.140625" style="253" customWidth="1"/>
    <col min="6" max="6" width="20" style="301" customWidth="1"/>
    <col min="7" max="7" width="9.85546875" style="7" customWidth="1"/>
    <col min="8" max="8" width="29.85546875" style="6" customWidth="1"/>
    <col min="9" max="9" width="15.5703125" style="7" customWidth="1"/>
    <col min="10" max="10" width="15.28515625" style="240" customWidth="1"/>
    <col min="11" max="11" width="9.5703125" style="240" customWidth="1"/>
    <col min="12" max="12" width="13" style="240" customWidth="1"/>
    <col min="13" max="14" width="13" style="251" customWidth="1"/>
    <col min="15" max="15" width="13" style="319" hidden="1" customWidth="1"/>
    <col min="16" max="17" width="13" style="251" hidden="1" customWidth="1"/>
    <col min="18" max="22" width="13" style="251" customWidth="1"/>
    <col min="23" max="23" width="13" style="289" customWidth="1"/>
    <col min="24" max="26" width="13" style="6" customWidth="1"/>
    <col min="27" max="27" width="13" style="254" customWidth="1"/>
    <col min="28" max="28" width="29.140625" style="251" customWidth="1"/>
    <col min="29" max="29" width="13" style="251" customWidth="1"/>
    <col min="30" max="30" width="9.85546875" style="251" customWidth="1"/>
    <col min="31" max="31" width="13" style="526" customWidth="1"/>
    <col min="32" max="32" width="42.85546875" style="251" customWidth="1"/>
    <col min="33" max="33" width="31.140625" style="251" customWidth="1"/>
    <col min="34" max="34" width="43.42578125" style="254" hidden="1" customWidth="1"/>
    <col min="35" max="35" width="24.28515625" style="251" hidden="1" customWidth="1"/>
    <col min="36" max="36" width="21.42578125" style="251" hidden="1" customWidth="1"/>
    <col min="37" max="37" width="25.28515625" style="251" customWidth="1"/>
    <col min="38" max="250" width="9.140625" style="251" customWidth="1"/>
    <col min="251" max="16384" width="11.42578125" style="251"/>
  </cols>
  <sheetData>
    <row r="1" spans="1:37" ht="24" customHeight="1" x14ac:dyDescent="0.2">
      <c r="A1" s="750" t="s">
        <v>0</v>
      </c>
      <c r="B1" s="750"/>
      <c r="C1" s="750"/>
      <c r="D1" s="750"/>
      <c r="E1" s="750"/>
      <c r="F1" s="750"/>
      <c r="G1" s="750"/>
      <c r="H1" s="750"/>
      <c r="I1" s="750"/>
      <c r="J1" s="750"/>
      <c r="K1" s="750"/>
      <c r="L1" s="750"/>
      <c r="M1" s="750"/>
      <c r="N1" s="750"/>
      <c r="O1" s="750"/>
      <c r="P1" s="750"/>
      <c r="Q1" s="750"/>
      <c r="R1" s="750"/>
      <c r="S1" s="750"/>
      <c r="T1" s="750"/>
      <c r="U1" s="750"/>
      <c r="V1" s="750"/>
      <c r="W1" s="750"/>
      <c r="X1" s="750"/>
      <c r="Y1" s="750"/>
      <c r="Z1" s="750"/>
      <c r="AA1" s="750"/>
      <c r="AB1" s="750"/>
      <c r="AC1" s="750"/>
      <c r="AD1" s="750"/>
      <c r="AE1" s="750"/>
      <c r="AF1" s="750"/>
      <c r="AG1" s="750"/>
      <c r="AH1" s="750"/>
      <c r="AI1" s="750"/>
      <c r="AJ1" s="259" t="s">
        <v>1</v>
      </c>
      <c r="AK1" s="260" t="s">
        <v>1</v>
      </c>
    </row>
    <row r="2" spans="1:37" ht="14.25" customHeight="1" x14ac:dyDescent="0.2">
      <c r="A2" s="750"/>
      <c r="B2" s="750"/>
      <c r="C2" s="750"/>
      <c r="D2" s="750"/>
      <c r="E2" s="750"/>
      <c r="F2" s="750"/>
      <c r="G2" s="750"/>
      <c r="H2" s="750"/>
      <c r="I2" s="750"/>
      <c r="J2" s="750"/>
      <c r="K2" s="750"/>
      <c r="L2" s="750"/>
      <c r="M2" s="750"/>
      <c r="N2" s="750"/>
      <c r="O2" s="750"/>
      <c r="P2" s="750"/>
      <c r="Q2" s="750"/>
      <c r="R2" s="750"/>
      <c r="S2" s="750"/>
      <c r="T2" s="750"/>
      <c r="U2" s="750"/>
      <c r="V2" s="750"/>
      <c r="W2" s="750"/>
      <c r="X2" s="750"/>
      <c r="Y2" s="750"/>
      <c r="Z2" s="750"/>
      <c r="AA2" s="750"/>
      <c r="AB2" s="750"/>
      <c r="AC2" s="750"/>
      <c r="AD2" s="750"/>
      <c r="AE2" s="750"/>
      <c r="AF2" s="750"/>
      <c r="AG2" s="750"/>
      <c r="AH2" s="750"/>
      <c r="AI2" s="750"/>
      <c r="AJ2" s="259" t="s">
        <v>2</v>
      </c>
      <c r="AK2" s="261" t="s">
        <v>2</v>
      </c>
    </row>
    <row r="3" spans="1:37" ht="26.25" customHeight="1" x14ac:dyDescent="0.2">
      <c r="A3" s="750"/>
      <c r="B3" s="750"/>
      <c r="C3" s="750"/>
      <c r="D3" s="750"/>
      <c r="E3" s="750"/>
      <c r="F3" s="750"/>
      <c r="G3" s="750"/>
      <c r="H3" s="750"/>
      <c r="I3" s="750"/>
      <c r="J3" s="750"/>
      <c r="K3" s="750"/>
      <c r="L3" s="750"/>
      <c r="M3" s="750"/>
      <c r="N3" s="750"/>
      <c r="O3" s="750"/>
      <c r="P3" s="750"/>
      <c r="Q3" s="750"/>
      <c r="R3" s="750"/>
      <c r="S3" s="750"/>
      <c r="T3" s="750"/>
      <c r="U3" s="750"/>
      <c r="V3" s="750"/>
      <c r="W3" s="750"/>
      <c r="X3" s="750"/>
      <c r="Y3" s="750"/>
      <c r="Z3" s="750"/>
      <c r="AA3" s="750"/>
      <c r="AB3" s="750"/>
      <c r="AC3" s="750"/>
      <c r="AD3" s="750"/>
      <c r="AE3" s="750"/>
      <c r="AF3" s="750"/>
      <c r="AG3" s="750"/>
      <c r="AH3" s="750"/>
      <c r="AI3" s="750"/>
      <c r="AJ3" s="259" t="s">
        <v>3</v>
      </c>
      <c r="AK3" s="261" t="s">
        <v>3</v>
      </c>
    </row>
    <row r="4" spans="1:37" ht="27.75" customHeight="1" x14ac:dyDescent="0.2">
      <c r="A4" s="750"/>
      <c r="B4" s="750"/>
      <c r="C4" s="750"/>
      <c r="D4" s="750"/>
      <c r="E4" s="750"/>
      <c r="F4" s="750"/>
      <c r="G4" s="750"/>
      <c r="H4" s="750"/>
      <c r="I4" s="750"/>
      <c r="J4" s="750"/>
      <c r="K4" s="750"/>
      <c r="L4" s="750"/>
      <c r="M4" s="750"/>
      <c r="N4" s="750"/>
      <c r="O4" s="750"/>
      <c r="P4" s="750"/>
      <c r="Q4" s="750"/>
      <c r="R4" s="750"/>
      <c r="S4" s="750"/>
      <c r="T4" s="750"/>
      <c r="U4" s="750"/>
      <c r="V4" s="750"/>
      <c r="W4" s="750"/>
      <c r="X4" s="750"/>
      <c r="Y4" s="750"/>
      <c r="Z4" s="750"/>
      <c r="AA4" s="750"/>
      <c r="AB4" s="750"/>
      <c r="AC4" s="750"/>
      <c r="AD4" s="750"/>
      <c r="AE4" s="750"/>
      <c r="AF4" s="750"/>
      <c r="AG4" s="750"/>
      <c r="AH4" s="750"/>
      <c r="AI4" s="750"/>
      <c r="AJ4" s="259" t="s">
        <v>4</v>
      </c>
      <c r="AK4" s="262" t="s">
        <v>4</v>
      </c>
    </row>
    <row r="5" spans="1:37" s="561" customFormat="1" ht="19.899999999999999" customHeight="1" x14ac:dyDescent="0.2">
      <c r="A5" s="749" t="s">
        <v>5</v>
      </c>
      <c r="B5" s="749" t="s">
        <v>6</v>
      </c>
      <c r="C5" s="749" t="s">
        <v>7</v>
      </c>
      <c r="D5" s="749" t="s">
        <v>8</v>
      </c>
      <c r="E5" s="749" t="s">
        <v>9</v>
      </c>
      <c r="F5" s="749" t="s">
        <v>10</v>
      </c>
      <c r="G5" s="753" t="s">
        <v>11</v>
      </c>
      <c r="H5" s="753" t="s">
        <v>12</v>
      </c>
      <c r="I5" s="755" t="s">
        <v>13</v>
      </c>
      <c r="J5" s="749" t="s">
        <v>14</v>
      </c>
      <c r="K5" s="749" t="s">
        <v>15</v>
      </c>
      <c r="L5" s="753" t="s">
        <v>16</v>
      </c>
      <c r="M5" s="749" t="s">
        <v>17</v>
      </c>
      <c r="N5" s="749" t="s">
        <v>18</v>
      </c>
      <c r="O5" s="751" t="s">
        <v>19</v>
      </c>
      <c r="P5" s="749" t="s">
        <v>20</v>
      </c>
      <c r="Q5" s="749" t="s">
        <v>21</v>
      </c>
      <c r="R5" s="749" t="s">
        <v>22</v>
      </c>
      <c r="S5" s="749" t="s">
        <v>23</v>
      </c>
      <c r="T5" s="749"/>
      <c r="U5" s="749"/>
      <c r="V5" s="749"/>
      <c r="W5" s="749" t="s">
        <v>24</v>
      </c>
      <c r="X5" s="749"/>
      <c r="Y5" s="749"/>
      <c r="Z5" s="559"/>
      <c r="AA5" s="749">
        <v>0</v>
      </c>
      <c r="AB5" s="749"/>
      <c r="AC5" s="749"/>
      <c r="AD5" s="559"/>
      <c r="AE5" s="749" t="s">
        <v>25</v>
      </c>
      <c r="AF5" s="749"/>
      <c r="AG5" s="749"/>
      <c r="AH5" s="749" t="s">
        <v>26</v>
      </c>
      <c r="AI5" s="749"/>
      <c r="AJ5" s="749"/>
      <c r="AK5" s="560"/>
    </row>
    <row r="6" spans="1:37" s="561" customFormat="1" ht="33" customHeight="1" x14ac:dyDescent="0.2">
      <c r="A6" s="749"/>
      <c r="B6" s="749"/>
      <c r="C6" s="749"/>
      <c r="D6" s="749"/>
      <c r="E6" s="749"/>
      <c r="F6" s="749"/>
      <c r="G6" s="754"/>
      <c r="H6" s="754"/>
      <c r="I6" s="756"/>
      <c r="J6" s="749"/>
      <c r="K6" s="749"/>
      <c r="L6" s="754"/>
      <c r="M6" s="749"/>
      <c r="N6" s="749"/>
      <c r="O6" s="752"/>
      <c r="P6" s="749"/>
      <c r="Q6" s="749"/>
      <c r="R6" s="749"/>
      <c r="S6" s="559" t="s">
        <v>27</v>
      </c>
      <c r="T6" s="559" t="s">
        <v>28</v>
      </c>
      <c r="U6" s="559" t="s">
        <v>29</v>
      </c>
      <c r="V6" s="559" t="s">
        <v>30</v>
      </c>
      <c r="W6" s="562" t="s">
        <v>31</v>
      </c>
      <c r="X6" s="559" t="s">
        <v>32</v>
      </c>
      <c r="Y6" s="559" t="s">
        <v>33</v>
      </c>
      <c r="Z6" s="559" t="s">
        <v>34</v>
      </c>
      <c r="AA6" s="563" t="s">
        <v>35</v>
      </c>
      <c r="AB6" s="559" t="s">
        <v>32</v>
      </c>
      <c r="AC6" s="559" t="s">
        <v>33</v>
      </c>
      <c r="AD6" s="559" t="s">
        <v>2159</v>
      </c>
      <c r="AE6" s="564" t="s">
        <v>36</v>
      </c>
      <c r="AF6" s="559" t="s">
        <v>32</v>
      </c>
      <c r="AG6" s="559" t="s">
        <v>33</v>
      </c>
      <c r="AH6" s="563" t="s">
        <v>37</v>
      </c>
      <c r="AI6" s="559" t="s">
        <v>32</v>
      </c>
      <c r="AJ6" s="559" t="s">
        <v>33</v>
      </c>
      <c r="AK6" s="560"/>
    </row>
    <row r="7" spans="1:37" s="7" customFormat="1" ht="9.75" customHeight="1" x14ac:dyDescent="0.2">
      <c r="A7" s="421"/>
      <c r="B7" s="324"/>
      <c r="C7" s="324"/>
      <c r="D7" s="421"/>
      <c r="E7" s="421"/>
      <c r="F7" s="421"/>
      <c r="G7" s="322"/>
      <c r="H7" s="422"/>
      <c r="I7" s="323"/>
      <c r="J7" s="419"/>
      <c r="K7" s="419"/>
      <c r="L7" s="419"/>
      <c r="M7" s="419"/>
      <c r="N7" s="419"/>
      <c r="O7" s="420"/>
      <c r="P7" s="419"/>
      <c r="Q7" s="419"/>
      <c r="R7" s="419"/>
      <c r="S7" s="419"/>
      <c r="T7" s="419"/>
      <c r="U7" s="419"/>
      <c r="V7" s="419"/>
      <c r="W7" s="320"/>
      <c r="X7" s="328"/>
      <c r="Y7" s="328"/>
      <c r="Z7" s="328"/>
      <c r="AA7" s="321"/>
      <c r="AB7" s="419"/>
      <c r="AC7" s="419"/>
      <c r="AD7" s="513"/>
      <c r="AE7" s="523"/>
      <c r="AF7" s="419"/>
      <c r="AG7" s="419"/>
      <c r="AH7" s="321"/>
      <c r="AI7" s="419"/>
      <c r="AJ7" s="419"/>
      <c r="AK7" s="269"/>
    </row>
    <row r="8" spans="1:37" ht="69.599999999999994" hidden="1" customHeight="1" outlineLevel="1" x14ac:dyDescent="0.2">
      <c r="A8" s="650" t="s">
        <v>38</v>
      </c>
      <c r="B8" s="579" t="s">
        <v>39</v>
      </c>
      <c r="C8" s="579" t="s">
        <v>40</v>
      </c>
      <c r="D8" s="723" t="s">
        <v>41</v>
      </c>
      <c r="E8" s="582" t="s">
        <v>42</v>
      </c>
      <c r="F8" s="582" t="s">
        <v>43</v>
      </c>
      <c r="G8" s="679" t="s">
        <v>44</v>
      </c>
      <c r="H8" s="196" t="s">
        <v>45</v>
      </c>
      <c r="I8" s="729" t="s">
        <v>46</v>
      </c>
      <c r="J8" s="246" t="s">
        <v>47</v>
      </c>
      <c r="K8" s="336">
        <v>67510000</v>
      </c>
      <c r="L8" s="342">
        <v>0</v>
      </c>
      <c r="M8" s="263">
        <v>44593</v>
      </c>
      <c r="N8" s="263">
        <v>44925</v>
      </c>
      <c r="O8" s="263">
        <v>44652</v>
      </c>
      <c r="P8" s="264">
        <f t="shared" ref="P8:P88" si="0">+(+_xlfn.DAYS(M8,O8))/(+_xlfn.DAYS(M8,N8))</f>
        <v>0.17771084337349397</v>
      </c>
      <c r="Q8" s="264">
        <f t="shared" ref="Q8:Q121" si="1">+IF(P8&gt;=100,100,IF(P8&lt;=0,0,P8))</f>
        <v>0.17771084337349397</v>
      </c>
      <c r="R8" s="265">
        <v>1</v>
      </c>
      <c r="S8" s="266">
        <v>0.25</v>
      </c>
      <c r="T8" s="266">
        <v>0.5</v>
      </c>
      <c r="U8" s="266">
        <v>0.75</v>
      </c>
      <c r="V8" s="266">
        <v>1</v>
      </c>
      <c r="W8" s="266">
        <v>0.25</v>
      </c>
      <c r="X8" s="329" t="s">
        <v>48</v>
      </c>
      <c r="Y8" s="333" t="s">
        <v>49</v>
      </c>
      <c r="Z8" s="306">
        <v>33000000</v>
      </c>
      <c r="AA8" s="266">
        <v>0.5</v>
      </c>
      <c r="AB8" s="329" t="s">
        <v>48</v>
      </c>
      <c r="AC8" s="333" t="s">
        <v>49</v>
      </c>
      <c r="AD8" s="306">
        <v>0</v>
      </c>
      <c r="AE8" s="522">
        <v>75</v>
      </c>
      <c r="AF8" s="268" t="s">
        <v>2516</v>
      </c>
      <c r="AG8" s="268" t="s">
        <v>2517</v>
      </c>
      <c r="AH8" s="267"/>
      <c r="AI8" s="268"/>
      <c r="AJ8" s="268"/>
      <c r="AK8" s="269"/>
    </row>
    <row r="9" spans="1:37" ht="210.75" hidden="1" customHeight="1" outlineLevel="1" x14ac:dyDescent="0.2">
      <c r="A9" s="651"/>
      <c r="B9" s="580"/>
      <c r="C9" s="580"/>
      <c r="D9" s="724"/>
      <c r="E9" s="583"/>
      <c r="F9" s="583"/>
      <c r="G9" s="680"/>
      <c r="H9" s="196" t="s">
        <v>50</v>
      </c>
      <c r="I9" s="730"/>
      <c r="J9" s="246" t="s">
        <v>51</v>
      </c>
      <c r="K9" s="342">
        <v>0</v>
      </c>
      <c r="L9" s="342">
        <v>0</v>
      </c>
      <c r="M9" s="263">
        <v>44593</v>
      </c>
      <c r="N9" s="263">
        <v>44925</v>
      </c>
      <c r="O9" s="263">
        <v>44652</v>
      </c>
      <c r="P9" s="264">
        <f t="shared" si="0"/>
        <v>0.17771084337349397</v>
      </c>
      <c r="Q9" s="264">
        <f t="shared" si="1"/>
        <v>0.17771084337349397</v>
      </c>
      <c r="R9" s="265">
        <v>1</v>
      </c>
      <c r="S9" s="266">
        <v>0.25</v>
      </c>
      <c r="T9" s="266">
        <v>0.5</v>
      </c>
      <c r="U9" s="266">
        <v>0.75</v>
      </c>
      <c r="V9" s="266">
        <v>1</v>
      </c>
      <c r="W9" s="266">
        <v>0.25</v>
      </c>
      <c r="X9" s="329" t="s">
        <v>53</v>
      </c>
      <c r="Y9" s="333" t="s">
        <v>54</v>
      </c>
      <c r="Z9" s="342">
        <v>0</v>
      </c>
      <c r="AA9" s="266">
        <v>0.5</v>
      </c>
      <c r="AB9" s="329" t="s">
        <v>53</v>
      </c>
      <c r="AC9" s="333" t="s">
        <v>54</v>
      </c>
      <c r="AD9" s="306">
        <v>0</v>
      </c>
      <c r="AE9" s="522">
        <v>75</v>
      </c>
      <c r="AF9" s="268" t="s">
        <v>2518</v>
      </c>
      <c r="AG9" s="268" t="s">
        <v>2517</v>
      </c>
      <c r="AH9" s="267"/>
      <c r="AI9" s="268"/>
      <c r="AJ9" s="268"/>
      <c r="AK9" s="269"/>
    </row>
    <row r="10" spans="1:37" ht="147.75" hidden="1" customHeight="1" outlineLevel="1" x14ac:dyDescent="0.2">
      <c r="A10" s="651"/>
      <c r="B10" s="580"/>
      <c r="C10" s="580"/>
      <c r="D10" s="724"/>
      <c r="E10" s="583"/>
      <c r="F10" s="583"/>
      <c r="G10" s="680"/>
      <c r="H10" s="196" t="s">
        <v>55</v>
      </c>
      <c r="I10" s="730"/>
      <c r="J10" s="246" t="s">
        <v>51</v>
      </c>
      <c r="K10" s="342">
        <v>0</v>
      </c>
      <c r="L10" s="342">
        <v>0</v>
      </c>
      <c r="M10" s="263">
        <v>44593</v>
      </c>
      <c r="N10" s="263">
        <v>44925</v>
      </c>
      <c r="O10" s="263">
        <v>44652</v>
      </c>
      <c r="P10" s="264">
        <f t="shared" si="0"/>
        <v>0.17771084337349397</v>
      </c>
      <c r="Q10" s="264">
        <f t="shared" si="1"/>
        <v>0.17771084337349397</v>
      </c>
      <c r="R10" s="265">
        <v>1</v>
      </c>
      <c r="S10" s="266">
        <v>0.25</v>
      </c>
      <c r="T10" s="266">
        <v>0.5</v>
      </c>
      <c r="U10" s="266">
        <v>0.75</v>
      </c>
      <c r="V10" s="266">
        <v>1</v>
      </c>
      <c r="W10" s="266">
        <v>0.25</v>
      </c>
      <c r="X10" s="329" t="s">
        <v>56</v>
      </c>
      <c r="Y10" s="333" t="s">
        <v>57</v>
      </c>
      <c r="Z10" s="342">
        <v>0</v>
      </c>
      <c r="AA10" s="266">
        <v>0.5</v>
      </c>
      <c r="AB10" s="329" t="s">
        <v>56</v>
      </c>
      <c r="AC10" s="333" t="s">
        <v>57</v>
      </c>
      <c r="AD10" s="306">
        <v>0</v>
      </c>
      <c r="AE10" s="522">
        <v>75</v>
      </c>
      <c r="AF10" s="268" t="s">
        <v>2519</v>
      </c>
      <c r="AG10" s="268" t="s">
        <v>2517</v>
      </c>
      <c r="AH10" s="267"/>
      <c r="AI10" s="268"/>
      <c r="AJ10" s="268"/>
      <c r="AK10" s="269"/>
    </row>
    <row r="11" spans="1:37" ht="69.599999999999994" hidden="1" customHeight="1" outlineLevel="1" x14ac:dyDescent="0.2">
      <c r="A11" s="651"/>
      <c r="B11" s="580"/>
      <c r="C11" s="580"/>
      <c r="D11" s="724"/>
      <c r="E11" s="583"/>
      <c r="F11" s="583"/>
      <c r="G11" s="680"/>
      <c r="H11" s="196" t="s">
        <v>58</v>
      </c>
      <c r="I11" s="730"/>
      <c r="J11" s="246" t="s">
        <v>59</v>
      </c>
      <c r="K11" s="342">
        <v>0</v>
      </c>
      <c r="L11" s="342">
        <v>0</v>
      </c>
      <c r="M11" s="263">
        <v>44593</v>
      </c>
      <c r="N11" s="263">
        <v>44925</v>
      </c>
      <c r="O11" s="263">
        <v>44652</v>
      </c>
      <c r="P11" s="264">
        <f t="shared" si="0"/>
        <v>0.17771084337349397</v>
      </c>
      <c r="Q11" s="264">
        <f t="shared" si="1"/>
        <v>0.17771084337349397</v>
      </c>
      <c r="R11" s="265">
        <v>1</v>
      </c>
      <c r="S11" s="266">
        <v>0.25</v>
      </c>
      <c r="T11" s="266">
        <v>0.5</v>
      </c>
      <c r="U11" s="266">
        <v>0.75</v>
      </c>
      <c r="V11" s="266">
        <v>1</v>
      </c>
      <c r="W11" s="266">
        <v>0.25</v>
      </c>
      <c r="X11" s="329" t="s">
        <v>60</v>
      </c>
      <c r="Y11" s="333" t="s">
        <v>61</v>
      </c>
      <c r="Z11" s="342">
        <v>0</v>
      </c>
      <c r="AA11" s="266">
        <v>0.5</v>
      </c>
      <c r="AB11" s="329" t="s">
        <v>60</v>
      </c>
      <c r="AC11" s="333" t="s">
        <v>61</v>
      </c>
      <c r="AD11" s="306">
        <v>0</v>
      </c>
      <c r="AE11" s="522">
        <v>75</v>
      </c>
      <c r="AF11" s="268" t="s">
        <v>2520</v>
      </c>
      <c r="AG11" s="268" t="s">
        <v>2517</v>
      </c>
      <c r="AH11" s="267"/>
      <c r="AI11" s="268"/>
      <c r="AJ11" s="268"/>
      <c r="AK11" s="269"/>
    </row>
    <row r="12" spans="1:37" ht="69.599999999999994" hidden="1" customHeight="1" outlineLevel="1" x14ac:dyDescent="0.2">
      <c r="A12" s="651"/>
      <c r="B12" s="580"/>
      <c r="C12" s="580"/>
      <c r="D12" s="724"/>
      <c r="E12" s="583"/>
      <c r="F12" s="583"/>
      <c r="G12" s="680"/>
      <c r="H12" s="196" t="s">
        <v>62</v>
      </c>
      <c r="I12" s="730"/>
      <c r="J12" s="246" t="s">
        <v>63</v>
      </c>
      <c r="K12" s="342">
        <v>0</v>
      </c>
      <c r="L12" s="342">
        <v>0</v>
      </c>
      <c r="M12" s="263">
        <v>44593</v>
      </c>
      <c r="N12" s="263">
        <v>44925</v>
      </c>
      <c r="O12" s="263">
        <v>44652</v>
      </c>
      <c r="P12" s="264">
        <f t="shared" si="0"/>
        <v>0.17771084337349397</v>
      </c>
      <c r="Q12" s="264">
        <f t="shared" si="1"/>
        <v>0.17771084337349397</v>
      </c>
      <c r="R12" s="265">
        <v>1</v>
      </c>
      <c r="S12" s="266">
        <v>0.25</v>
      </c>
      <c r="T12" s="266">
        <v>0.5</v>
      </c>
      <c r="U12" s="266">
        <v>0.75</v>
      </c>
      <c r="V12" s="266">
        <v>1</v>
      </c>
      <c r="W12" s="266">
        <v>0</v>
      </c>
      <c r="X12" s="329" t="s">
        <v>64</v>
      </c>
      <c r="Y12" s="331" t="s">
        <v>52</v>
      </c>
      <c r="Z12" s="342">
        <v>0</v>
      </c>
      <c r="AA12" s="266">
        <v>0.5</v>
      </c>
      <c r="AB12" s="329" t="s">
        <v>64</v>
      </c>
      <c r="AC12" s="331" t="s">
        <v>52</v>
      </c>
      <c r="AD12" s="306">
        <v>0</v>
      </c>
      <c r="AE12" s="522">
        <v>75</v>
      </c>
      <c r="AF12" s="268" t="s">
        <v>2521</v>
      </c>
      <c r="AG12" s="268" t="s">
        <v>52</v>
      </c>
      <c r="AH12" s="267"/>
      <c r="AI12" s="268"/>
      <c r="AJ12" s="268"/>
      <c r="AK12" s="269"/>
    </row>
    <row r="13" spans="1:37" ht="87" hidden="1" customHeight="1" outlineLevel="1" x14ac:dyDescent="0.2">
      <c r="A13" s="651"/>
      <c r="B13" s="580"/>
      <c r="C13" s="580"/>
      <c r="D13" s="724"/>
      <c r="E13" s="583"/>
      <c r="F13" s="583"/>
      <c r="G13" s="680"/>
      <c r="H13" s="196" t="s">
        <v>65</v>
      </c>
      <c r="I13" s="730"/>
      <c r="J13" s="246" t="s">
        <v>66</v>
      </c>
      <c r="K13" s="342">
        <v>0</v>
      </c>
      <c r="L13" s="342">
        <v>0</v>
      </c>
      <c r="M13" s="263">
        <v>44593</v>
      </c>
      <c r="N13" s="263">
        <v>44925</v>
      </c>
      <c r="O13" s="263">
        <v>44652</v>
      </c>
      <c r="P13" s="264">
        <f t="shared" si="0"/>
        <v>0.17771084337349397</v>
      </c>
      <c r="Q13" s="264">
        <f t="shared" si="1"/>
        <v>0.17771084337349397</v>
      </c>
      <c r="R13" s="265">
        <v>1</v>
      </c>
      <c r="S13" s="266">
        <v>0.25</v>
      </c>
      <c r="T13" s="266">
        <v>0.5</v>
      </c>
      <c r="U13" s="266">
        <v>0.75</v>
      </c>
      <c r="V13" s="266">
        <v>1</v>
      </c>
      <c r="W13" s="266">
        <v>0.25</v>
      </c>
      <c r="X13" s="329" t="s">
        <v>67</v>
      </c>
      <c r="Y13" s="333" t="s">
        <v>68</v>
      </c>
      <c r="Z13" s="342">
        <v>0</v>
      </c>
      <c r="AA13" s="266">
        <v>0.5</v>
      </c>
      <c r="AB13" s="329" t="s">
        <v>67</v>
      </c>
      <c r="AC13" s="333" t="s">
        <v>68</v>
      </c>
      <c r="AD13" s="306">
        <v>0</v>
      </c>
      <c r="AE13" s="522">
        <v>75</v>
      </c>
      <c r="AF13" s="268" t="s">
        <v>2522</v>
      </c>
      <c r="AG13" s="268" t="s">
        <v>52</v>
      </c>
      <c r="AH13" s="267"/>
      <c r="AI13" s="268"/>
      <c r="AJ13" s="268"/>
      <c r="AK13" s="269"/>
    </row>
    <row r="14" spans="1:37" ht="69.599999999999994" hidden="1" customHeight="1" outlineLevel="1" x14ac:dyDescent="0.2">
      <c r="A14" s="651"/>
      <c r="B14" s="581"/>
      <c r="C14" s="581"/>
      <c r="D14" s="725"/>
      <c r="E14" s="584"/>
      <c r="F14" s="584"/>
      <c r="G14" s="681"/>
      <c r="H14" s="196" t="s">
        <v>69</v>
      </c>
      <c r="I14" s="731"/>
      <c r="J14" s="246" t="s">
        <v>70</v>
      </c>
      <c r="K14" s="342">
        <v>0</v>
      </c>
      <c r="L14" s="342">
        <v>0</v>
      </c>
      <c r="M14" s="263">
        <v>44593</v>
      </c>
      <c r="N14" s="263">
        <v>44925</v>
      </c>
      <c r="O14" s="263">
        <v>44652</v>
      </c>
      <c r="P14" s="264">
        <f t="shared" si="0"/>
        <v>0.17771084337349397</v>
      </c>
      <c r="Q14" s="264">
        <f t="shared" si="1"/>
        <v>0.17771084337349397</v>
      </c>
      <c r="R14" s="265">
        <v>1</v>
      </c>
      <c r="S14" s="266">
        <v>0.25</v>
      </c>
      <c r="T14" s="266">
        <v>0.5</v>
      </c>
      <c r="U14" s="266">
        <v>0.75</v>
      </c>
      <c r="V14" s="266">
        <v>1</v>
      </c>
      <c r="W14" s="266">
        <v>0.25</v>
      </c>
      <c r="X14" s="329" t="s">
        <v>71</v>
      </c>
      <c r="Y14" s="331" t="s">
        <v>52</v>
      </c>
      <c r="Z14" s="342">
        <v>0</v>
      </c>
      <c r="AA14" s="266">
        <v>0.5</v>
      </c>
      <c r="AB14" s="329" t="s">
        <v>71</v>
      </c>
      <c r="AC14" s="331" t="s">
        <v>52</v>
      </c>
      <c r="AD14" s="306">
        <v>0</v>
      </c>
      <c r="AE14" s="522">
        <v>75</v>
      </c>
      <c r="AF14" s="268" t="s">
        <v>2523</v>
      </c>
      <c r="AG14" s="268" t="s">
        <v>2517</v>
      </c>
      <c r="AH14" s="267"/>
      <c r="AI14" s="268"/>
      <c r="AJ14" s="268"/>
      <c r="AK14" s="269"/>
    </row>
    <row r="15" spans="1:37" ht="115.5" hidden="1" customHeight="1" outlineLevel="1" x14ac:dyDescent="0.2">
      <c r="A15" s="651"/>
      <c r="B15" s="580" t="s">
        <v>39</v>
      </c>
      <c r="C15" s="580" t="s">
        <v>72</v>
      </c>
      <c r="D15" s="595" t="s">
        <v>73</v>
      </c>
      <c r="E15" s="591" t="s">
        <v>74</v>
      </c>
      <c r="F15" s="591" t="s">
        <v>75</v>
      </c>
      <c r="G15" s="674" t="s">
        <v>76</v>
      </c>
      <c r="H15" s="196" t="s">
        <v>77</v>
      </c>
      <c r="I15" s="739" t="s">
        <v>78</v>
      </c>
      <c r="J15" s="246" t="s">
        <v>79</v>
      </c>
      <c r="K15" s="302">
        <v>27009430</v>
      </c>
      <c r="L15" s="342">
        <v>0</v>
      </c>
      <c r="M15" s="263">
        <v>44593</v>
      </c>
      <c r="N15" s="263">
        <v>44925</v>
      </c>
      <c r="O15" s="263">
        <v>44652</v>
      </c>
      <c r="P15" s="264">
        <f t="shared" si="0"/>
        <v>0.17771084337349397</v>
      </c>
      <c r="Q15" s="264">
        <f t="shared" si="1"/>
        <v>0.17771084337349397</v>
      </c>
      <c r="R15" s="265">
        <v>1</v>
      </c>
      <c r="S15" s="266">
        <v>0.25</v>
      </c>
      <c r="T15" s="266">
        <v>0.5</v>
      </c>
      <c r="U15" s="266">
        <v>0.75</v>
      </c>
      <c r="V15" s="266">
        <v>1</v>
      </c>
      <c r="W15" s="266">
        <v>0.35</v>
      </c>
      <c r="X15" s="266" t="s">
        <v>80</v>
      </c>
      <c r="Y15" s="331" t="s">
        <v>81</v>
      </c>
      <c r="Z15" s="316">
        <v>27009430</v>
      </c>
      <c r="AA15" s="266">
        <v>0.55000000000000004</v>
      </c>
      <c r="AB15" s="268" t="s">
        <v>82</v>
      </c>
      <c r="AC15" s="268" t="s">
        <v>83</v>
      </c>
      <c r="AD15" s="306">
        <v>0</v>
      </c>
      <c r="AE15" s="522">
        <v>75</v>
      </c>
      <c r="AF15" s="268" t="s">
        <v>2204</v>
      </c>
      <c r="AG15" s="268" t="s">
        <v>2524</v>
      </c>
      <c r="AH15" s="267"/>
      <c r="AI15" s="268"/>
      <c r="AJ15" s="268"/>
      <c r="AK15" s="269"/>
    </row>
    <row r="16" spans="1:37" ht="109.5" hidden="1" customHeight="1" outlineLevel="1" x14ac:dyDescent="0.2">
      <c r="A16" s="651"/>
      <c r="B16" s="580"/>
      <c r="C16" s="580"/>
      <c r="D16" s="595"/>
      <c r="E16" s="591"/>
      <c r="F16" s="591"/>
      <c r="G16" s="629"/>
      <c r="H16" s="196" t="s">
        <v>84</v>
      </c>
      <c r="I16" s="739"/>
      <c r="J16" s="246" t="s">
        <v>85</v>
      </c>
      <c r="K16" s="302"/>
      <c r="L16" s="342">
        <v>0</v>
      </c>
      <c r="M16" s="263">
        <v>44593</v>
      </c>
      <c r="N16" s="263">
        <v>44925</v>
      </c>
      <c r="O16" s="263">
        <v>44652</v>
      </c>
      <c r="P16" s="264">
        <f t="shared" si="0"/>
        <v>0.17771084337349397</v>
      </c>
      <c r="Q16" s="264">
        <f t="shared" si="1"/>
        <v>0.17771084337349397</v>
      </c>
      <c r="R16" s="265">
        <v>1</v>
      </c>
      <c r="S16" s="266">
        <v>0.25</v>
      </c>
      <c r="T16" s="266">
        <v>0.5</v>
      </c>
      <c r="U16" s="266">
        <v>0.75</v>
      </c>
      <c r="V16" s="266">
        <v>1</v>
      </c>
      <c r="W16" s="266">
        <v>0.5</v>
      </c>
      <c r="X16" s="266" t="s">
        <v>86</v>
      </c>
      <c r="Y16" s="331" t="s">
        <v>87</v>
      </c>
      <c r="Z16" s="306">
        <v>0</v>
      </c>
      <c r="AA16" s="266">
        <v>1</v>
      </c>
      <c r="AB16" s="268" t="s">
        <v>88</v>
      </c>
      <c r="AC16" s="268" t="s">
        <v>89</v>
      </c>
      <c r="AD16" s="306">
        <v>0</v>
      </c>
      <c r="AE16" s="331">
        <v>100</v>
      </c>
      <c r="AF16" s="268" t="s">
        <v>2205</v>
      </c>
      <c r="AG16" s="268" t="s">
        <v>2524</v>
      </c>
      <c r="AH16" s="267"/>
      <c r="AI16" s="268"/>
      <c r="AJ16" s="268"/>
      <c r="AK16" s="269"/>
    </row>
    <row r="17" spans="1:38" ht="96" hidden="1" customHeight="1" outlineLevel="1" x14ac:dyDescent="0.2">
      <c r="A17" s="651"/>
      <c r="B17" s="580"/>
      <c r="C17" s="579" t="s">
        <v>90</v>
      </c>
      <c r="D17" s="595"/>
      <c r="E17" s="590" t="s">
        <v>91</v>
      </c>
      <c r="F17" s="590" t="s">
        <v>92</v>
      </c>
      <c r="G17" s="628" t="s">
        <v>44</v>
      </c>
      <c r="H17" s="196" t="s">
        <v>2515</v>
      </c>
      <c r="I17" s="740" t="s">
        <v>93</v>
      </c>
      <c r="J17" s="246" t="s">
        <v>94</v>
      </c>
      <c r="K17" s="302">
        <v>8750000</v>
      </c>
      <c r="L17" s="342">
        <v>0</v>
      </c>
      <c r="M17" s="263">
        <v>44593</v>
      </c>
      <c r="N17" s="263">
        <v>44925</v>
      </c>
      <c r="O17" s="263">
        <v>44652</v>
      </c>
      <c r="P17" s="264">
        <f t="shared" si="0"/>
        <v>0.17771084337349397</v>
      </c>
      <c r="Q17" s="264">
        <f t="shared" si="1"/>
        <v>0.17771084337349397</v>
      </c>
      <c r="R17" s="265">
        <v>1</v>
      </c>
      <c r="S17" s="266">
        <v>0.25</v>
      </c>
      <c r="T17" s="266">
        <v>0.5</v>
      </c>
      <c r="U17" s="266">
        <v>0.75</v>
      </c>
      <c r="V17" s="266">
        <v>1</v>
      </c>
      <c r="W17" s="266">
        <v>0.15</v>
      </c>
      <c r="X17" s="266"/>
      <c r="Y17" s="331" t="s">
        <v>52</v>
      </c>
      <c r="Z17" s="306">
        <v>0</v>
      </c>
      <c r="AA17" s="266">
        <v>0.15</v>
      </c>
      <c r="AB17" s="268" t="s">
        <v>52</v>
      </c>
      <c r="AC17" s="268" t="s">
        <v>52</v>
      </c>
      <c r="AD17" s="302">
        <v>8750000</v>
      </c>
      <c r="AE17" s="522">
        <v>75</v>
      </c>
      <c r="AF17" s="268" t="s">
        <v>2206</v>
      </c>
      <c r="AG17" s="268" t="s">
        <v>2524</v>
      </c>
      <c r="AH17" s="267"/>
      <c r="AI17" s="268"/>
      <c r="AJ17" s="268"/>
      <c r="AK17" s="269"/>
    </row>
    <row r="18" spans="1:38" ht="112.5" hidden="1" customHeight="1" outlineLevel="1" x14ac:dyDescent="0.2">
      <c r="A18" s="651"/>
      <c r="B18" s="580"/>
      <c r="C18" s="580"/>
      <c r="D18" s="595"/>
      <c r="E18" s="591"/>
      <c r="F18" s="591"/>
      <c r="G18" s="674"/>
      <c r="H18" s="196" t="s">
        <v>2498</v>
      </c>
      <c r="I18" s="739"/>
      <c r="J18" s="246" t="s">
        <v>2207</v>
      </c>
      <c r="K18" s="302">
        <v>29000000</v>
      </c>
      <c r="L18" s="306">
        <v>0</v>
      </c>
      <c r="M18" s="263">
        <v>44593</v>
      </c>
      <c r="N18" s="263">
        <v>44925</v>
      </c>
      <c r="O18" s="263">
        <v>44652</v>
      </c>
      <c r="P18" s="264">
        <f t="shared" si="0"/>
        <v>0.17771084337349397</v>
      </c>
      <c r="Q18" s="264">
        <f t="shared" si="1"/>
        <v>0.17771084337349397</v>
      </c>
      <c r="R18" s="265">
        <v>1</v>
      </c>
      <c r="S18" s="266">
        <v>0.25</v>
      </c>
      <c r="T18" s="266">
        <v>0.5</v>
      </c>
      <c r="U18" s="266">
        <v>0.75</v>
      </c>
      <c r="V18" s="266">
        <v>1</v>
      </c>
      <c r="W18" s="266">
        <v>0</v>
      </c>
      <c r="X18" s="266"/>
      <c r="Y18" s="331" t="s">
        <v>52</v>
      </c>
      <c r="Z18" s="306">
        <v>0</v>
      </c>
      <c r="AA18" s="266">
        <v>0</v>
      </c>
      <c r="AB18" s="268" t="s">
        <v>52</v>
      </c>
      <c r="AC18" s="268" t="s">
        <v>52</v>
      </c>
      <c r="AD18" s="306">
        <v>0</v>
      </c>
      <c r="AE18" s="522">
        <v>45</v>
      </c>
      <c r="AF18" s="268" t="s">
        <v>2208</v>
      </c>
      <c r="AG18" s="268" t="s">
        <v>2524</v>
      </c>
      <c r="AH18" s="267"/>
      <c r="AI18" s="268"/>
      <c r="AJ18" s="268"/>
      <c r="AK18" s="269"/>
    </row>
    <row r="19" spans="1:38" ht="60" hidden="1" customHeight="1" outlineLevel="1" x14ac:dyDescent="0.2">
      <c r="A19" s="651"/>
      <c r="B19" s="398" t="s">
        <v>39</v>
      </c>
      <c r="C19" s="579" t="s">
        <v>96</v>
      </c>
      <c r="D19" s="603" t="s">
        <v>97</v>
      </c>
      <c r="E19" s="603" t="s">
        <v>98</v>
      </c>
      <c r="F19" s="603" t="s">
        <v>99</v>
      </c>
      <c r="G19" s="691" t="s">
        <v>44</v>
      </c>
      <c r="H19" s="196" t="s">
        <v>100</v>
      </c>
      <c r="I19" s="767" t="s">
        <v>101</v>
      </c>
      <c r="J19" s="246" t="s">
        <v>102</v>
      </c>
      <c r="K19" s="302">
        <v>24000000</v>
      </c>
      <c r="L19" s="302">
        <v>0</v>
      </c>
      <c r="M19" s="263">
        <v>44593</v>
      </c>
      <c r="N19" s="263">
        <v>44925</v>
      </c>
      <c r="O19" s="263">
        <v>44652</v>
      </c>
      <c r="P19" s="264">
        <f t="shared" si="0"/>
        <v>0.17771084337349397</v>
      </c>
      <c r="Q19" s="264">
        <f t="shared" si="1"/>
        <v>0.17771084337349397</v>
      </c>
      <c r="R19" s="265">
        <v>0.6</v>
      </c>
      <c r="S19" s="266">
        <v>0.45</v>
      </c>
      <c r="T19" s="266">
        <v>0.5</v>
      </c>
      <c r="U19" s="266">
        <v>0.55000000000000004</v>
      </c>
      <c r="V19" s="266">
        <v>0.6</v>
      </c>
      <c r="W19" s="266">
        <v>0.25</v>
      </c>
      <c r="X19" s="266" t="s">
        <v>103</v>
      </c>
      <c r="Y19" s="331" t="s">
        <v>104</v>
      </c>
      <c r="Z19" s="342">
        <v>0</v>
      </c>
      <c r="AA19" s="266">
        <v>0.5</v>
      </c>
      <c r="AB19" s="268" t="s">
        <v>105</v>
      </c>
      <c r="AC19" s="268" t="s">
        <v>106</v>
      </c>
      <c r="AD19" s="306">
        <v>0</v>
      </c>
      <c r="AE19" s="522">
        <v>75</v>
      </c>
      <c r="AF19" s="268" t="s">
        <v>2267</v>
      </c>
      <c r="AG19" s="268" t="s">
        <v>2524</v>
      </c>
      <c r="AH19" s="267"/>
      <c r="AI19" s="268"/>
      <c r="AJ19" s="268"/>
      <c r="AK19" s="269"/>
    </row>
    <row r="20" spans="1:38" ht="131.25" hidden="1" customHeight="1" outlineLevel="1" x14ac:dyDescent="0.2">
      <c r="A20" s="651"/>
      <c r="B20" s="399"/>
      <c r="C20" s="580"/>
      <c r="D20" s="604"/>
      <c r="E20" s="604"/>
      <c r="F20" s="604"/>
      <c r="G20" s="692"/>
      <c r="H20" s="196" t="s">
        <v>107</v>
      </c>
      <c r="I20" s="768"/>
      <c r="J20" s="246" t="s">
        <v>108</v>
      </c>
      <c r="K20" s="342">
        <v>0</v>
      </c>
      <c r="L20" s="302">
        <v>0</v>
      </c>
      <c r="M20" s="263"/>
      <c r="N20" s="263"/>
      <c r="O20" s="263"/>
      <c r="P20" s="264"/>
      <c r="Q20" s="264"/>
      <c r="R20" s="265"/>
      <c r="S20" s="266"/>
      <c r="T20" s="266"/>
      <c r="U20" s="266"/>
      <c r="V20" s="266"/>
      <c r="W20" s="266">
        <v>0.25</v>
      </c>
      <c r="X20" s="266" t="s">
        <v>109</v>
      </c>
      <c r="Y20" s="331" t="s">
        <v>104</v>
      </c>
      <c r="Z20" s="342">
        <v>0</v>
      </c>
      <c r="AA20" s="266">
        <v>0.5</v>
      </c>
      <c r="AB20" s="268" t="s">
        <v>110</v>
      </c>
      <c r="AC20" s="268" t="s">
        <v>106</v>
      </c>
      <c r="AD20" s="306">
        <v>0</v>
      </c>
      <c r="AE20" s="522">
        <v>75</v>
      </c>
      <c r="AF20" s="268" t="s">
        <v>2268</v>
      </c>
      <c r="AG20" s="268" t="s">
        <v>2524</v>
      </c>
      <c r="AH20" s="267"/>
      <c r="AI20" s="268"/>
      <c r="AJ20" s="268"/>
      <c r="AK20" s="269"/>
    </row>
    <row r="21" spans="1:38" ht="131.25" hidden="1" customHeight="1" outlineLevel="1" x14ac:dyDescent="0.2">
      <c r="A21" s="651"/>
      <c r="B21" s="399"/>
      <c r="C21" s="581"/>
      <c r="D21" s="605"/>
      <c r="E21" s="605"/>
      <c r="F21" s="605"/>
      <c r="G21" s="693"/>
      <c r="H21" s="558" t="s">
        <v>111</v>
      </c>
      <c r="I21" s="769"/>
      <c r="J21" s="246" t="s">
        <v>108</v>
      </c>
      <c r="K21" s="342">
        <v>0</v>
      </c>
      <c r="L21" s="302">
        <v>0</v>
      </c>
      <c r="M21" s="263"/>
      <c r="N21" s="263"/>
      <c r="O21" s="263"/>
      <c r="P21" s="264"/>
      <c r="Q21" s="264"/>
      <c r="R21" s="265"/>
      <c r="S21" s="266"/>
      <c r="T21" s="266"/>
      <c r="U21" s="266"/>
      <c r="V21" s="266"/>
      <c r="W21" s="266">
        <v>0.25</v>
      </c>
      <c r="X21" s="266" t="s">
        <v>112</v>
      </c>
      <c r="Y21" s="331" t="s">
        <v>104</v>
      </c>
      <c r="Z21" s="342">
        <v>0</v>
      </c>
      <c r="AA21" s="266">
        <v>0.5</v>
      </c>
      <c r="AB21" s="268" t="s">
        <v>113</v>
      </c>
      <c r="AC21" s="268" t="s">
        <v>106</v>
      </c>
      <c r="AD21" s="306">
        <v>0</v>
      </c>
      <c r="AE21" s="522">
        <v>75</v>
      </c>
      <c r="AF21" s="268" t="s">
        <v>2269</v>
      </c>
      <c r="AG21" s="268" t="s">
        <v>2524</v>
      </c>
      <c r="AH21" s="267"/>
      <c r="AI21" s="268"/>
      <c r="AJ21" s="268"/>
      <c r="AK21" s="269"/>
    </row>
    <row r="22" spans="1:38" ht="93.75" hidden="1" customHeight="1" outlineLevel="1" x14ac:dyDescent="0.2">
      <c r="A22" s="651"/>
      <c r="B22" s="579" t="s">
        <v>39</v>
      </c>
      <c r="C22" s="579" t="s">
        <v>40</v>
      </c>
      <c r="D22" s="742" t="s">
        <v>114</v>
      </c>
      <c r="E22" s="601" t="s">
        <v>42</v>
      </c>
      <c r="F22" s="601" t="s">
        <v>43</v>
      </c>
      <c r="G22" s="602" t="s">
        <v>44</v>
      </c>
      <c r="H22" s="196" t="s">
        <v>115</v>
      </c>
      <c r="I22" s="732" t="s">
        <v>46</v>
      </c>
      <c r="J22" s="246" t="s">
        <v>116</v>
      </c>
      <c r="K22" s="246" t="s">
        <v>117</v>
      </c>
      <c r="L22" s="302">
        <v>0</v>
      </c>
      <c r="M22" s="263">
        <v>44593</v>
      </c>
      <c r="N22" s="263">
        <v>44925</v>
      </c>
      <c r="O22" s="263">
        <v>44652</v>
      </c>
      <c r="P22" s="264">
        <f t="shared" si="0"/>
        <v>0.17771084337349397</v>
      </c>
      <c r="Q22" s="264">
        <f t="shared" si="1"/>
        <v>0.17771084337349397</v>
      </c>
      <c r="R22" s="265">
        <v>1</v>
      </c>
      <c r="S22" s="266">
        <v>0.25</v>
      </c>
      <c r="T22" s="266">
        <v>0.5</v>
      </c>
      <c r="U22" s="266">
        <v>0.75</v>
      </c>
      <c r="V22" s="266">
        <v>1</v>
      </c>
      <c r="W22" s="266">
        <v>0.25</v>
      </c>
      <c r="X22" s="266" t="s">
        <v>118</v>
      </c>
      <c r="Y22" s="331" t="s">
        <v>119</v>
      </c>
      <c r="Z22" s="302">
        <v>0</v>
      </c>
      <c r="AA22" s="462">
        <v>0.5</v>
      </c>
      <c r="AB22" s="268" t="s">
        <v>1918</v>
      </c>
      <c r="AC22" s="453" t="s">
        <v>1919</v>
      </c>
      <c r="AD22" s="306">
        <v>0</v>
      </c>
      <c r="AE22" s="522">
        <v>75</v>
      </c>
      <c r="AF22" s="268" t="s">
        <v>2525</v>
      </c>
      <c r="AG22" s="268" t="s">
        <v>2524</v>
      </c>
      <c r="AH22" s="267"/>
      <c r="AI22" s="268"/>
      <c r="AJ22" s="268"/>
      <c r="AK22" s="269"/>
    </row>
    <row r="23" spans="1:38" ht="161.25" hidden="1" customHeight="1" outlineLevel="1" x14ac:dyDescent="0.2">
      <c r="A23" s="651"/>
      <c r="B23" s="580"/>
      <c r="C23" s="580"/>
      <c r="D23" s="743"/>
      <c r="E23" s="601"/>
      <c r="F23" s="601"/>
      <c r="G23" s="602"/>
      <c r="H23" s="196" t="s">
        <v>120</v>
      </c>
      <c r="I23" s="732"/>
      <c r="J23" s="246" t="s">
        <v>121</v>
      </c>
      <c r="K23" s="246" t="s">
        <v>117</v>
      </c>
      <c r="L23" s="302">
        <v>0</v>
      </c>
      <c r="M23" s="263">
        <v>44593</v>
      </c>
      <c r="N23" s="263">
        <v>44925</v>
      </c>
      <c r="O23" s="263">
        <v>44652</v>
      </c>
      <c r="P23" s="264">
        <f t="shared" si="0"/>
        <v>0.17771084337349397</v>
      </c>
      <c r="Q23" s="264">
        <f t="shared" si="1"/>
        <v>0.17771084337349397</v>
      </c>
      <c r="R23" s="265">
        <v>1</v>
      </c>
      <c r="S23" s="266">
        <v>0.25</v>
      </c>
      <c r="T23" s="266">
        <v>0.5</v>
      </c>
      <c r="U23" s="266">
        <v>0.75</v>
      </c>
      <c r="V23" s="266">
        <v>1</v>
      </c>
      <c r="W23" s="266">
        <v>0.25</v>
      </c>
      <c r="X23" s="266" t="s">
        <v>122</v>
      </c>
      <c r="Y23" s="331" t="s">
        <v>123</v>
      </c>
      <c r="Z23" s="302">
        <v>0</v>
      </c>
      <c r="AA23" s="462">
        <v>0.5</v>
      </c>
      <c r="AB23" s="268" t="s">
        <v>1920</v>
      </c>
      <c r="AC23" s="268" t="s">
        <v>1921</v>
      </c>
      <c r="AD23" s="306">
        <v>0</v>
      </c>
      <c r="AE23" s="522">
        <v>75</v>
      </c>
      <c r="AF23" s="268" t="s">
        <v>2526</v>
      </c>
      <c r="AG23" s="268" t="s">
        <v>2524</v>
      </c>
      <c r="AH23" s="267"/>
      <c r="AI23" s="268"/>
      <c r="AJ23" s="268"/>
      <c r="AK23" s="269"/>
    </row>
    <row r="24" spans="1:38" ht="194.25" hidden="1" customHeight="1" outlineLevel="1" x14ac:dyDescent="0.2">
      <c r="A24" s="651"/>
      <c r="B24" s="580"/>
      <c r="C24" s="580"/>
      <c r="D24" s="743"/>
      <c r="E24" s="601"/>
      <c r="F24" s="601"/>
      <c r="G24" s="602"/>
      <c r="H24" s="196" t="s">
        <v>124</v>
      </c>
      <c r="I24" s="732"/>
      <c r="J24" s="246" t="s">
        <v>125</v>
      </c>
      <c r="K24" s="246" t="s">
        <v>117</v>
      </c>
      <c r="L24" s="302">
        <v>0</v>
      </c>
      <c r="M24" s="263">
        <v>44593</v>
      </c>
      <c r="N24" s="263">
        <v>44925</v>
      </c>
      <c r="O24" s="263">
        <v>44652</v>
      </c>
      <c r="P24" s="264">
        <f t="shared" si="0"/>
        <v>0.17771084337349397</v>
      </c>
      <c r="Q24" s="264">
        <f t="shared" si="1"/>
        <v>0.17771084337349397</v>
      </c>
      <c r="R24" s="265">
        <v>1</v>
      </c>
      <c r="S24" s="266">
        <v>0.25</v>
      </c>
      <c r="T24" s="266">
        <v>0.5</v>
      </c>
      <c r="U24" s="266">
        <v>0.75</v>
      </c>
      <c r="V24" s="266">
        <v>1</v>
      </c>
      <c r="W24" s="266">
        <v>0.25</v>
      </c>
      <c r="X24" s="266" t="s">
        <v>126</v>
      </c>
      <c r="Y24" s="331" t="s">
        <v>127</v>
      </c>
      <c r="Z24" s="302">
        <v>0</v>
      </c>
      <c r="AA24" s="462">
        <v>0.5</v>
      </c>
      <c r="AB24" s="268" t="s">
        <v>1922</v>
      </c>
      <c r="AC24" s="453" t="s">
        <v>1923</v>
      </c>
      <c r="AD24" s="306">
        <v>0</v>
      </c>
      <c r="AE24" s="522">
        <v>75</v>
      </c>
      <c r="AF24" s="268" t="s">
        <v>2527</v>
      </c>
      <c r="AG24" s="268" t="s">
        <v>2524</v>
      </c>
      <c r="AH24" s="267"/>
      <c r="AI24" s="268"/>
      <c r="AJ24" s="268"/>
      <c r="AK24" s="269"/>
    </row>
    <row r="25" spans="1:38" ht="77.25" hidden="1" customHeight="1" outlineLevel="1" x14ac:dyDescent="0.2">
      <c r="A25" s="651"/>
      <c r="B25" s="580"/>
      <c r="C25" s="580"/>
      <c r="D25" s="743"/>
      <c r="E25" s="601"/>
      <c r="F25" s="601"/>
      <c r="G25" s="602"/>
      <c r="H25" s="196" t="s">
        <v>128</v>
      </c>
      <c r="I25" s="732"/>
      <c r="J25" s="246" t="s">
        <v>129</v>
      </c>
      <c r="K25" s="246" t="s">
        <v>117</v>
      </c>
      <c r="L25" s="302">
        <v>0</v>
      </c>
      <c r="M25" s="263">
        <v>44593</v>
      </c>
      <c r="N25" s="263">
        <v>44925</v>
      </c>
      <c r="O25" s="263">
        <v>44652</v>
      </c>
      <c r="P25" s="264">
        <f t="shared" si="0"/>
        <v>0.17771084337349397</v>
      </c>
      <c r="Q25" s="264">
        <f t="shared" si="1"/>
        <v>0.17771084337349397</v>
      </c>
      <c r="R25" s="265">
        <v>1</v>
      </c>
      <c r="S25" s="266">
        <v>0.25</v>
      </c>
      <c r="T25" s="266">
        <v>0.5</v>
      </c>
      <c r="U25" s="266">
        <v>0.75</v>
      </c>
      <c r="V25" s="266">
        <v>1</v>
      </c>
      <c r="W25" s="266">
        <v>0.25</v>
      </c>
      <c r="X25" s="266" t="s">
        <v>130</v>
      </c>
      <c r="Y25" s="331" t="s">
        <v>131</v>
      </c>
      <c r="Z25" s="302">
        <v>0</v>
      </c>
      <c r="AA25" s="462">
        <v>0.66</v>
      </c>
      <c r="AB25" s="268" t="s">
        <v>1924</v>
      </c>
      <c r="AC25" s="453" t="s">
        <v>1925</v>
      </c>
      <c r="AD25" s="306">
        <v>0</v>
      </c>
      <c r="AE25" s="522">
        <v>75</v>
      </c>
      <c r="AF25" s="268" t="s">
        <v>2528</v>
      </c>
      <c r="AG25" s="268" t="s">
        <v>52</v>
      </c>
      <c r="AH25" s="267"/>
      <c r="AI25" s="268"/>
      <c r="AJ25" s="268"/>
      <c r="AK25" s="269"/>
    </row>
    <row r="26" spans="1:38" ht="89.25" hidden="1" customHeight="1" outlineLevel="1" x14ac:dyDescent="0.2">
      <c r="A26" s="651"/>
      <c r="B26" s="581"/>
      <c r="C26" s="581"/>
      <c r="D26" s="744"/>
      <c r="E26" s="601"/>
      <c r="F26" s="601"/>
      <c r="G26" s="602"/>
      <c r="H26" s="196" t="s">
        <v>132</v>
      </c>
      <c r="I26" s="732"/>
      <c r="J26" s="246" t="s">
        <v>133</v>
      </c>
      <c r="K26" s="246" t="s">
        <v>117</v>
      </c>
      <c r="L26" s="302">
        <v>0</v>
      </c>
      <c r="M26" s="263">
        <v>44593</v>
      </c>
      <c r="N26" s="263">
        <v>44925</v>
      </c>
      <c r="O26" s="263">
        <v>44652</v>
      </c>
      <c r="P26" s="264">
        <f t="shared" si="0"/>
        <v>0.17771084337349397</v>
      </c>
      <c r="Q26" s="264">
        <f t="shared" si="1"/>
        <v>0.17771084337349397</v>
      </c>
      <c r="R26" s="265">
        <v>1</v>
      </c>
      <c r="S26" s="266">
        <v>0.25</v>
      </c>
      <c r="T26" s="266">
        <v>0.5</v>
      </c>
      <c r="U26" s="266">
        <v>0.75</v>
      </c>
      <c r="V26" s="266">
        <v>1</v>
      </c>
      <c r="W26" s="266">
        <v>0.25</v>
      </c>
      <c r="X26" s="266" t="s">
        <v>134</v>
      </c>
      <c r="Y26" s="331" t="s">
        <v>52</v>
      </c>
      <c r="Z26" s="302">
        <v>0</v>
      </c>
      <c r="AA26" s="462">
        <v>0.45</v>
      </c>
      <c r="AB26" s="268" t="s">
        <v>1926</v>
      </c>
      <c r="AC26" s="268" t="s">
        <v>1927</v>
      </c>
      <c r="AD26" s="306">
        <v>0</v>
      </c>
      <c r="AE26" s="522">
        <v>75</v>
      </c>
      <c r="AF26" s="268" t="s">
        <v>2529</v>
      </c>
      <c r="AG26" s="268" t="s">
        <v>52</v>
      </c>
      <c r="AH26" s="267"/>
      <c r="AI26" s="268"/>
      <c r="AJ26" s="268"/>
      <c r="AK26" s="270"/>
      <c r="AL26" s="252"/>
    </row>
    <row r="27" spans="1:38" ht="90.75" hidden="1" customHeight="1" outlineLevel="1" x14ac:dyDescent="0.2">
      <c r="A27" s="651"/>
      <c r="B27" s="580" t="s">
        <v>39</v>
      </c>
      <c r="C27" s="580" t="s">
        <v>40</v>
      </c>
      <c r="D27" s="666" t="s">
        <v>135</v>
      </c>
      <c r="E27" s="592" t="s">
        <v>42</v>
      </c>
      <c r="F27" s="592" t="s">
        <v>43</v>
      </c>
      <c r="G27" s="648" t="s">
        <v>136</v>
      </c>
      <c r="H27" s="565" t="s">
        <v>137</v>
      </c>
      <c r="I27" s="648" t="s">
        <v>43</v>
      </c>
      <c r="J27" s="246" t="s">
        <v>138</v>
      </c>
      <c r="K27" s="302">
        <v>32600000</v>
      </c>
      <c r="L27" s="302">
        <v>0</v>
      </c>
      <c r="M27" s="263">
        <v>44593</v>
      </c>
      <c r="N27" s="263">
        <v>44925</v>
      </c>
      <c r="O27" s="263">
        <v>44652</v>
      </c>
      <c r="P27" s="264">
        <f t="shared" si="0"/>
        <v>0.17771084337349397</v>
      </c>
      <c r="Q27" s="264">
        <f t="shared" si="1"/>
        <v>0.17771084337349397</v>
      </c>
      <c r="R27" s="265">
        <v>1</v>
      </c>
      <c r="S27" s="266">
        <v>0.25</v>
      </c>
      <c r="T27" s="266">
        <v>0.5</v>
      </c>
      <c r="U27" s="266">
        <v>0.75</v>
      </c>
      <c r="V27" s="266">
        <v>1</v>
      </c>
      <c r="W27" s="266">
        <v>0.25</v>
      </c>
      <c r="X27" s="266" t="s">
        <v>139</v>
      </c>
      <c r="Y27" s="331" t="s">
        <v>140</v>
      </c>
      <c r="Z27" s="302">
        <v>16000000</v>
      </c>
      <c r="AA27" s="266">
        <v>0.5</v>
      </c>
      <c r="AB27" s="268" t="s">
        <v>1931</v>
      </c>
      <c r="AC27" s="453" t="s">
        <v>1930</v>
      </c>
      <c r="AD27" s="306">
        <v>0</v>
      </c>
      <c r="AE27" s="522">
        <v>75</v>
      </c>
      <c r="AF27" s="268" t="s">
        <v>2530</v>
      </c>
      <c r="AG27" s="268" t="s">
        <v>2524</v>
      </c>
      <c r="AH27" s="267"/>
      <c r="AI27" s="268"/>
      <c r="AJ27" s="268"/>
      <c r="AK27" s="269"/>
    </row>
    <row r="28" spans="1:38" ht="111.75" hidden="1" customHeight="1" outlineLevel="1" x14ac:dyDescent="0.2">
      <c r="A28" s="651"/>
      <c r="B28" s="580"/>
      <c r="C28" s="580"/>
      <c r="D28" s="667"/>
      <c r="E28" s="626"/>
      <c r="F28" s="626"/>
      <c r="G28" s="649"/>
      <c r="H28" s="565" t="s">
        <v>141</v>
      </c>
      <c r="I28" s="649"/>
      <c r="J28" s="246" t="s">
        <v>138</v>
      </c>
      <c r="K28" s="302" t="s">
        <v>52</v>
      </c>
      <c r="L28" s="302">
        <v>0</v>
      </c>
      <c r="M28" s="263">
        <v>44593</v>
      </c>
      <c r="N28" s="263">
        <v>44925</v>
      </c>
      <c r="O28" s="263">
        <v>44652</v>
      </c>
      <c r="P28" s="264">
        <f t="shared" si="0"/>
        <v>0.17771084337349397</v>
      </c>
      <c r="Q28" s="264">
        <f t="shared" si="1"/>
        <v>0.17771084337349397</v>
      </c>
      <c r="R28" s="265">
        <v>1</v>
      </c>
      <c r="S28" s="266">
        <v>0.25</v>
      </c>
      <c r="T28" s="266">
        <v>0.5</v>
      </c>
      <c r="U28" s="266">
        <v>0.75</v>
      </c>
      <c r="V28" s="266">
        <v>1</v>
      </c>
      <c r="W28" s="266">
        <v>0.1</v>
      </c>
      <c r="X28" s="266" t="s">
        <v>142</v>
      </c>
      <c r="Y28" s="331" t="s">
        <v>140</v>
      </c>
      <c r="Z28" s="302">
        <v>0</v>
      </c>
      <c r="AA28" s="266">
        <v>0.5</v>
      </c>
      <c r="AB28" s="268" t="s">
        <v>1929</v>
      </c>
      <c r="AC28" s="453" t="s">
        <v>1928</v>
      </c>
      <c r="AD28" s="306">
        <v>0</v>
      </c>
      <c r="AE28" s="522">
        <v>75</v>
      </c>
      <c r="AF28" s="268" t="s">
        <v>2531</v>
      </c>
      <c r="AG28" s="268" t="s">
        <v>2524</v>
      </c>
      <c r="AH28" s="267"/>
      <c r="AI28" s="268"/>
      <c r="AJ28" s="268"/>
      <c r="AK28" s="269"/>
    </row>
    <row r="29" spans="1:38" ht="144.75" hidden="1" customHeight="1" outlineLevel="1" x14ac:dyDescent="0.2">
      <c r="A29" s="651"/>
      <c r="B29" s="580"/>
      <c r="C29" s="580"/>
      <c r="D29" s="667"/>
      <c r="E29" s="626"/>
      <c r="F29" s="626"/>
      <c r="G29" s="649"/>
      <c r="H29" s="565" t="s">
        <v>143</v>
      </c>
      <c r="I29" s="649"/>
      <c r="J29" s="246" t="s">
        <v>144</v>
      </c>
      <c r="K29" s="246" t="s">
        <v>52</v>
      </c>
      <c r="L29" s="302">
        <v>0</v>
      </c>
      <c r="M29" s="263">
        <v>44593</v>
      </c>
      <c r="N29" s="263">
        <v>44925</v>
      </c>
      <c r="O29" s="263">
        <v>44652</v>
      </c>
      <c r="P29" s="264">
        <f t="shared" si="0"/>
        <v>0.17771084337349397</v>
      </c>
      <c r="Q29" s="264">
        <f t="shared" si="1"/>
        <v>0.17771084337349397</v>
      </c>
      <c r="R29" s="265">
        <v>1</v>
      </c>
      <c r="S29" s="266">
        <v>0.25</v>
      </c>
      <c r="T29" s="266">
        <v>0.5</v>
      </c>
      <c r="U29" s="266">
        <v>0.75</v>
      </c>
      <c r="V29" s="266">
        <v>1</v>
      </c>
      <c r="W29" s="266">
        <v>0.25</v>
      </c>
      <c r="X29" s="266" t="s">
        <v>145</v>
      </c>
      <c r="Y29" s="331" t="s">
        <v>146</v>
      </c>
      <c r="Z29" s="302">
        <v>0</v>
      </c>
      <c r="AA29" s="266">
        <v>0.5</v>
      </c>
      <c r="AB29" s="268" t="s">
        <v>1932</v>
      </c>
      <c r="AC29" s="268" t="s">
        <v>1933</v>
      </c>
      <c r="AD29" s="306">
        <v>0</v>
      </c>
      <c r="AE29" s="522">
        <v>75</v>
      </c>
      <c r="AF29" s="268" t="s">
        <v>2532</v>
      </c>
      <c r="AG29" s="268" t="s">
        <v>2524</v>
      </c>
      <c r="AH29" s="267"/>
      <c r="AI29" s="268"/>
      <c r="AJ29" s="268"/>
      <c r="AK29" s="269"/>
    </row>
    <row r="30" spans="1:38" ht="56.25" hidden="1" customHeight="1" outlineLevel="1" x14ac:dyDescent="0.2">
      <c r="A30" s="651"/>
      <c r="B30" s="580"/>
      <c r="C30" s="580"/>
      <c r="D30" s="667"/>
      <c r="E30" s="626"/>
      <c r="F30" s="626"/>
      <c r="G30" s="649"/>
      <c r="H30" s="565" t="s">
        <v>147</v>
      </c>
      <c r="I30" s="649"/>
      <c r="J30" s="246" t="s">
        <v>148</v>
      </c>
      <c r="K30" s="246" t="s">
        <v>52</v>
      </c>
      <c r="L30" s="302">
        <v>10000000</v>
      </c>
      <c r="M30" s="263">
        <v>44593</v>
      </c>
      <c r="N30" s="263">
        <v>44925</v>
      </c>
      <c r="O30" s="263">
        <v>44652</v>
      </c>
      <c r="P30" s="264">
        <f t="shared" si="0"/>
        <v>0.17771084337349397</v>
      </c>
      <c r="Q30" s="264">
        <f t="shared" si="1"/>
        <v>0.17771084337349397</v>
      </c>
      <c r="R30" s="265">
        <v>1</v>
      </c>
      <c r="S30" s="266">
        <v>0.25</v>
      </c>
      <c r="T30" s="266">
        <v>0.5</v>
      </c>
      <c r="U30" s="266">
        <v>0.75</v>
      </c>
      <c r="V30" s="266">
        <v>1</v>
      </c>
      <c r="W30" s="266">
        <v>0.05</v>
      </c>
      <c r="X30" s="266" t="s">
        <v>1935</v>
      </c>
      <c r="Y30" s="333" t="s">
        <v>149</v>
      </c>
      <c r="Z30" s="302">
        <v>20000000</v>
      </c>
      <c r="AA30" s="266">
        <v>0.3</v>
      </c>
      <c r="AB30" s="266" t="s">
        <v>1934</v>
      </c>
      <c r="AC30" s="268" t="s">
        <v>52</v>
      </c>
      <c r="AD30" s="306">
        <v>0</v>
      </c>
      <c r="AE30" s="522">
        <v>75</v>
      </c>
      <c r="AF30" s="268" t="s">
        <v>2533</v>
      </c>
      <c r="AG30" s="268" t="s">
        <v>2524</v>
      </c>
      <c r="AH30" s="267"/>
      <c r="AI30" s="268"/>
      <c r="AJ30" s="268"/>
      <c r="AK30" s="269"/>
    </row>
    <row r="31" spans="1:38" ht="79.5" hidden="1" customHeight="1" outlineLevel="1" x14ac:dyDescent="0.2">
      <c r="A31" s="651"/>
      <c r="B31" s="580"/>
      <c r="C31" s="580"/>
      <c r="D31" s="667"/>
      <c r="E31" s="626"/>
      <c r="F31" s="626"/>
      <c r="G31" s="649"/>
      <c r="H31" s="565" t="s">
        <v>150</v>
      </c>
      <c r="I31" s="649"/>
      <c r="J31" s="246" t="s">
        <v>151</v>
      </c>
      <c r="K31" s="246" t="s">
        <v>52</v>
      </c>
      <c r="L31" s="302">
        <v>0</v>
      </c>
      <c r="M31" s="263">
        <v>44593</v>
      </c>
      <c r="N31" s="263">
        <v>44925</v>
      </c>
      <c r="O31" s="263">
        <v>44652</v>
      </c>
      <c r="P31" s="264">
        <f t="shared" si="0"/>
        <v>0.17771084337349397</v>
      </c>
      <c r="Q31" s="264">
        <f t="shared" si="1"/>
        <v>0.17771084337349397</v>
      </c>
      <c r="R31" s="265">
        <v>1</v>
      </c>
      <c r="S31" s="266">
        <v>0.25</v>
      </c>
      <c r="T31" s="266">
        <v>0.5</v>
      </c>
      <c r="U31" s="266">
        <v>0.75</v>
      </c>
      <c r="V31" s="266">
        <v>1</v>
      </c>
      <c r="W31" s="266">
        <v>0.25</v>
      </c>
      <c r="X31" s="266" t="s">
        <v>152</v>
      </c>
      <c r="Y31" s="331" t="s">
        <v>153</v>
      </c>
      <c r="Z31" s="302">
        <v>0</v>
      </c>
      <c r="AA31" s="266">
        <v>0.5</v>
      </c>
      <c r="AB31" s="268" t="s">
        <v>1936</v>
      </c>
      <c r="AC31" s="453" t="s">
        <v>1937</v>
      </c>
      <c r="AD31" s="306">
        <v>0</v>
      </c>
      <c r="AE31" s="522">
        <v>75</v>
      </c>
      <c r="AF31" s="268" t="s">
        <v>2534</v>
      </c>
      <c r="AG31" s="268" t="s">
        <v>2524</v>
      </c>
      <c r="AH31" s="267"/>
      <c r="AI31" s="268"/>
      <c r="AJ31" s="268"/>
      <c r="AK31" s="269"/>
    </row>
    <row r="32" spans="1:38" ht="56.25" hidden="1" customHeight="1" outlineLevel="1" x14ac:dyDescent="0.2">
      <c r="A32" s="651"/>
      <c r="B32" s="580"/>
      <c r="C32" s="580"/>
      <c r="D32" s="667"/>
      <c r="E32" s="626"/>
      <c r="F32" s="593"/>
      <c r="G32" s="748"/>
      <c r="H32" s="565" t="s">
        <v>154</v>
      </c>
      <c r="I32" s="748"/>
      <c r="J32" s="246" t="s">
        <v>155</v>
      </c>
      <c r="K32" s="302">
        <v>41800000</v>
      </c>
      <c r="L32" s="302">
        <v>0</v>
      </c>
      <c r="M32" s="263">
        <v>44593</v>
      </c>
      <c r="N32" s="263">
        <v>44925</v>
      </c>
      <c r="O32" s="263">
        <v>44652</v>
      </c>
      <c r="P32" s="264">
        <f t="shared" si="0"/>
        <v>0.17771084337349397</v>
      </c>
      <c r="Q32" s="264">
        <f t="shared" si="1"/>
        <v>0.17771084337349397</v>
      </c>
      <c r="R32" s="265">
        <v>1</v>
      </c>
      <c r="S32" s="266">
        <v>0.25</v>
      </c>
      <c r="T32" s="266">
        <v>0.5</v>
      </c>
      <c r="U32" s="266">
        <v>0.75</v>
      </c>
      <c r="V32" s="266">
        <v>1</v>
      </c>
      <c r="W32" s="266">
        <v>0.25</v>
      </c>
      <c r="X32" s="266" t="s">
        <v>156</v>
      </c>
      <c r="Y32" s="354" t="s">
        <v>157</v>
      </c>
      <c r="Z32" s="302">
        <v>0</v>
      </c>
      <c r="AA32" s="266">
        <v>0.25</v>
      </c>
      <c r="AB32" s="268" t="s">
        <v>1938</v>
      </c>
      <c r="AC32" s="453" t="s">
        <v>1939</v>
      </c>
      <c r="AD32" s="306">
        <v>0</v>
      </c>
      <c r="AE32" s="522">
        <v>75</v>
      </c>
      <c r="AF32" s="268" t="s">
        <v>2535</v>
      </c>
      <c r="AG32" s="268" t="s">
        <v>2524</v>
      </c>
      <c r="AH32" s="267"/>
      <c r="AI32" s="268"/>
      <c r="AJ32" s="268"/>
      <c r="AK32" s="269"/>
    </row>
    <row r="33" spans="1:37" ht="131.25" hidden="1" customHeight="1" outlineLevel="1" x14ac:dyDescent="0.2">
      <c r="A33" s="651"/>
      <c r="B33" s="580"/>
      <c r="C33" s="580"/>
      <c r="D33" s="667"/>
      <c r="E33" s="626"/>
      <c r="F33" s="390" t="s">
        <v>158</v>
      </c>
      <c r="G33" s="236" t="s">
        <v>159</v>
      </c>
      <c r="H33" s="565" t="s">
        <v>160</v>
      </c>
      <c r="I33" s="236" t="s">
        <v>161</v>
      </c>
      <c r="J33" s="246" t="s">
        <v>162</v>
      </c>
      <c r="K33" s="246" t="s">
        <v>52</v>
      </c>
      <c r="L33" s="302">
        <v>0</v>
      </c>
      <c r="M33" s="263">
        <v>44593</v>
      </c>
      <c r="N33" s="263">
        <v>44925</v>
      </c>
      <c r="O33" s="263">
        <v>44652</v>
      </c>
      <c r="P33" s="264">
        <f t="shared" si="0"/>
        <v>0.17771084337349397</v>
      </c>
      <c r="Q33" s="264">
        <f t="shared" si="1"/>
        <v>0.17771084337349397</v>
      </c>
      <c r="R33" s="265">
        <v>0.15</v>
      </c>
      <c r="S33" s="266">
        <v>9.5000000000000001E-2</v>
      </c>
      <c r="T33" s="266">
        <v>0.11</v>
      </c>
      <c r="U33" s="266">
        <v>0.13</v>
      </c>
      <c r="V33" s="266">
        <v>0.15</v>
      </c>
      <c r="W33" s="266">
        <v>0.1</v>
      </c>
      <c r="X33" s="266" t="s">
        <v>163</v>
      </c>
      <c r="Y33" s="331" t="s">
        <v>164</v>
      </c>
      <c r="Z33" s="302">
        <v>0</v>
      </c>
      <c r="AA33" s="266">
        <v>0.1</v>
      </c>
      <c r="AB33" s="268" t="s">
        <v>1940</v>
      </c>
      <c r="AC33" s="268" t="s">
        <v>52</v>
      </c>
      <c r="AD33" s="306">
        <v>0</v>
      </c>
      <c r="AE33" s="522">
        <v>75</v>
      </c>
      <c r="AF33" s="268" t="s">
        <v>1940</v>
      </c>
      <c r="AG33" s="268" t="s">
        <v>2524</v>
      </c>
      <c r="AH33" s="267"/>
      <c r="AI33" s="268"/>
      <c r="AJ33" s="268"/>
      <c r="AK33" s="269"/>
    </row>
    <row r="34" spans="1:37" ht="75" hidden="1" customHeight="1" outlineLevel="1" x14ac:dyDescent="0.2">
      <c r="A34" s="651"/>
      <c r="B34" s="580"/>
      <c r="C34" s="580"/>
      <c r="D34" s="667"/>
      <c r="E34" s="626"/>
      <c r="F34" s="506" t="s">
        <v>165</v>
      </c>
      <c r="G34" s="236" t="s">
        <v>166</v>
      </c>
      <c r="H34" s="565" t="s">
        <v>2134</v>
      </c>
      <c r="I34" s="507" t="s">
        <v>167</v>
      </c>
      <c r="J34" s="246" t="s">
        <v>2135</v>
      </c>
      <c r="K34" s="302">
        <v>200000000</v>
      </c>
      <c r="L34" s="302">
        <v>0</v>
      </c>
      <c r="M34" s="263">
        <v>44593</v>
      </c>
      <c r="N34" s="263">
        <v>44925</v>
      </c>
      <c r="O34" s="263">
        <v>44652</v>
      </c>
      <c r="P34" s="264">
        <f t="shared" si="0"/>
        <v>0.17771084337349397</v>
      </c>
      <c r="Q34" s="264">
        <f t="shared" si="1"/>
        <v>0.17771084337349397</v>
      </c>
      <c r="R34" s="265">
        <v>0.5</v>
      </c>
      <c r="S34" s="266">
        <v>0.2</v>
      </c>
      <c r="T34" s="266">
        <v>0.3</v>
      </c>
      <c r="U34" s="266">
        <v>0.4</v>
      </c>
      <c r="V34" s="266">
        <v>0.5</v>
      </c>
      <c r="W34" s="266">
        <v>0</v>
      </c>
      <c r="X34" s="266" t="s">
        <v>168</v>
      </c>
      <c r="Y34" s="331" t="s">
        <v>52</v>
      </c>
      <c r="Z34" s="302">
        <v>0</v>
      </c>
      <c r="AA34" s="266">
        <v>0</v>
      </c>
      <c r="AB34" s="266" t="s">
        <v>168</v>
      </c>
      <c r="AC34" s="268" t="s">
        <v>52</v>
      </c>
      <c r="AD34" s="306">
        <v>0</v>
      </c>
      <c r="AE34" s="522">
        <v>75</v>
      </c>
      <c r="AF34" s="268" t="s">
        <v>2536</v>
      </c>
      <c r="AG34" s="268" t="s">
        <v>2524</v>
      </c>
      <c r="AH34" s="267"/>
      <c r="AI34" s="268"/>
      <c r="AJ34" s="268"/>
      <c r="AK34" s="269"/>
    </row>
    <row r="35" spans="1:37" ht="32.25" hidden="1" customHeight="1" outlineLevel="1" x14ac:dyDescent="0.2">
      <c r="A35" s="651"/>
      <c r="B35" s="581"/>
      <c r="C35" s="581"/>
      <c r="D35" s="668"/>
      <c r="E35" s="593"/>
      <c r="F35" s="395" t="s">
        <v>43</v>
      </c>
      <c r="G35" s="244" t="s">
        <v>169</v>
      </c>
      <c r="H35" s="565" t="s">
        <v>170</v>
      </c>
      <c r="I35" s="244" t="s">
        <v>46</v>
      </c>
      <c r="J35" s="246" t="s">
        <v>171</v>
      </c>
      <c r="K35" s="246" t="s">
        <v>52</v>
      </c>
      <c r="L35" s="302">
        <v>0</v>
      </c>
      <c r="M35" s="263">
        <v>44593</v>
      </c>
      <c r="N35" s="263">
        <v>44925</v>
      </c>
      <c r="O35" s="263">
        <v>44652</v>
      </c>
      <c r="P35" s="264">
        <f t="shared" si="0"/>
        <v>0.17771084337349397</v>
      </c>
      <c r="Q35" s="264">
        <f t="shared" si="1"/>
        <v>0.17771084337349397</v>
      </c>
      <c r="R35" s="265">
        <v>0.87</v>
      </c>
      <c r="S35" s="266">
        <v>0.87</v>
      </c>
      <c r="T35" s="266">
        <v>0.87</v>
      </c>
      <c r="U35" s="266">
        <v>0.87</v>
      </c>
      <c r="V35" s="266">
        <v>0.87</v>
      </c>
      <c r="W35" s="266">
        <v>0.25</v>
      </c>
      <c r="X35" s="266" t="s">
        <v>1941</v>
      </c>
      <c r="Y35" s="331" t="s">
        <v>153</v>
      </c>
      <c r="Z35" s="302">
        <v>0</v>
      </c>
      <c r="AA35" s="266">
        <v>0.91</v>
      </c>
      <c r="AB35" s="268" t="s">
        <v>2051</v>
      </c>
      <c r="AC35" s="268" t="s">
        <v>1942</v>
      </c>
      <c r="AD35" s="306">
        <v>0</v>
      </c>
      <c r="AE35" s="522">
        <v>95</v>
      </c>
      <c r="AF35" s="268" t="s">
        <v>2532</v>
      </c>
      <c r="AG35" s="268" t="s">
        <v>2524</v>
      </c>
      <c r="AH35" s="267"/>
      <c r="AI35" s="268"/>
      <c r="AJ35" s="268"/>
      <c r="AK35" s="269"/>
    </row>
    <row r="36" spans="1:37" ht="90" hidden="1" customHeight="1" outlineLevel="1" x14ac:dyDescent="0.2">
      <c r="A36" s="651"/>
      <c r="B36" s="579" t="s">
        <v>39</v>
      </c>
      <c r="C36" s="579" t="s">
        <v>40</v>
      </c>
      <c r="D36" s="745" t="s">
        <v>173</v>
      </c>
      <c r="E36" s="657" t="s">
        <v>174</v>
      </c>
      <c r="F36" s="657" t="s">
        <v>175</v>
      </c>
      <c r="G36" s="677" t="s">
        <v>176</v>
      </c>
      <c r="H36" s="565" t="s">
        <v>177</v>
      </c>
      <c r="I36" s="726" t="s">
        <v>178</v>
      </c>
      <c r="J36" s="246" t="s">
        <v>179</v>
      </c>
      <c r="K36" s="302">
        <v>4600000</v>
      </c>
      <c r="L36" s="302">
        <v>0</v>
      </c>
      <c r="M36" s="263">
        <v>44593</v>
      </c>
      <c r="N36" s="263">
        <v>44925</v>
      </c>
      <c r="O36" s="263">
        <v>44652</v>
      </c>
      <c r="P36" s="264">
        <f t="shared" si="0"/>
        <v>0.17771084337349397</v>
      </c>
      <c r="Q36" s="264">
        <f t="shared" si="1"/>
        <v>0.17771084337349397</v>
      </c>
      <c r="R36" s="265">
        <v>1</v>
      </c>
      <c r="S36" s="266">
        <v>0.25</v>
      </c>
      <c r="T36" s="266">
        <v>0.5</v>
      </c>
      <c r="U36" s="266">
        <v>0.75</v>
      </c>
      <c r="V36" s="266">
        <v>1</v>
      </c>
      <c r="W36" s="266">
        <v>0</v>
      </c>
      <c r="X36" s="266" t="s">
        <v>2200</v>
      </c>
      <c r="Y36" s="331" t="s">
        <v>52</v>
      </c>
      <c r="Z36" s="302">
        <v>0</v>
      </c>
      <c r="AA36" s="266">
        <v>0</v>
      </c>
      <c r="AB36" s="266" t="s">
        <v>2200</v>
      </c>
      <c r="AC36" s="268" t="s">
        <v>181</v>
      </c>
      <c r="AD36" s="306">
        <v>0</v>
      </c>
      <c r="AE36" s="522">
        <v>0</v>
      </c>
      <c r="AF36" s="268" t="s">
        <v>2537</v>
      </c>
      <c r="AG36" s="268" t="s">
        <v>2524</v>
      </c>
      <c r="AH36" s="267"/>
      <c r="AI36" s="268"/>
      <c r="AJ36" s="268"/>
      <c r="AK36" s="269"/>
    </row>
    <row r="37" spans="1:37" ht="90" hidden="1" customHeight="1" outlineLevel="1" x14ac:dyDescent="0.2">
      <c r="A37" s="651"/>
      <c r="B37" s="580"/>
      <c r="C37" s="580"/>
      <c r="D37" s="746"/>
      <c r="E37" s="658"/>
      <c r="F37" s="658"/>
      <c r="G37" s="678"/>
      <c r="H37" s="565" t="s">
        <v>182</v>
      </c>
      <c r="I37" s="727"/>
      <c r="J37" s="246" t="s">
        <v>183</v>
      </c>
      <c r="K37" s="302">
        <v>5595000</v>
      </c>
      <c r="L37" s="302">
        <v>0</v>
      </c>
      <c r="M37" s="263"/>
      <c r="N37" s="263"/>
      <c r="O37" s="263"/>
      <c r="P37" s="264"/>
      <c r="Q37" s="264"/>
      <c r="R37" s="265"/>
      <c r="S37" s="266"/>
      <c r="T37" s="266"/>
      <c r="U37" s="266"/>
      <c r="V37" s="266"/>
      <c r="W37" s="266">
        <v>0.25</v>
      </c>
      <c r="X37" s="266" t="s">
        <v>184</v>
      </c>
      <c r="Y37" s="331" t="s">
        <v>185</v>
      </c>
      <c r="Z37" s="302">
        <v>5595000</v>
      </c>
      <c r="AA37" s="266">
        <v>1</v>
      </c>
      <c r="AB37" s="268" t="s">
        <v>186</v>
      </c>
      <c r="AC37" s="268" t="s">
        <v>187</v>
      </c>
      <c r="AD37" s="306">
        <v>0</v>
      </c>
      <c r="AE37" s="522">
        <v>100</v>
      </c>
      <c r="AF37" s="268" t="s">
        <v>2538</v>
      </c>
      <c r="AG37" s="268" t="s">
        <v>2524</v>
      </c>
      <c r="AH37" s="267"/>
      <c r="AI37" s="268"/>
      <c r="AJ37" s="268"/>
      <c r="AK37" s="269"/>
    </row>
    <row r="38" spans="1:37" ht="182.25" hidden="1" customHeight="1" outlineLevel="1" x14ac:dyDescent="0.2">
      <c r="A38" s="651"/>
      <c r="B38" s="580"/>
      <c r="C38" s="580"/>
      <c r="D38" s="746"/>
      <c r="E38" s="658"/>
      <c r="F38" s="658"/>
      <c r="G38" s="678"/>
      <c r="H38" s="565" t="s">
        <v>188</v>
      </c>
      <c r="I38" s="727"/>
      <c r="J38" s="246" t="s">
        <v>189</v>
      </c>
      <c r="K38" s="302">
        <v>3000000</v>
      </c>
      <c r="L38" s="302">
        <v>0</v>
      </c>
      <c r="M38" s="263">
        <v>44593</v>
      </c>
      <c r="N38" s="263">
        <v>44925</v>
      </c>
      <c r="O38" s="263">
        <v>44652</v>
      </c>
      <c r="P38" s="264">
        <f t="shared" si="0"/>
        <v>0.17771084337349397</v>
      </c>
      <c r="Q38" s="264">
        <f t="shared" si="1"/>
        <v>0.17771084337349397</v>
      </c>
      <c r="R38" s="265">
        <v>1</v>
      </c>
      <c r="S38" s="266">
        <v>0.25</v>
      </c>
      <c r="T38" s="266">
        <v>0.5</v>
      </c>
      <c r="U38" s="266">
        <v>0.75</v>
      </c>
      <c r="V38" s="266">
        <v>1</v>
      </c>
      <c r="W38" s="266">
        <v>0.25</v>
      </c>
      <c r="X38" s="266" t="s">
        <v>190</v>
      </c>
      <c r="Y38" s="331" t="s">
        <v>191</v>
      </c>
      <c r="Z38" s="306">
        <v>0</v>
      </c>
      <c r="AA38" s="266">
        <v>0.5</v>
      </c>
      <c r="AB38" s="268" t="s">
        <v>192</v>
      </c>
      <c r="AC38" s="453" t="s">
        <v>193</v>
      </c>
      <c r="AD38" s="306">
        <v>0</v>
      </c>
      <c r="AE38" s="522">
        <v>75</v>
      </c>
      <c r="AF38" s="268" t="s">
        <v>2540</v>
      </c>
      <c r="AG38" s="268" t="s">
        <v>2524</v>
      </c>
      <c r="AH38" s="267"/>
      <c r="AI38" s="268"/>
      <c r="AJ38" s="268"/>
      <c r="AK38" s="269"/>
    </row>
    <row r="39" spans="1:37" ht="94.5" hidden="1" customHeight="1" outlineLevel="1" x14ac:dyDescent="0.2">
      <c r="A39" s="651"/>
      <c r="B39" s="580"/>
      <c r="C39" s="580"/>
      <c r="D39" s="746"/>
      <c r="E39" s="658"/>
      <c r="F39" s="658"/>
      <c r="G39" s="678"/>
      <c r="H39" s="565" t="s">
        <v>194</v>
      </c>
      <c r="I39" s="727"/>
      <c r="J39" s="246" t="s">
        <v>195</v>
      </c>
      <c r="K39" s="302">
        <v>5265000</v>
      </c>
      <c r="L39" s="302">
        <v>0</v>
      </c>
      <c r="M39" s="263"/>
      <c r="N39" s="263"/>
      <c r="O39" s="263"/>
      <c r="P39" s="264"/>
      <c r="Q39" s="264"/>
      <c r="R39" s="265"/>
      <c r="S39" s="266"/>
      <c r="T39" s="266"/>
      <c r="U39" s="266"/>
      <c r="V39" s="266"/>
      <c r="W39" s="266">
        <v>0</v>
      </c>
      <c r="X39" s="266" t="s">
        <v>180</v>
      </c>
      <c r="Y39" s="331" t="s">
        <v>52</v>
      </c>
      <c r="Z39" s="306">
        <v>0</v>
      </c>
      <c r="AA39" s="266">
        <v>0</v>
      </c>
      <c r="AB39" s="266" t="s">
        <v>180</v>
      </c>
      <c r="AC39" s="268" t="s">
        <v>52</v>
      </c>
      <c r="AD39" s="306">
        <v>0</v>
      </c>
      <c r="AE39" s="522">
        <v>30</v>
      </c>
      <c r="AF39" s="268" t="s">
        <v>2539</v>
      </c>
      <c r="AG39" s="268" t="s">
        <v>2524</v>
      </c>
      <c r="AH39" s="267"/>
      <c r="AI39" s="268"/>
      <c r="AJ39" s="268"/>
      <c r="AK39" s="269"/>
    </row>
    <row r="40" spans="1:37" ht="112.5" hidden="1" customHeight="1" outlineLevel="1" x14ac:dyDescent="0.2">
      <c r="A40" s="651"/>
      <c r="B40" s="580"/>
      <c r="C40" s="580"/>
      <c r="D40" s="746"/>
      <c r="E40" s="658"/>
      <c r="F40" s="658"/>
      <c r="G40" s="678"/>
      <c r="H40" s="565" t="s">
        <v>196</v>
      </c>
      <c r="I40" s="727"/>
      <c r="J40" s="246" t="s">
        <v>197</v>
      </c>
      <c r="K40" s="246" t="s">
        <v>52</v>
      </c>
      <c r="L40" s="302">
        <v>0</v>
      </c>
      <c r="M40" s="263">
        <v>44593</v>
      </c>
      <c r="N40" s="263">
        <v>44925</v>
      </c>
      <c r="O40" s="263">
        <v>44652</v>
      </c>
      <c r="P40" s="264">
        <f t="shared" si="0"/>
        <v>0.17771084337349397</v>
      </c>
      <c r="Q40" s="264">
        <f t="shared" si="1"/>
        <v>0.17771084337349397</v>
      </c>
      <c r="R40" s="265">
        <v>1</v>
      </c>
      <c r="S40" s="266">
        <v>0.25</v>
      </c>
      <c r="T40" s="266">
        <v>0.5</v>
      </c>
      <c r="U40" s="266">
        <v>0.75</v>
      </c>
      <c r="V40" s="266">
        <v>1</v>
      </c>
      <c r="W40" s="266">
        <v>0.25</v>
      </c>
      <c r="X40" s="266" t="s">
        <v>198</v>
      </c>
      <c r="Y40" s="331" t="s">
        <v>199</v>
      </c>
      <c r="Z40" s="306">
        <v>0</v>
      </c>
      <c r="AA40" s="266">
        <v>0.25</v>
      </c>
      <c r="AB40" s="266" t="s">
        <v>180</v>
      </c>
      <c r="AC40" s="268" t="s">
        <v>52</v>
      </c>
      <c r="AD40" s="306">
        <v>0</v>
      </c>
      <c r="AE40" s="522">
        <v>45</v>
      </c>
      <c r="AF40" s="268" t="s">
        <v>2201</v>
      </c>
      <c r="AG40" s="268" t="s">
        <v>2524</v>
      </c>
      <c r="AH40" s="267"/>
      <c r="AI40" s="268"/>
      <c r="AJ40" s="268"/>
      <c r="AK40" s="269"/>
    </row>
    <row r="41" spans="1:37" ht="89.25" hidden="1" customHeight="1" outlineLevel="1" x14ac:dyDescent="0.2">
      <c r="A41" s="651"/>
      <c r="B41" s="580"/>
      <c r="C41" s="580"/>
      <c r="D41" s="746"/>
      <c r="E41" s="658"/>
      <c r="F41" s="658"/>
      <c r="G41" s="678"/>
      <c r="H41" s="565" t="s">
        <v>200</v>
      </c>
      <c r="I41" s="727"/>
      <c r="J41" s="246" t="s">
        <v>201</v>
      </c>
      <c r="K41" s="246" t="s">
        <v>52</v>
      </c>
      <c r="L41" s="302">
        <v>0</v>
      </c>
      <c r="M41" s="263">
        <v>44593</v>
      </c>
      <c r="N41" s="263">
        <v>44925</v>
      </c>
      <c r="O41" s="263">
        <v>44652</v>
      </c>
      <c r="P41" s="264">
        <f t="shared" si="0"/>
        <v>0.17771084337349397</v>
      </c>
      <c r="Q41" s="264">
        <f t="shared" si="1"/>
        <v>0.17771084337349397</v>
      </c>
      <c r="R41" s="265">
        <v>1</v>
      </c>
      <c r="S41" s="266">
        <v>0.25</v>
      </c>
      <c r="T41" s="266">
        <v>0.5</v>
      </c>
      <c r="U41" s="266">
        <v>0.75</v>
      </c>
      <c r="V41" s="266">
        <v>1</v>
      </c>
      <c r="W41" s="266">
        <v>0.25</v>
      </c>
      <c r="X41" s="266" t="s">
        <v>202</v>
      </c>
      <c r="Y41" s="331" t="s">
        <v>203</v>
      </c>
      <c r="Z41" s="306">
        <v>0</v>
      </c>
      <c r="AA41" s="266">
        <v>0.7</v>
      </c>
      <c r="AB41" s="268" t="s">
        <v>204</v>
      </c>
      <c r="AC41" s="268" t="s">
        <v>205</v>
      </c>
      <c r="AD41" s="306">
        <v>0</v>
      </c>
      <c r="AE41" s="522">
        <v>75</v>
      </c>
      <c r="AF41" s="268" t="s">
        <v>2202</v>
      </c>
      <c r="AG41" s="268" t="s">
        <v>2524</v>
      </c>
      <c r="AH41" s="267"/>
      <c r="AI41" s="268"/>
      <c r="AJ41" s="268"/>
      <c r="AK41" s="269"/>
    </row>
    <row r="42" spans="1:37" ht="56.25" hidden="1" customHeight="1" outlineLevel="1" x14ac:dyDescent="0.2">
      <c r="A42" s="651"/>
      <c r="B42" s="581"/>
      <c r="C42" s="581"/>
      <c r="D42" s="747"/>
      <c r="E42" s="659"/>
      <c r="F42" s="659"/>
      <c r="G42" s="741"/>
      <c r="H42" s="565" t="s">
        <v>206</v>
      </c>
      <c r="I42" s="728"/>
      <c r="J42" s="246" t="s">
        <v>207</v>
      </c>
      <c r="K42" s="246" t="s">
        <v>52</v>
      </c>
      <c r="L42" s="302">
        <v>0</v>
      </c>
      <c r="M42" s="263">
        <v>44593</v>
      </c>
      <c r="N42" s="263">
        <v>44925</v>
      </c>
      <c r="O42" s="263">
        <v>44652</v>
      </c>
      <c r="P42" s="264">
        <f t="shared" si="0"/>
        <v>0.17771084337349397</v>
      </c>
      <c r="Q42" s="264">
        <f t="shared" si="1"/>
        <v>0.17771084337349397</v>
      </c>
      <c r="R42" s="265">
        <v>1</v>
      </c>
      <c r="S42" s="266">
        <v>0.25</v>
      </c>
      <c r="T42" s="266">
        <v>0.5</v>
      </c>
      <c r="U42" s="266">
        <v>0.75</v>
      </c>
      <c r="V42" s="266">
        <v>1</v>
      </c>
      <c r="W42" s="266">
        <v>0.25</v>
      </c>
      <c r="X42" s="266" t="s">
        <v>208</v>
      </c>
      <c r="Y42" s="333" t="s">
        <v>209</v>
      </c>
      <c r="Z42" s="306">
        <v>0</v>
      </c>
      <c r="AA42" s="266">
        <v>0.5</v>
      </c>
      <c r="AB42" s="268" t="s">
        <v>210</v>
      </c>
      <c r="AC42" s="453" t="s">
        <v>211</v>
      </c>
      <c r="AD42" s="306">
        <v>0</v>
      </c>
      <c r="AE42" s="522">
        <v>75</v>
      </c>
      <c r="AF42" s="268" t="s">
        <v>2203</v>
      </c>
      <c r="AG42" s="268" t="s">
        <v>2524</v>
      </c>
      <c r="AH42" s="267"/>
      <c r="AI42" s="268"/>
      <c r="AJ42" s="268"/>
      <c r="AK42" s="269"/>
    </row>
    <row r="43" spans="1:37" ht="90" hidden="1" customHeight="1" outlineLevel="1" x14ac:dyDescent="0.2">
      <c r="A43" s="651"/>
      <c r="B43" s="579" t="s">
        <v>39</v>
      </c>
      <c r="C43" s="579" t="s">
        <v>40</v>
      </c>
      <c r="D43" s="594" t="s">
        <v>212</v>
      </c>
      <c r="E43" s="594" t="s">
        <v>174</v>
      </c>
      <c r="F43" s="594" t="s">
        <v>175</v>
      </c>
      <c r="G43" s="736" t="s">
        <v>213</v>
      </c>
      <c r="H43" s="565" t="s">
        <v>214</v>
      </c>
      <c r="I43" s="733" t="s">
        <v>178</v>
      </c>
      <c r="J43" s="246" t="s">
        <v>215</v>
      </c>
      <c r="K43" s="303">
        <v>47000000</v>
      </c>
      <c r="L43" s="306">
        <v>0</v>
      </c>
      <c r="M43" s="263">
        <v>44593</v>
      </c>
      <c r="N43" s="263">
        <v>44925</v>
      </c>
      <c r="O43" s="263">
        <v>44652</v>
      </c>
      <c r="P43" s="264">
        <f t="shared" si="0"/>
        <v>0.17771084337349397</v>
      </c>
      <c r="Q43" s="264">
        <f t="shared" si="1"/>
        <v>0.17771084337349397</v>
      </c>
      <c r="R43" s="265">
        <v>1</v>
      </c>
      <c r="S43" s="266">
        <v>0.25</v>
      </c>
      <c r="T43" s="266">
        <v>0.5</v>
      </c>
      <c r="U43" s="266">
        <v>0.75</v>
      </c>
      <c r="V43" s="266">
        <v>1</v>
      </c>
      <c r="W43" s="266">
        <v>0.5</v>
      </c>
      <c r="X43" s="266" t="s">
        <v>216</v>
      </c>
      <c r="Y43" s="331" t="s">
        <v>217</v>
      </c>
      <c r="Z43" s="306">
        <v>0</v>
      </c>
      <c r="AA43" s="462">
        <v>0.8</v>
      </c>
      <c r="AB43" s="268" t="s">
        <v>1943</v>
      </c>
      <c r="AC43" s="268" t="s">
        <v>1951</v>
      </c>
      <c r="AD43" s="306">
        <v>0</v>
      </c>
      <c r="AE43" s="522">
        <v>90</v>
      </c>
      <c r="AF43" s="268" t="s">
        <v>2541</v>
      </c>
      <c r="AG43" s="268" t="s">
        <v>2524</v>
      </c>
      <c r="AH43" s="267"/>
      <c r="AI43" s="268"/>
      <c r="AJ43" s="268"/>
      <c r="AK43" s="269"/>
    </row>
    <row r="44" spans="1:37" ht="56.25" hidden="1" customHeight="1" outlineLevel="1" x14ac:dyDescent="0.2">
      <c r="A44" s="651"/>
      <c r="B44" s="580"/>
      <c r="C44" s="580"/>
      <c r="D44" s="595"/>
      <c r="E44" s="595"/>
      <c r="F44" s="595"/>
      <c r="G44" s="737"/>
      <c r="H44" s="565" t="s">
        <v>218</v>
      </c>
      <c r="I44" s="734"/>
      <c r="J44" s="246" t="s">
        <v>215</v>
      </c>
      <c r="K44" s="256" t="s">
        <v>52</v>
      </c>
      <c r="L44" s="306">
        <v>0</v>
      </c>
      <c r="M44" s="263">
        <v>44593</v>
      </c>
      <c r="N44" s="263">
        <v>44925</v>
      </c>
      <c r="O44" s="263">
        <v>44652</v>
      </c>
      <c r="P44" s="264">
        <f t="shared" si="0"/>
        <v>0.17771084337349397</v>
      </c>
      <c r="Q44" s="264">
        <f t="shared" si="1"/>
        <v>0.17771084337349397</v>
      </c>
      <c r="R44" s="265">
        <v>1</v>
      </c>
      <c r="S44" s="266">
        <v>0.25</v>
      </c>
      <c r="T44" s="266">
        <v>0.5</v>
      </c>
      <c r="U44" s="266">
        <v>0.75</v>
      </c>
      <c r="V44" s="266">
        <v>1</v>
      </c>
      <c r="W44" s="266">
        <v>0</v>
      </c>
      <c r="X44" s="266" t="s">
        <v>219</v>
      </c>
      <c r="Y44" s="331" t="s">
        <v>52</v>
      </c>
      <c r="Z44" s="306">
        <v>0</v>
      </c>
      <c r="AA44" s="462">
        <v>0</v>
      </c>
      <c r="AB44" s="266" t="s">
        <v>1944</v>
      </c>
      <c r="AC44" s="331" t="s">
        <v>52</v>
      </c>
      <c r="AD44" s="306">
        <v>0</v>
      </c>
      <c r="AE44" s="522">
        <v>75</v>
      </c>
      <c r="AF44" s="268" t="s">
        <v>2199</v>
      </c>
      <c r="AG44" s="268" t="s">
        <v>52</v>
      </c>
      <c r="AH44" s="267"/>
      <c r="AI44" s="268"/>
      <c r="AJ44" s="268"/>
      <c r="AK44" s="269"/>
    </row>
    <row r="45" spans="1:37" ht="80.25" hidden="1" customHeight="1" outlineLevel="1" x14ac:dyDescent="0.2">
      <c r="A45" s="651"/>
      <c r="B45" s="580"/>
      <c r="C45" s="580"/>
      <c r="D45" s="595"/>
      <c r="E45" s="595"/>
      <c r="F45" s="595"/>
      <c r="G45" s="737"/>
      <c r="H45" s="565" t="s">
        <v>220</v>
      </c>
      <c r="I45" s="734"/>
      <c r="J45" s="246" t="s">
        <v>221</v>
      </c>
      <c r="K45" s="256" t="s">
        <v>52</v>
      </c>
      <c r="L45" s="306">
        <v>0</v>
      </c>
      <c r="M45" s="263">
        <v>44593</v>
      </c>
      <c r="N45" s="263">
        <v>44925</v>
      </c>
      <c r="O45" s="263">
        <v>44652</v>
      </c>
      <c r="P45" s="264">
        <f t="shared" si="0"/>
        <v>0.17771084337349397</v>
      </c>
      <c r="Q45" s="264">
        <f t="shared" si="1"/>
        <v>0.17771084337349397</v>
      </c>
      <c r="R45" s="265">
        <v>1</v>
      </c>
      <c r="S45" s="266">
        <v>0.25</v>
      </c>
      <c r="T45" s="266">
        <v>0.5</v>
      </c>
      <c r="U45" s="266">
        <v>0.75</v>
      </c>
      <c r="V45" s="266">
        <v>1</v>
      </c>
      <c r="W45" s="266">
        <v>0.15</v>
      </c>
      <c r="X45" s="266" t="s">
        <v>222</v>
      </c>
      <c r="Y45" s="331" t="s">
        <v>223</v>
      </c>
      <c r="Z45" s="306">
        <v>0</v>
      </c>
      <c r="AA45" s="462">
        <v>0.4</v>
      </c>
      <c r="AB45" s="268" t="s">
        <v>1945</v>
      </c>
      <c r="AC45" s="453" t="s">
        <v>1946</v>
      </c>
      <c r="AD45" s="306">
        <v>0</v>
      </c>
      <c r="AE45" s="522">
        <v>75</v>
      </c>
      <c r="AF45" s="268" t="s">
        <v>2542</v>
      </c>
      <c r="AG45" s="268" t="s">
        <v>2524</v>
      </c>
      <c r="AH45" s="267"/>
      <c r="AI45" s="268"/>
      <c r="AJ45" s="268"/>
      <c r="AK45" s="269"/>
    </row>
    <row r="46" spans="1:37" ht="115.5" hidden="1" customHeight="1" outlineLevel="1" x14ac:dyDescent="0.2">
      <c r="A46" s="651"/>
      <c r="B46" s="580"/>
      <c r="C46" s="580"/>
      <c r="D46" s="595"/>
      <c r="E46" s="595"/>
      <c r="F46" s="595"/>
      <c r="G46" s="737"/>
      <c r="H46" s="565" t="s">
        <v>224</v>
      </c>
      <c r="I46" s="734"/>
      <c r="J46" s="246" t="s">
        <v>225</v>
      </c>
      <c r="K46" s="256" t="s">
        <v>52</v>
      </c>
      <c r="L46" s="306">
        <v>0</v>
      </c>
      <c r="M46" s="263">
        <v>44593</v>
      </c>
      <c r="N46" s="263">
        <v>44925</v>
      </c>
      <c r="O46" s="263">
        <v>44652</v>
      </c>
      <c r="P46" s="264">
        <f t="shared" si="0"/>
        <v>0.17771084337349397</v>
      </c>
      <c r="Q46" s="264">
        <f t="shared" si="1"/>
        <v>0.17771084337349397</v>
      </c>
      <c r="R46" s="265">
        <v>1</v>
      </c>
      <c r="S46" s="266">
        <v>0.25</v>
      </c>
      <c r="T46" s="266">
        <v>0.5</v>
      </c>
      <c r="U46" s="266">
        <v>0.75</v>
      </c>
      <c r="V46" s="266">
        <v>1</v>
      </c>
      <c r="W46" s="266">
        <v>0.25</v>
      </c>
      <c r="X46" s="266" t="s">
        <v>226</v>
      </c>
      <c r="Y46" s="331" t="s">
        <v>52</v>
      </c>
      <c r="Z46" s="306">
        <v>0</v>
      </c>
      <c r="AA46" s="462">
        <v>0.85</v>
      </c>
      <c r="AB46" s="268" t="s">
        <v>1947</v>
      </c>
      <c r="AC46" s="268" t="s">
        <v>1952</v>
      </c>
      <c r="AD46" s="306">
        <v>0</v>
      </c>
      <c r="AE46" s="522">
        <v>90</v>
      </c>
      <c r="AF46" s="268" t="s">
        <v>1947</v>
      </c>
      <c r="AG46" s="268" t="s">
        <v>2524</v>
      </c>
      <c r="AH46" s="267"/>
      <c r="AI46" s="268"/>
      <c r="AJ46" s="268"/>
      <c r="AK46" s="269"/>
    </row>
    <row r="47" spans="1:37" ht="151.5" hidden="1" customHeight="1" outlineLevel="1" x14ac:dyDescent="0.2">
      <c r="A47" s="651"/>
      <c r="B47" s="580"/>
      <c r="C47" s="580"/>
      <c r="D47" s="595"/>
      <c r="E47" s="595"/>
      <c r="F47" s="595"/>
      <c r="G47" s="737"/>
      <c r="H47" s="565" t="s">
        <v>227</v>
      </c>
      <c r="I47" s="734"/>
      <c r="J47" s="263" t="s">
        <v>228</v>
      </c>
      <c r="K47" s="256" t="s">
        <v>52</v>
      </c>
      <c r="L47" s="306">
        <v>0</v>
      </c>
      <c r="M47" s="263">
        <v>44593</v>
      </c>
      <c r="N47" s="263">
        <v>44925</v>
      </c>
      <c r="O47" s="263">
        <v>44652</v>
      </c>
      <c r="P47" s="264">
        <f t="shared" si="0"/>
        <v>0.17771084337349397</v>
      </c>
      <c r="Q47" s="264">
        <f t="shared" si="1"/>
        <v>0.17771084337349397</v>
      </c>
      <c r="R47" s="265">
        <v>1</v>
      </c>
      <c r="S47" s="266">
        <v>0.25</v>
      </c>
      <c r="T47" s="266">
        <v>0.5</v>
      </c>
      <c r="U47" s="266">
        <v>0.75</v>
      </c>
      <c r="V47" s="266">
        <v>1</v>
      </c>
      <c r="W47" s="266">
        <v>0.5</v>
      </c>
      <c r="X47" s="266" t="s">
        <v>229</v>
      </c>
      <c r="Y47" s="331" t="s">
        <v>52</v>
      </c>
      <c r="Z47" s="306">
        <v>0</v>
      </c>
      <c r="AA47" s="462">
        <v>0.75</v>
      </c>
      <c r="AB47" s="463" t="s">
        <v>1948</v>
      </c>
      <c r="AC47" s="463" t="s">
        <v>1953</v>
      </c>
      <c r="AD47" s="306">
        <v>0</v>
      </c>
      <c r="AE47" s="522">
        <v>100</v>
      </c>
      <c r="AF47" s="268" t="s">
        <v>2543</v>
      </c>
      <c r="AG47" s="268" t="s">
        <v>2524</v>
      </c>
      <c r="AH47" s="267"/>
      <c r="AI47" s="268"/>
      <c r="AJ47" s="268"/>
      <c r="AK47" s="269"/>
    </row>
    <row r="48" spans="1:37" ht="75" hidden="1" customHeight="1" outlineLevel="1" x14ac:dyDescent="0.2">
      <c r="A48" s="651"/>
      <c r="B48" s="580"/>
      <c r="C48" s="580"/>
      <c r="D48" s="595"/>
      <c r="E48" s="595"/>
      <c r="F48" s="595"/>
      <c r="G48" s="738"/>
      <c r="H48" s="565" t="s">
        <v>230</v>
      </c>
      <c r="I48" s="735"/>
      <c r="J48" s="263" t="s">
        <v>231</v>
      </c>
      <c r="K48" s="256" t="s">
        <v>52</v>
      </c>
      <c r="L48" s="306">
        <v>0</v>
      </c>
      <c r="M48" s="263">
        <v>44593</v>
      </c>
      <c r="N48" s="263">
        <v>44925</v>
      </c>
      <c r="O48" s="263">
        <v>44652</v>
      </c>
      <c r="P48" s="264">
        <f t="shared" si="0"/>
        <v>0.17771084337349397</v>
      </c>
      <c r="Q48" s="264">
        <f t="shared" si="1"/>
        <v>0.17771084337349397</v>
      </c>
      <c r="R48" s="265">
        <v>1</v>
      </c>
      <c r="S48" s="266">
        <v>0.25</v>
      </c>
      <c r="T48" s="266">
        <v>0.5</v>
      </c>
      <c r="U48" s="266">
        <v>0.75</v>
      </c>
      <c r="V48" s="266">
        <v>1</v>
      </c>
      <c r="W48" s="266">
        <v>0.5</v>
      </c>
      <c r="X48" s="266" t="s">
        <v>232</v>
      </c>
      <c r="Y48" s="331" t="s">
        <v>52</v>
      </c>
      <c r="Z48" s="306">
        <v>0</v>
      </c>
      <c r="AA48" s="462">
        <v>0.9</v>
      </c>
      <c r="AB48" s="268" t="s">
        <v>1949</v>
      </c>
      <c r="AC48" s="268" t="s">
        <v>1954</v>
      </c>
      <c r="AD48" s="306">
        <v>0</v>
      </c>
      <c r="AE48" s="522">
        <v>95</v>
      </c>
      <c r="AF48" s="268" t="s">
        <v>2544</v>
      </c>
      <c r="AG48" s="268" t="s">
        <v>2524</v>
      </c>
      <c r="AH48" s="267"/>
      <c r="AI48" s="268"/>
      <c r="AJ48" s="268"/>
      <c r="AK48" s="269"/>
    </row>
    <row r="49" spans="1:37" ht="123.75" hidden="1" customHeight="1" outlineLevel="1" x14ac:dyDescent="0.2">
      <c r="A49" s="651"/>
      <c r="B49" s="581"/>
      <c r="C49" s="581"/>
      <c r="D49" s="595"/>
      <c r="E49" s="627"/>
      <c r="F49" s="627"/>
      <c r="G49" s="4" t="s">
        <v>233</v>
      </c>
      <c r="H49" s="570" t="s">
        <v>234</v>
      </c>
      <c r="I49" s="237" t="s">
        <v>178</v>
      </c>
      <c r="J49" s="263" t="s">
        <v>235</v>
      </c>
      <c r="K49" s="256" t="s">
        <v>52</v>
      </c>
      <c r="L49" s="306">
        <v>0</v>
      </c>
      <c r="M49" s="263">
        <v>44593</v>
      </c>
      <c r="N49" s="263">
        <v>44925</v>
      </c>
      <c r="O49" s="263">
        <v>44652</v>
      </c>
      <c r="P49" s="264">
        <f t="shared" si="0"/>
        <v>0.17771084337349397</v>
      </c>
      <c r="Q49" s="264">
        <f t="shared" si="1"/>
        <v>0.17771084337349397</v>
      </c>
      <c r="R49" s="265">
        <v>0.7</v>
      </c>
      <c r="S49" s="266">
        <v>0.55000000000000004</v>
      </c>
      <c r="T49" s="266">
        <v>0.6</v>
      </c>
      <c r="U49" s="266">
        <v>0.65</v>
      </c>
      <c r="V49" s="266">
        <v>0.7</v>
      </c>
      <c r="W49" s="266">
        <v>0.25</v>
      </c>
      <c r="X49" s="335" t="s">
        <v>236</v>
      </c>
      <c r="Y49" s="331" t="s">
        <v>237</v>
      </c>
      <c r="Z49" s="306">
        <v>0</v>
      </c>
      <c r="AA49" s="462">
        <v>0.4</v>
      </c>
      <c r="AB49" s="463" t="s">
        <v>1950</v>
      </c>
      <c r="AC49" s="268" t="s">
        <v>1955</v>
      </c>
      <c r="AD49" s="306">
        <v>0</v>
      </c>
      <c r="AE49" s="522">
        <v>60</v>
      </c>
      <c r="AF49" s="268" t="s">
        <v>2545</v>
      </c>
      <c r="AG49" s="268" t="s">
        <v>2524</v>
      </c>
      <c r="AH49" s="267"/>
      <c r="AI49" s="268"/>
      <c r="AJ49" s="268"/>
      <c r="AK49" s="269"/>
    </row>
    <row r="50" spans="1:37" ht="163.5" hidden="1" customHeight="1" outlineLevel="1" x14ac:dyDescent="0.2">
      <c r="A50" s="651"/>
      <c r="B50" s="620" t="s">
        <v>39</v>
      </c>
      <c r="C50" s="620" t="s">
        <v>238</v>
      </c>
      <c r="D50" s="633" t="s">
        <v>239</v>
      </c>
      <c r="E50" s="614" t="s">
        <v>240</v>
      </c>
      <c r="F50" s="614" t="s">
        <v>241</v>
      </c>
      <c r="G50" s="729"/>
      <c r="H50" s="565" t="s">
        <v>242</v>
      </c>
      <c r="I50" s="764" t="s">
        <v>178</v>
      </c>
      <c r="J50" s="246" t="s">
        <v>243</v>
      </c>
      <c r="K50" s="256" t="s">
        <v>52</v>
      </c>
      <c r="L50" s="306">
        <v>0</v>
      </c>
      <c r="M50" s="263">
        <v>44593</v>
      </c>
      <c r="N50" s="263">
        <v>44925</v>
      </c>
      <c r="O50" s="263">
        <v>44652</v>
      </c>
      <c r="P50" s="264">
        <f t="shared" si="0"/>
        <v>0.17771084337349397</v>
      </c>
      <c r="Q50" s="264">
        <f t="shared" si="1"/>
        <v>0.17771084337349397</v>
      </c>
      <c r="R50" s="265">
        <v>1</v>
      </c>
      <c r="S50" s="266">
        <v>0.25</v>
      </c>
      <c r="T50" s="266">
        <v>0.5</v>
      </c>
      <c r="U50" s="266">
        <v>0.75</v>
      </c>
      <c r="V50" s="266">
        <v>1</v>
      </c>
      <c r="W50" s="266">
        <v>0.8</v>
      </c>
      <c r="X50" s="266" t="s">
        <v>244</v>
      </c>
      <c r="Y50" s="331" t="s">
        <v>245</v>
      </c>
      <c r="Z50" s="306">
        <v>0</v>
      </c>
      <c r="AA50" s="266">
        <v>0.85</v>
      </c>
      <c r="AB50" s="268" t="s">
        <v>1956</v>
      </c>
      <c r="AC50" s="268" t="s">
        <v>245</v>
      </c>
      <c r="AD50" s="306">
        <v>0</v>
      </c>
      <c r="AE50" s="522">
        <v>100</v>
      </c>
      <c r="AF50" s="268" t="s">
        <v>2158</v>
      </c>
      <c r="AG50" s="268" t="s">
        <v>2524</v>
      </c>
      <c r="AH50" s="267"/>
      <c r="AI50" s="268"/>
      <c r="AJ50" s="268"/>
      <c r="AK50" s="269"/>
    </row>
    <row r="51" spans="1:37" ht="126" hidden="1" customHeight="1" outlineLevel="1" x14ac:dyDescent="0.2">
      <c r="A51" s="651"/>
      <c r="B51" s="621"/>
      <c r="C51" s="621"/>
      <c r="D51" s="634"/>
      <c r="E51" s="615"/>
      <c r="F51" s="615"/>
      <c r="G51" s="730"/>
      <c r="H51" s="565" t="s">
        <v>246</v>
      </c>
      <c r="I51" s="765"/>
      <c r="J51" s="464" t="s">
        <v>247</v>
      </c>
      <c r="K51" s="256" t="s">
        <v>52</v>
      </c>
      <c r="L51" s="306">
        <v>0</v>
      </c>
      <c r="M51" s="263">
        <v>44593</v>
      </c>
      <c r="N51" s="263">
        <v>44925</v>
      </c>
      <c r="O51" s="263">
        <v>44652</v>
      </c>
      <c r="P51" s="264">
        <f t="shared" si="0"/>
        <v>0.17771084337349397</v>
      </c>
      <c r="Q51" s="264">
        <f t="shared" si="1"/>
        <v>0.17771084337349397</v>
      </c>
      <c r="R51" s="265">
        <v>1</v>
      </c>
      <c r="S51" s="266">
        <v>0.25</v>
      </c>
      <c r="T51" s="266">
        <v>0.5</v>
      </c>
      <c r="U51" s="266">
        <v>0.75</v>
      </c>
      <c r="V51" s="266">
        <v>1</v>
      </c>
      <c r="W51" s="266">
        <v>0.13</v>
      </c>
      <c r="X51" s="266" t="s">
        <v>248</v>
      </c>
      <c r="Y51" s="331" t="s">
        <v>249</v>
      </c>
      <c r="Z51" s="306">
        <v>0</v>
      </c>
      <c r="AA51" s="266">
        <v>0.4</v>
      </c>
      <c r="AB51" s="268" t="s">
        <v>1957</v>
      </c>
      <c r="AC51" s="268" t="s">
        <v>52</v>
      </c>
      <c r="AD51" s="306">
        <v>0</v>
      </c>
      <c r="AE51" s="522">
        <v>63</v>
      </c>
      <c r="AF51" s="268" t="s">
        <v>2160</v>
      </c>
      <c r="AG51" s="268" t="s">
        <v>2524</v>
      </c>
      <c r="AH51" s="267"/>
      <c r="AI51" s="268"/>
      <c r="AJ51" s="268"/>
      <c r="AK51" s="269"/>
    </row>
    <row r="52" spans="1:37" ht="56.25" hidden="1" customHeight="1" outlineLevel="1" x14ac:dyDescent="0.2">
      <c r="A52" s="651"/>
      <c r="B52" s="621"/>
      <c r="C52" s="621"/>
      <c r="D52" s="634"/>
      <c r="E52" s="615"/>
      <c r="F52" s="615"/>
      <c r="G52" s="730"/>
      <c r="H52" s="565" t="s">
        <v>250</v>
      </c>
      <c r="I52" s="765"/>
      <c r="J52" s="246" t="s">
        <v>243</v>
      </c>
      <c r="K52" s="256" t="s">
        <v>52</v>
      </c>
      <c r="L52" s="306">
        <v>0</v>
      </c>
      <c r="M52" s="263">
        <v>44593</v>
      </c>
      <c r="N52" s="263">
        <v>44925</v>
      </c>
      <c r="O52" s="263">
        <v>44652</v>
      </c>
      <c r="P52" s="264">
        <f t="shared" si="0"/>
        <v>0.17771084337349397</v>
      </c>
      <c r="Q52" s="264">
        <f t="shared" si="1"/>
        <v>0.17771084337349397</v>
      </c>
      <c r="R52" s="265">
        <v>1</v>
      </c>
      <c r="S52" s="266">
        <v>0.25</v>
      </c>
      <c r="T52" s="266">
        <v>0.5</v>
      </c>
      <c r="U52" s="266">
        <v>0.75</v>
      </c>
      <c r="V52" s="266">
        <v>1</v>
      </c>
      <c r="W52" s="266">
        <v>0</v>
      </c>
      <c r="X52" s="266" t="s">
        <v>251</v>
      </c>
      <c r="Y52" s="331" t="s">
        <v>52</v>
      </c>
      <c r="Z52" s="306">
        <v>0</v>
      </c>
      <c r="AA52" s="462">
        <v>0</v>
      </c>
      <c r="AB52" s="268" t="s">
        <v>1958</v>
      </c>
      <c r="AC52" s="268" t="s">
        <v>52</v>
      </c>
      <c r="AD52" s="306">
        <v>0</v>
      </c>
      <c r="AE52" s="522">
        <v>25</v>
      </c>
      <c r="AF52" s="268" t="s">
        <v>2161</v>
      </c>
      <c r="AG52" s="268" t="s">
        <v>2524</v>
      </c>
      <c r="AH52" s="267"/>
      <c r="AI52" s="268"/>
      <c r="AJ52" s="268"/>
      <c r="AK52" s="269"/>
    </row>
    <row r="53" spans="1:37" ht="56.25" hidden="1" customHeight="1" outlineLevel="1" x14ac:dyDescent="0.2">
      <c r="A53" s="651"/>
      <c r="B53" s="621"/>
      <c r="C53" s="621"/>
      <c r="D53" s="634"/>
      <c r="E53" s="615"/>
      <c r="F53" s="615"/>
      <c r="G53" s="730"/>
      <c r="H53" s="565" t="s">
        <v>252</v>
      </c>
      <c r="I53" s="765"/>
      <c r="J53" s="246" t="s">
        <v>243</v>
      </c>
      <c r="K53" s="256" t="s">
        <v>52</v>
      </c>
      <c r="L53" s="306">
        <v>0</v>
      </c>
      <c r="M53" s="263">
        <v>44593</v>
      </c>
      <c r="N53" s="263">
        <v>44925</v>
      </c>
      <c r="O53" s="263">
        <v>44652</v>
      </c>
      <c r="P53" s="264">
        <f t="shared" si="0"/>
        <v>0.17771084337349397</v>
      </c>
      <c r="Q53" s="264">
        <f t="shared" si="1"/>
        <v>0.17771084337349397</v>
      </c>
      <c r="R53" s="265">
        <v>1</v>
      </c>
      <c r="S53" s="266">
        <v>0.25</v>
      </c>
      <c r="T53" s="266">
        <v>0.5</v>
      </c>
      <c r="U53" s="266">
        <v>0.75</v>
      </c>
      <c r="V53" s="266">
        <v>1</v>
      </c>
      <c r="W53" s="266">
        <v>0.8</v>
      </c>
      <c r="X53" s="266" t="s">
        <v>253</v>
      </c>
      <c r="Y53" s="331" t="s">
        <v>254</v>
      </c>
      <c r="Z53" s="306">
        <v>0</v>
      </c>
      <c r="AA53" s="462">
        <v>0.8</v>
      </c>
      <c r="AB53" s="268" t="s">
        <v>1959</v>
      </c>
      <c r="AC53" s="268" t="s">
        <v>52</v>
      </c>
      <c r="AD53" s="306">
        <v>0</v>
      </c>
      <c r="AE53" s="522">
        <v>88</v>
      </c>
      <c r="AF53" s="268" t="s">
        <v>2162</v>
      </c>
      <c r="AG53" s="268" t="s">
        <v>2524</v>
      </c>
      <c r="AH53" s="267"/>
      <c r="AI53" s="268"/>
      <c r="AJ53" s="268"/>
      <c r="AK53" s="269"/>
    </row>
    <row r="54" spans="1:37" ht="56.25" hidden="1" customHeight="1" outlineLevel="1" x14ac:dyDescent="0.2">
      <c r="A54" s="651"/>
      <c r="B54" s="621"/>
      <c r="C54" s="621"/>
      <c r="D54" s="634"/>
      <c r="E54" s="615"/>
      <c r="F54" s="615"/>
      <c r="G54" s="730"/>
      <c r="H54" s="565" t="s">
        <v>2113</v>
      </c>
      <c r="I54" s="765"/>
      <c r="J54" s="246"/>
      <c r="K54" s="256"/>
      <c r="L54" s="306"/>
      <c r="M54" s="263"/>
      <c r="N54" s="263"/>
      <c r="O54" s="263"/>
      <c r="P54" s="264"/>
      <c r="Q54" s="264"/>
      <c r="R54" s="265"/>
      <c r="S54" s="266"/>
      <c r="T54" s="266"/>
      <c r="U54" s="266"/>
      <c r="V54" s="266"/>
      <c r="W54" s="266">
        <v>0.05</v>
      </c>
      <c r="X54" s="266" t="s">
        <v>52</v>
      </c>
      <c r="Y54" s="331" t="s">
        <v>52</v>
      </c>
      <c r="Z54" s="306">
        <v>0</v>
      </c>
      <c r="AA54" s="266">
        <v>0.12</v>
      </c>
      <c r="AB54" s="266" t="s">
        <v>52</v>
      </c>
      <c r="AC54" s="268" t="s">
        <v>52</v>
      </c>
      <c r="AD54" s="306">
        <v>0</v>
      </c>
      <c r="AE54" s="522">
        <v>12</v>
      </c>
      <c r="AF54" s="268" t="s">
        <v>2163</v>
      </c>
      <c r="AG54" s="268" t="s">
        <v>2524</v>
      </c>
      <c r="AH54" s="267"/>
      <c r="AI54" s="268"/>
      <c r="AJ54" s="268"/>
      <c r="AK54" s="269"/>
    </row>
    <row r="55" spans="1:37" ht="56.25" hidden="1" customHeight="1" outlineLevel="1" x14ac:dyDescent="0.2">
      <c r="A55" s="651"/>
      <c r="B55" s="621"/>
      <c r="C55" s="621"/>
      <c r="D55" s="634"/>
      <c r="E55" s="615"/>
      <c r="F55" s="615"/>
      <c r="G55" s="730"/>
      <c r="H55" s="565" t="s">
        <v>2155</v>
      </c>
      <c r="I55" s="766"/>
      <c r="J55" s="464" t="s">
        <v>255</v>
      </c>
      <c r="K55" s="256" t="s">
        <v>117</v>
      </c>
      <c r="L55" s="306">
        <v>0</v>
      </c>
      <c r="M55" s="263"/>
      <c r="N55" s="263"/>
      <c r="O55" s="263"/>
      <c r="P55" s="264"/>
      <c r="Q55" s="264"/>
      <c r="R55" s="265"/>
      <c r="S55" s="266"/>
      <c r="T55" s="266"/>
      <c r="U55" s="266"/>
      <c r="V55" s="266"/>
      <c r="W55" s="266">
        <v>0</v>
      </c>
      <c r="X55" s="266" t="s">
        <v>52</v>
      </c>
      <c r="Y55" s="331" t="s">
        <v>52</v>
      </c>
      <c r="Z55" s="306">
        <v>0</v>
      </c>
      <c r="AA55" s="266">
        <v>0</v>
      </c>
      <c r="AB55" s="266" t="s">
        <v>52</v>
      </c>
      <c r="AC55" s="268" t="s">
        <v>52</v>
      </c>
      <c r="AD55" s="306">
        <v>0</v>
      </c>
      <c r="AE55" s="522">
        <v>75</v>
      </c>
      <c r="AF55" s="268" t="s">
        <v>2168</v>
      </c>
      <c r="AG55" s="268" t="s">
        <v>2524</v>
      </c>
      <c r="AH55" s="267"/>
      <c r="AI55" s="268"/>
      <c r="AJ55" s="268"/>
      <c r="AK55" s="269"/>
    </row>
    <row r="56" spans="1:37" ht="131.25" hidden="1" customHeight="1" outlineLevel="1" x14ac:dyDescent="0.2">
      <c r="A56" s="651"/>
      <c r="B56" s="622"/>
      <c r="C56" s="622"/>
      <c r="D56" s="634"/>
      <c r="E56" s="616"/>
      <c r="F56" s="616"/>
      <c r="G56" s="730"/>
      <c r="H56" s="565" t="s">
        <v>2156</v>
      </c>
      <c r="I56" s="458"/>
      <c r="J56" s="9" t="s">
        <v>278</v>
      </c>
      <c r="K56" s="302">
        <v>190556437.5</v>
      </c>
      <c r="L56" s="306">
        <v>0</v>
      </c>
      <c r="M56" s="263">
        <v>44593</v>
      </c>
      <c r="N56" s="263">
        <v>44925</v>
      </c>
      <c r="O56" s="263">
        <v>44652</v>
      </c>
      <c r="P56" s="264">
        <f>+(+_xlfn.DAYS(M56,O56))/(+_xlfn.DAYS(M56,N56))</f>
        <v>0.17771084337349397</v>
      </c>
      <c r="Q56" s="264">
        <f>+IF(P56&gt;=100,100,IF(P56&lt;=0,0,P56))</f>
        <v>0.17771084337349397</v>
      </c>
      <c r="R56" s="265">
        <v>1</v>
      </c>
      <c r="S56" s="266">
        <v>0.25</v>
      </c>
      <c r="T56" s="266">
        <v>0.5</v>
      </c>
      <c r="U56" s="266">
        <v>0.75</v>
      </c>
      <c r="V56" s="266">
        <v>1</v>
      </c>
      <c r="W56" s="266">
        <v>0.25</v>
      </c>
      <c r="X56" s="266" t="s">
        <v>279</v>
      </c>
      <c r="Y56" s="331" t="s">
        <v>280</v>
      </c>
      <c r="Z56" s="306">
        <v>85000000</v>
      </c>
      <c r="AA56" s="266">
        <v>0.47</v>
      </c>
      <c r="AB56" s="268" t="s">
        <v>2157</v>
      </c>
      <c r="AC56" s="268" t="s">
        <v>1414</v>
      </c>
      <c r="AD56" s="306">
        <v>0</v>
      </c>
      <c r="AE56" s="522">
        <v>50</v>
      </c>
      <c r="AF56" s="268" t="s">
        <v>2157</v>
      </c>
      <c r="AG56" s="268" t="s">
        <v>2524</v>
      </c>
      <c r="AH56" s="267"/>
      <c r="AI56" s="268"/>
      <c r="AJ56" s="268"/>
      <c r="AK56" s="269"/>
    </row>
    <row r="57" spans="1:37" ht="104.25" hidden="1" customHeight="1" outlineLevel="1" x14ac:dyDescent="0.2">
      <c r="A57" s="651"/>
      <c r="B57" s="648" t="s">
        <v>256</v>
      </c>
      <c r="C57" s="648" t="s">
        <v>257</v>
      </c>
      <c r="D57" s="634"/>
      <c r="E57" s="608" t="s">
        <v>258</v>
      </c>
      <c r="F57" s="608" t="s">
        <v>259</v>
      </c>
      <c r="G57" s="730"/>
      <c r="H57" s="565" t="s">
        <v>260</v>
      </c>
      <c r="I57" s="599" t="s">
        <v>261</v>
      </c>
      <c r="J57" s="246" t="s">
        <v>243</v>
      </c>
      <c r="K57" s="256" t="s">
        <v>52</v>
      </c>
      <c r="L57" s="306">
        <v>0</v>
      </c>
      <c r="M57" s="263">
        <v>44593</v>
      </c>
      <c r="N57" s="263">
        <v>44925</v>
      </c>
      <c r="O57" s="263">
        <v>44652</v>
      </c>
      <c r="P57" s="264">
        <f t="shared" si="0"/>
        <v>0.17771084337349397</v>
      </c>
      <c r="Q57" s="264">
        <f t="shared" si="1"/>
        <v>0.17771084337349397</v>
      </c>
      <c r="R57" s="265">
        <v>1</v>
      </c>
      <c r="S57" s="266">
        <v>0.25</v>
      </c>
      <c r="T57" s="266">
        <v>0.5</v>
      </c>
      <c r="U57" s="266">
        <v>0.75</v>
      </c>
      <c r="V57" s="266">
        <v>1</v>
      </c>
      <c r="W57" s="266">
        <v>0.95</v>
      </c>
      <c r="X57" s="266" t="s">
        <v>262</v>
      </c>
      <c r="Y57" s="331" t="s">
        <v>263</v>
      </c>
      <c r="Z57" s="306">
        <v>0</v>
      </c>
      <c r="AA57" s="462">
        <v>0.99</v>
      </c>
      <c r="AB57" s="268" t="s">
        <v>1960</v>
      </c>
      <c r="AC57" s="268" t="s">
        <v>1965</v>
      </c>
      <c r="AD57" s="306">
        <v>0</v>
      </c>
      <c r="AE57" s="522">
        <v>100</v>
      </c>
      <c r="AF57" s="268" t="s">
        <v>2164</v>
      </c>
      <c r="AG57" s="268" t="s">
        <v>2524</v>
      </c>
      <c r="AH57" s="267"/>
      <c r="AI57" s="268"/>
      <c r="AJ57" s="268"/>
      <c r="AK57" s="269"/>
    </row>
    <row r="58" spans="1:37" ht="135" hidden="1" customHeight="1" outlineLevel="1" x14ac:dyDescent="0.2">
      <c r="A58" s="651"/>
      <c r="B58" s="649"/>
      <c r="C58" s="649"/>
      <c r="D58" s="634"/>
      <c r="E58" s="609"/>
      <c r="F58" s="609"/>
      <c r="G58" s="730"/>
      <c r="H58" s="565" t="s">
        <v>264</v>
      </c>
      <c r="I58" s="600"/>
      <c r="J58" s="246" t="s">
        <v>243</v>
      </c>
      <c r="K58" s="256" t="s">
        <v>52</v>
      </c>
      <c r="L58" s="306">
        <v>0</v>
      </c>
      <c r="M58" s="263">
        <v>44593</v>
      </c>
      <c r="N58" s="263">
        <v>44925</v>
      </c>
      <c r="O58" s="263">
        <v>44652</v>
      </c>
      <c r="P58" s="264">
        <f t="shared" si="0"/>
        <v>0.17771084337349397</v>
      </c>
      <c r="Q58" s="264">
        <f t="shared" si="1"/>
        <v>0.17771084337349397</v>
      </c>
      <c r="R58" s="265">
        <v>1</v>
      </c>
      <c r="S58" s="266">
        <v>0.25</v>
      </c>
      <c r="T58" s="266">
        <v>0.5</v>
      </c>
      <c r="U58" s="266">
        <v>0.75</v>
      </c>
      <c r="V58" s="266">
        <v>1</v>
      </c>
      <c r="W58" s="266">
        <v>0.8</v>
      </c>
      <c r="X58" s="266" t="s">
        <v>265</v>
      </c>
      <c r="Y58" s="331" t="s">
        <v>266</v>
      </c>
      <c r="Z58" s="306">
        <v>0</v>
      </c>
      <c r="AA58" s="462">
        <v>0.9</v>
      </c>
      <c r="AB58" s="268" t="s">
        <v>1961</v>
      </c>
      <c r="AC58" s="268" t="s">
        <v>52</v>
      </c>
      <c r="AD58" s="306">
        <v>0</v>
      </c>
      <c r="AE58" s="522">
        <v>90</v>
      </c>
      <c r="AF58" s="268" t="s">
        <v>2165</v>
      </c>
      <c r="AG58" s="268" t="s">
        <v>2524</v>
      </c>
      <c r="AH58" s="267"/>
      <c r="AI58" s="268"/>
      <c r="AJ58" s="268"/>
      <c r="AK58" s="269"/>
    </row>
    <row r="59" spans="1:37" ht="206.25" hidden="1" customHeight="1" outlineLevel="1" x14ac:dyDescent="0.2">
      <c r="A59" s="651"/>
      <c r="B59" s="649"/>
      <c r="C59" s="649"/>
      <c r="D59" s="634"/>
      <c r="E59" s="609"/>
      <c r="F59" s="613"/>
      <c r="G59" s="730"/>
      <c r="H59" s="565" t="s">
        <v>267</v>
      </c>
      <c r="I59" s="600"/>
      <c r="J59" s="246" t="s">
        <v>243</v>
      </c>
      <c r="K59" s="256" t="s">
        <v>52</v>
      </c>
      <c r="L59" s="306">
        <v>0</v>
      </c>
      <c r="M59" s="263">
        <v>44593</v>
      </c>
      <c r="N59" s="263">
        <v>44925</v>
      </c>
      <c r="O59" s="263">
        <v>44652</v>
      </c>
      <c r="P59" s="264">
        <f t="shared" si="0"/>
        <v>0.17771084337349397</v>
      </c>
      <c r="Q59" s="264">
        <f t="shared" si="1"/>
        <v>0.17771084337349397</v>
      </c>
      <c r="R59" s="265">
        <v>1</v>
      </c>
      <c r="S59" s="266">
        <v>0.25</v>
      </c>
      <c r="T59" s="266">
        <v>0.5</v>
      </c>
      <c r="U59" s="266">
        <v>0.75</v>
      </c>
      <c r="V59" s="266">
        <v>1</v>
      </c>
      <c r="W59" s="266">
        <v>0.8</v>
      </c>
      <c r="X59" s="266" t="s">
        <v>268</v>
      </c>
      <c r="Y59" s="331" t="s">
        <v>52</v>
      </c>
      <c r="Z59" s="306">
        <v>0</v>
      </c>
      <c r="AA59" s="462">
        <v>0.82</v>
      </c>
      <c r="AB59" s="268" t="s">
        <v>1962</v>
      </c>
      <c r="AC59" s="268" t="s">
        <v>52</v>
      </c>
      <c r="AD59" s="306">
        <v>0</v>
      </c>
      <c r="AE59" s="522">
        <v>100</v>
      </c>
      <c r="AF59" s="268" t="s">
        <v>2166</v>
      </c>
      <c r="AG59" s="268" t="s">
        <v>2524</v>
      </c>
      <c r="AH59" s="267"/>
      <c r="AI59" s="268"/>
      <c r="AJ59" s="268"/>
      <c r="AK59" s="269"/>
    </row>
    <row r="60" spans="1:37" ht="142.5" hidden="1" customHeight="1" outlineLevel="1" x14ac:dyDescent="0.2">
      <c r="A60" s="651"/>
      <c r="B60" s="511" t="s">
        <v>270</v>
      </c>
      <c r="C60" s="511" t="s">
        <v>271</v>
      </c>
      <c r="D60" s="634"/>
      <c r="E60" s="512" t="s">
        <v>272</v>
      </c>
      <c r="F60" s="297" t="s">
        <v>273</v>
      </c>
      <c r="G60" s="730"/>
      <c r="H60" s="565" t="s">
        <v>274</v>
      </c>
      <c r="I60" s="510" t="s">
        <v>275</v>
      </c>
      <c r="J60" s="246" t="s">
        <v>243</v>
      </c>
      <c r="K60" s="256" t="s">
        <v>52</v>
      </c>
      <c r="L60" s="306">
        <v>0</v>
      </c>
      <c r="M60" s="263">
        <v>44593</v>
      </c>
      <c r="N60" s="263">
        <v>44925</v>
      </c>
      <c r="O60" s="263">
        <v>44652</v>
      </c>
      <c r="P60" s="264">
        <f t="shared" si="0"/>
        <v>0.17771084337349397</v>
      </c>
      <c r="Q60" s="264">
        <f t="shared" si="1"/>
        <v>0.17771084337349397</v>
      </c>
      <c r="R60" s="265">
        <v>1</v>
      </c>
      <c r="S60" s="266">
        <v>0.25</v>
      </c>
      <c r="T60" s="266">
        <v>0.5</v>
      </c>
      <c r="U60" s="266">
        <v>0.75</v>
      </c>
      <c r="V60" s="266">
        <v>1</v>
      </c>
      <c r="W60" s="266">
        <v>1</v>
      </c>
      <c r="X60" s="266" t="s">
        <v>276</v>
      </c>
      <c r="Y60" s="331" t="s">
        <v>277</v>
      </c>
      <c r="Z60" s="306">
        <v>0</v>
      </c>
      <c r="AA60" s="266">
        <v>1</v>
      </c>
      <c r="AB60" s="268" t="s">
        <v>1963</v>
      </c>
      <c r="AC60" s="268" t="s">
        <v>1964</v>
      </c>
      <c r="AD60" s="306">
        <v>0</v>
      </c>
      <c r="AE60" s="522">
        <v>100</v>
      </c>
      <c r="AF60" s="268" t="s">
        <v>2167</v>
      </c>
      <c r="AG60" s="268" t="s">
        <v>2524</v>
      </c>
      <c r="AH60" s="267"/>
      <c r="AI60" s="268"/>
      <c r="AJ60" s="268"/>
      <c r="AK60" s="269"/>
    </row>
    <row r="61" spans="1:37" ht="148.5" hidden="1" customHeight="1" outlineLevel="1" x14ac:dyDescent="0.2">
      <c r="A61" s="651"/>
      <c r="B61" s="579" t="s">
        <v>270</v>
      </c>
      <c r="C61" s="579" t="s">
        <v>281</v>
      </c>
      <c r="D61" s="617" t="s">
        <v>282</v>
      </c>
      <c r="E61" s="623" t="s">
        <v>283</v>
      </c>
      <c r="F61" s="623" t="s">
        <v>284</v>
      </c>
      <c r="G61" s="195" t="s">
        <v>285</v>
      </c>
      <c r="H61" s="196" t="s">
        <v>286</v>
      </c>
      <c r="I61" s="688" t="s">
        <v>287</v>
      </c>
      <c r="J61" s="256" t="s">
        <v>288</v>
      </c>
      <c r="K61" s="302">
        <v>12543214</v>
      </c>
      <c r="L61" s="306">
        <v>0</v>
      </c>
      <c r="M61" s="263">
        <v>44593</v>
      </c>
      <c r="N61" s="263">
        <v>44925</v>
      </c>
      <c r="O61" s="263">
        <v>44652</v>
      </c>
      <c r="P61" s="264">
        <f t="shared" si="0"/>
        <v>0.17771084337349397</v>
      </c>
      <c r="Q61" s="264">
        <f t="shared" si="1"/>
        <v>0.17771084337349397</v>
      </c>
      <c r="R61" s="265">
        <v>0.8</v>
      </c>
      <c r="S61" s="266">
        <v>0.72</v>
      </c>
      <c r="T61" s="266">
        <v>0.74</v>
      </c>
      <c r="U61" s="266">
        <v>0.76</v>
      </c>
      <c r="V61" s="266">
        <v>0.8</v>
      </c>
      <c r="W61" s="266">
        <v>0.35</v>
      </c>
      <c r="X61" s="266" t="s">
        <v>289</v>
      </c>
      <c r="Y61" s="331" t="s">
        <v>249</v>
      </c>
      <c r="Z61" s="306">
        <v>0</v>
      </c>
      <c r="AA61" s="266">
        <v>0.35</v>
      </c>
      <c r="AB61" s="268" t="s">
        <v>290</v>
      </c>
      <c r="AC61" s="268" t="s">
        <v>52</v>
      </c>
      <c r="AD61" s="306">
        <v>0</v>
      </c>
      <c r="AE61" s="522">
        <v>100</v>
      </c>
      <c r="AF61" s="268" t="s">
        <v>2546</v>
      </c>
      <c r="AG61" s="268" t="s">
        <v>2524</v>
      </c>
      <c r="AH61" s="267"/>
      <c r="AI61" s="268"/>
      <c r="AJ61" s="268"/>
      <c r="AK61" s="269"/>
    </row>
    <row r="62" spans="1:37" ht="93.6" hidden="1" customHeight="1" outlineLevel="1" x14ac:dyDescent="0.2">
      <c r="A62" s="651"/>
      <c r="B62" s="580"/>
      <c r="C62" s="580"/>
      <c r="D62" s="618"/>
      <c r="E62" s="624"/>
      <c r="F62" s="624"/>
      <c r="G62" s="195" t="s">
        <v>291</v>
      </c>
      <c r="H62" s="571" t="s">
        <v>292</v>
      </c>
      <c r="I62" s="694"/>
      <c r="J62" s="256" t="s">
        <v>293</v>
      </c>
      <c r="K62" s="303">
        <v>5000000</v>
      </c>
      <c r="L62" s="306">
        <v>0</v>
      </c>
      <c r="M62" s="263">
        <v>44593</v>
      </c>
      <c r="N62" s="263">
        <v>44925</v>
      </c>
      <c r="O62" s="263">
        <v>44652</v>
      </c>
      <c r="P62" s="264">
        <f t="shared" si="0"/>
        <v>0.17771084337349397</v>
      </c>
      <c r="Q62" s="264">
        <f t="shared" si="1"/>
        <v>0.17771084337349397</v>
      </c>
      <c r="R62" s="265">
        <v>1</v>
      </c>
      <c r="S62" s="266">
        <v>0.25</v>
      </c>
      <c r="T62" s="266">
        <v>0.5</v>
      </c>
      <c r="U62" s="266">
        <v>0.75</v>
      </c>
      <c r="V62" s="266">
        <v>1</v>
      </c>
      <c r="W62" s="266">
        <v>0</v>
      </c>
      <c r="X62" s="266" t="s">
        <v>294</v>
      </c>
      <c r="Y62" s="256" t="s">
        <v>52</v>
      </c>
      <c r="Z62" s="306">
        <v>0</v>
      </c>
      <c r="AA62" s="266">
        <v>0.15</v>
      </c>
      <c r="AB62" s="268" t="s">
        <v>2137</v>
      </c>
      <c r="AC62" s="268" t="s">
        <v>52</v>
      </c>
      <c r="AD62" s="306">
        <v>0</v>
      </c>
      <c r="AE62" s="522">
        <v>15</v>
      </c>
      <c r="AF62" s="268" t="s">
        <v>2547</v>
      </c>
      <c r="AG62" s="268" t="s">
        <v>52</v>
      </c>
      <c r="AH62" s="267"/>
      <c r="AI62" s="268"/>
      <c r="AJ62" s="268"/>
      <c r="AK62" s="269"/>
    </row>
    <row r="63" spans="1:37" ht="70.150000000000006" hidden="1" customHeight="1" outlineLevel="1" x14ac:dyDescent="0.2">
      <c r="A63" s="651"/>
      <c r="B63" s="580"/>
      <c r="C63" s="580"/>
      <c r="D63" s="618"/>
      <c r="E63" s="624"/>
      <c r="F63" s="624"/>
      <c r="G63" s="195" t="s">
        <v>295</v>
      </c>
      <c r="H63" s="196" t="s">
        <v>296</v>
      </c>
      <c r="I63" s="694"/>
      <c r="J63" s="256" t="s">
        <v>297</v>
      </c>
      <c r="K63" s="256" t="s">
        <v>52</v>
      </c>
      <c r="L63" s="306">
        <v>0</v>
      </c>
      <c r="M63" s="263">
        <v>44593</v>
      </c>
      <c r="N63" s="263">
        <v>44925</v>
      </c>
      <c r="O63" s="263">
        <v>44652</v>
      </c>
      <c r="P63" s="264">
        <f t="shared" si="0"/>
        <v>0.17771084337349397</v>
      </c>
      <c r="Q63" s="264">
        <f t="shared" si="1"/>
        <v>0.17771084337349397</v>
      </c>
      <c r="R63" s="265">
        <v>1</v>
      </c>
      <c r="S63" s="266">
        <v>0.25</v>
      </c>
      <c r="T63" s="266">
        <v>0.5</v>
      </c>
      <c r="U63" s="266">
        <v>0.75</v>
      </c>
      <c r="V63" s="266">
        <v>1</v>
      </c>
      <c r="W63" s="266">
        <v>0</v>
      </c>
      <c r="X63" s="266" t="s">
        <v>294</v>
      </c>
      <c r="Y63" s="256" t="s">
        <v>52</v>
      </c>
      <c r="Z63" s="306">
        <v>0</v>
      </c>
      <c r="AA63" s="266">
        <v>0</v>
      </c>
      <c r="AB63" s="266" t="s">
        <v>294</v>
      </c>
      <c r="AC63" s="268" t="s">
        <v>52</v>
      </c>
      <c r="AD63" s="306">
        <v>0</v>
      </c>
      <c r="AE63" s="522">
        <v>0</v>
      </c>
      <c r="AF63" s="268" t="s">
        <v>2548</v>
      </c>
      <c r="AG63" s="268" t="s">
        <v>52</v>
      </c>
      <c r="AH63" s="267"/>
      <c r="AI63" s="268"/>
      <c r="AJ63" s="268"/>
      <c r="AK63" s="269"/>
    </row>
    <row r="64" spans="1:37" ht="70.150000000000006" hidden="1" customHeight="1" outlineLevel="1" x14ac:dyDescent="0.2">
      <c r="A64" s="651"/>
      <c r="B64" s="580"/>
      <c r="C64" s="580"/>
      <c r="D64" s="618"/>
      <c r="E64" s="624"/>
      <c r="F64" s="624"/>
      <c r="G64" s="711" t="s">
        <v>299</v>
      </c>
      <c r="H64" s="196" t="s">
        <v>300</v>
      </c>
      <c r="I64" s="694"/>
      <c r="J64" s="256" t="s">
        <v>301</v>
      </c>
      <c r="K64" s="303">
        <v>33000000</v>
      </c>
      <c r="L64" s="306">
        <v>0</v>
      </c>
      <c r="M64" s="263">
        <v>44593</v>
      </c>
      <c r="N64" s="263">
        <v>44925</v>
      </c>
      <c r="O64" s="263">
        <v>44652</v>
      </c>
      <c r="P64" s="264">
        <f t="shared" si="0"/>
        <v>0.17771084337349397</v>
      </c>
      <c r="Q64" s="264">
        <f t="shared" si="1"/>
        <v>0.17771084337349397</v>
      </c>
      <c r="R64" s="265">
        <v>1</v>
      </c>
      <c r="S64" s="266">
        <v>0.25</v>
      </c>
      <c r="T64" s="266">
        <v>0.5</v>
      </c>
      <c r="U64" s="266">
        <v>0.75</v>
      </c>
      <c r="V64" s="266">
        <v>1</v>
      </c>
      <c r="W64" s="266">
        <v>0.25</v>
      </c>
      <c r="X64" s="266" t="s">
        <v>302</v>
      </c>
      <c r="Y64" s="331" t="s">
        <v>303</v>
      </c>
      <c r="Z64" s="306">
        <v>0</v>
      </c>
      <c r="AA64" s="266">
        <v>0.5</v>
      </c>
      <c r="AB64" s="266" t="s">
        <v>302</v>
      </c>
      <c r="AC64" s="268" t="s">
        <v>1966</v>
      </c>
      <c r="AD64" s="268">
        <v>26700000</v>
      </c>
      <c r="AE64" s="522">
        <v>75</v>
      </c>
      <c r="AF64" s="268" t="s">
        <v>2549</v>
      </c>
      <c r="AG64" s="268" t="s">
        <v>2524</v>
      </c>
      <c r="AH64" s="267"/>
      <c r="AI64" s="268"/>
      <c r="AJ64" s="268"/>
      <c r="AK64" s="269"/>
    </row>
    <row r="65" spans="1:37" ht="70.150000000000006" hidden="1" customHeight="1" outlineLevel="1" x14ac:dyDescent="0.2">
      <c r="A65" s="651"/>
      <c r="B65" s="580"/>
      <c r="C65" s="580"/>
      <c r="D65" s="618"/>
      <c r="E65" s="624"/>
      <c r="F65" s="624"/>
      <c r="G65" s="712"/>
      <c r="H65" s="196" t="s">
        <v>2136</v>
      </c>
      <c r="I65" s="694"/>
      <c r="J65" s="256" t="s">
        <v>301</v>
      </c>
      <c r="K65" s="303">
        <f>1800000*11</f>
        <v>19800000</v>
      </c>
      <c r="L65" s="306">
        <v>0</v>
      </c>
      <c r="M65" s="263">
        <v>44593</v>
      </c>
      <c r="N65" s="263">
        <v>44925</v>
      </c>
      <c r="O65" s="263">
        <v>44652</v>
      </c>
      <c r="P65" s="264">
        <f t="shared" si="0"/>
        <v>0.17771084337349397</v>
      </c>
      <c r="Q65" s="264">
        <f t="shared" si="1"/>
        <v>0.17771084337349397</v>
      </c>
      <c r="R65" s="265">
        <v>1</v>
      </c>
      <c r="S65" s="266">
        <v>0.25</v>
      </c>
      <c r="T65" s="266">
        <v>0.5</v>
      </c>
      <c r="U65" s="266">
        <v>0.75</v>
      </c>
      <c r="V65" s="266">
        <v>1</v>
      </c>
      <c r="W65" s="266">
        <v>0</v>
      </c>
      <c r="X65" s="266" t="s">
        <v>304</v>
      </c>
      <c r="Y65" s="256" t="s">
        <v>52</v>
      </c>
      <c r="Z65" s="306">
        <v>0</v>
      </c>
      <c r="AA65" s="266">
        <v>0.5</v>
      </c>
      <c r="AB65" s="268" t="s">
        <v>305</v>
      </c>
      <c r="AC65" s="268" t="s">
        <v>52</v>
      </c>
      <c r="AD65" s="306">
        <v>0</v>
      </c>
      <c r="AE65" s="522">
        <v>75</v>
      </c>
      <c r="AF65" s="268" t="s">
        <v>2550</v>
      </c>
      <c r="AG65" s="268" t="s">
        <v>2524</v>
      </c>
      <c r="AH65" s="267"/>
      <c r="AI65" s="268"/>
      <c r="AJ65" s="268"/>
      <c r="AK65" s="269"/>
    </row>
    <row r="66" spans="1:37" ht="99" hidden="1" customHeight="1" outlineLevel="1" x14ac:dyDescent="0.2">
      <c r="A66" s="651"/>
      <c r="B66" s="580"/>
      <c r="C66" s="580"/>
      <c r="D66" s="618"/>
      <c r="E66" s="624"/>
      <c r="F66" s="624"/>
      <c r="G66" s="553" t="s">
        <v>306</v>
      </c>
      <c r="H66" s="196" t="s">
        <v>307</v>
      </c>
      <c r="I66" s="694"/>
      <c r="J66" s="256" t="s">
        <v>308</v>
      </c>
      <c r="K66" s="256" t="s">
        <v>117</v>
      </c>
      <c r="L66" s="306">
        <v>0</v>
      </c>
      <c r="M66" s="263">
        <v>44593</v>
      </c>
      <c r="N66" s="263">
        <v>44925</v>
      </c>
      <c r="O66" s="263">
        <v>44652</v>
      </c>
      <c r="P66" s="264">
        <f t="shared" si="0"/>
        <v>0.17771084337349397</v>
      </c>
      <c r="Q66" s="264">
        <f t="shared" si="1"/>
        <v>0.17771084337349397</v>
      </c>
      <c r="R66" s="265">
        <v>1</v>
      </c>
      <c r="S66" s="266">
        <v>0.25</v>
      </c>
      <c r="T66" s="266">
        <v>0.5</v>
      </c>
      <c r="U66" s="266">
        <v>0.75</v>
      </c>
      <c r="V66" s="266">
        <v>1</v>
      </c>
      <c r="W66" s="266">
        <v>0.8</v>
      </c>
      <c r="X66" s="266" t="s">
        <v>309</v>
      </c>
      <c r="Y66" s="331" t="s">
        <v>310</v>
      </c>
      <c r="Z66" s="306">
        <v>0</v>
      </c>
      <c r="AA66" s="266">
        <v>1</v>
      </c>
      <c r="AB66" s="268" t="s">
        <v>311</v>
      </c>
      <c r="AC66" s="268" t="s">
        <v>312</v>
      </c>
      <c r="AD66" s="306">
        <v>0</v>
      </c>
      <c r="AE66" s="522">
        <v>100</v>
      </c>
      <c r="AF66" s="268" t="s">
        <v>2551</v>
      </c>
      <c r="AG66" s="268" t="s">
        <v>2524</v>
      </c>
      <c r="AH66" s="267"/>
      <c r="AI66" s="268"/>
      <c r="AJ66" s="268"/>
      <c r="AK66" s="269"/>
    </row>
    <row r="67" spans="1:37" ht="75" hidden="1" customHeight="1" outlineLevel="1" x14ac:dyDescent="0.2">
      <c r="A67" s="651"/>
      <c r="B67" s="580"/>
      <c r="C67" s="580"/>
      <c r="D67" s="618"/>
      <c r="E67" s="624"/>
      <c r="F67" s="624"/>
      <c r="G67" s="5" t="s">
        <v>313</v>
      </c>
      <c r="H67" s="196" t="s">
        <v>314</v>
      </c>
      <c r="I67" s="694"/>
      <c r="J67" s="271" t="s">
        <v>315</v>
      </c>
      <c r="K67" s="302">
        <v>2500000</v>
      </c>
      <c r="L67" s="306">
        <v>0</v>
      </c>
      <c r="M67" s="263">
        <v>44593</v>
      </c>
      <c r="N67" s="263">
        <v>44925</v>
      </c>
      <c r="O67" s="263">
        <v>44652</v>
      </c>
      <c r="P67" s="264">
        <f t="shared" si="0"/>
        <v>0.17771084337349397</v>
      </c>
      <c r="Q67" s="264">
        <f t="shared" si="1"/>
        <v>0.17771084337349397</v>
      </c>
      <c r="R67" s="265">
        <v>1</v>
      </c>
      <c r="S67" s="266">
        <v>0.25</v>
      </c>
      <c r="T67" s="266">
        <v>0.5</v>
      </c>
      <c r="U67" s="266">
        <v>0.75</v>
      </c>
      <c r="V67" s="266">
        <v>1</v>
      </c>
      <c r="W67" s="266">
        <v>0.3</v>
      </c>
      <c r="X67" s="266" t="s">
        <v>316</v>
      </c>
      <c r="Y67" s="331" t="s">
        <v>317</v>
      </c>
      <c r="Z67" s="306">
        <v>0</v>
      </c>
      <c r="AA67" s="266">
        <v>0.3</v>
      </c>
      <c r="AB67" s="268" t="s">
        <v>318</v>
      </c>
      <c r="AC67" s="268" t="s">
        <v>352</v>
      </c>
      <c r="AD67" s="306">
        <v>0</v>
      </c>
      <c r="AE67" s="522">
        <v>35</v>
      </c>
      <c r="AF67" s="268" t="s">
        <v>2552</v>
      </c>
      <c r="AG67" s="268" t="s">
        <v>2524</v>
      </c>
      <c r="AH67" s="267"/>
      <c r="AI67" s="268"/>
      <c r="AJ67" s="268"/>
      <c r="AK67" s="269"/>
    </row>
    <row r="68" spans="1:37" ht="56.25" hidden="1" customHeight="1" outlineLevel="1" x14ac:dyDescent="0.2">
      <c r="A68" s="651"/>
      <c r="B68" s="580"/>
      <c r="C68" s="580"/>
      <c r="D68" s="618"/>
      <c r="E68" s="624"/>
      <c r="F68" s="624"/>
      <c r="G68" s="688" t="s">
        <v>319</v>
      </c>
      <c r="H68" s="196" t="s">
        <v>320</v>
      </c>
      <c r="I68" s="694"/>
      <c r="J68" s="256" t="s">
        <v>321</v>
      </c>
      <c r="K68" s="256" t="s">
        <v>52</v>
      </c>
      <c r="L68" s="306">
        <v>0</v>
      </c>
      <c r="M68" s="263">
        <v>44593</v>
      </c>
      <c r="N68" s="263">
        <v>44925</v>
      </c>
      <c r="O68" s="263">
        <v>44652</v>
      </c>
      <c r="P68" s="264">
        <f t="shared" si="0"/>
        <v>0.17771084337349397</v>
      </c>
      <c r="Q68" s="264">
        <f t="shared" si="1"/>
        <v>0.17771084337349397</v>
      </c>
      <c r="R68" s="265">
        <v>1</v>
      </c>
      <c r="S68" s="266">
        <v>0.25</v>
      </c>
      <c r="T68" s="266">
        <v>0.5</v>
      </c>
      <c r="U68" s="266">
        <v>0.75</v>
      </c>
      <c r="V68" s="266">
        <v>1</v>
      </c>
      <c r="W68" s="266">
        <v>0</v>
      </c>
      <c r="X68" s="266" t="s">
        <v>322</v>
      </c>
      <c r="Y68" s="331" t="s">
        <v>52</v>
      </c>
      <c r="Z68" s="306">
        <v>0</v>
      </c>
      <c r="AA68" s="266">
        <v>0</v>
      </c>
      <c r="AB68" s="266" t="s">
        <v>322</v>
      </c>
      <c r="AC68" s="268" t="s">
        <v>52</v>
      </c>
      <c r="AD68" s="306">
        <v>0</v>
      </c>
      <c r="AE68" s="522">
        <v>0</v>
      </c>
      <c r="AF68" s="268" t="s">
        <v>2553</v>
      </c>
      <c r="AG68" s="268" t="s">
        <v>52</v>
      </c>
      <c r="AH68" s="267"/>
      <c r="AI68" s="268"/>
      <c r="AJ68" s="268"/>
      <c r="AK68" s="269"/>
    </row>
    <row r="69" spans="1:37" ht="56.25" hidden="1" customHeight="1" outlineLevel="1" x14ac:dyDescent="0.2">
      <c r="A69" s="651"/>
      <c r="B69" s="580"/>
      <c r="C69" s="580"/>
      <c r="D69" s="618"/>
      <c r="E69" s="624"/>
      <c r="F69" s="624"/>
      <c r="G69" s="689"/>
      <c r="H69" s="196" t="s">
        <v>323</v>
      </c>
      <c r="I69" s="694"/>
      <c r="J69" s="521" t="s">
        <v>324</v>
      </c>
      <c r="K69" s="521" t="s">
        <v>52</v>
      </c>
      <c r="L69" s="455">
        <v>0</v>
      </c>
      <c r="M69" s="263">
        <v>44593</v>
      </c>
      <c r="N69" s="263">
        <v>44925</v>
      </c>
      <c r="O69" s="263">
        <v>44652</v>
      </c>
      <c r="P69" s="264">
        <f t="shared" si="0"/>
        <v>0.17771084337349397</v>
      </c>
      <c r="Q69" s="264">
        <f t="shared" si="1"/>
        <v>0.17771084337349397</v>
      </c>
      <c r="R69" s="265">
        <v>1</v>
      </c>
      <c r="S69" s="266">
        <v>0.25</v>
      </c>
      <c r="T69" s="266">
        <v>0.5</v>
      </c>
      <c r="U69" s="266">
        <v>0.75</v>
      </c>
      <c r="V69" s="266">
        <v>1</v>
      </c>
      <c r="W69" s="266">
        <v>0</v>
      </c>
      <c r="X69" s="266" t="s">
        <v>322</v>
      </c>
      <c r="Y69" s="331" t="s">
        <v>52</v>
      </c>
      <c r="Z69" s="306">
        <v>0</v>
      </c>
      <c r="AA69" s="266">
        <v>0</v>
      </c>
      <c r="AB69" s="266" t="s">
        <v>322</v>
      </c>
      <c r="AC69" s="268" t="s">
        <v>52</v>
      </c>
      <c r="AD69" s="306">
        <v>0</v>
      </c>
      <c r="AE69" s="522">
        <v>0</v>
      </c>
      <c r="AF69" s="268" t="s">
        <v>2234</v>
      </c>
      <c r="AG69" s="268" t="s">
        <v>52</v>
      </c>
      <c r="AH69" s="267"/>
      <c r="AI69" s="268"/>
      <c r="AJ69" s="268"/>
      <c r="AK69" s="269"/>
    </row>
    <row r="70" spans="1:37" ht="96" hidden="1" customHeight="1" outlineLevel="1" x14ac:dyDescent="0.2">
      <c r="A70" s="651"/>
      <c r="B70" s="580"/>
      <c r="C70" s="580"/>
      <c r="D70" s="618"/>
      <c r="E70" s="624"/>
      <c r="F70" s="624"/>
      <c r="G70" s="196" t="s">
        <v>325</v>
      </c>
      <c r="H70" s="196" t="s">
        <v>326</v>
      </c>
      <c r="I70" s="694"/>
      <c r="J70" s="655" t="s">
        <v>327</v>
      </c>
      <c r="K70" s="302">
        <v>10000000</v>
      </c>
      <c r="L70" s="306">
        <v>0</v>
      </c>
      <c r="M70" s="263">
        <v>44593</v>
      </c>
      <c r="N70" s="263">
        <v>44925</v>
      </c>
      <c r="O70" s="263">
        <v>44652</v>
      </c>
      <c r="P70" s="264">
        <f t="shared" si="0"/>
        <v>0.17771084337349397</v>
      </c>
      <c r="Q70" s="264">
        <f t="shared" si="1"/>
        <v>0.17771084337349397</v>
      </c>
      <c r="R70" s="265">
        <v>1</v>
      </c>
      <c r="S70" s="266">
        <v>0.25</v>
      </c>
      <c r="T70" s="266">
        <v>0.5</v>
      </c>
      <c r="U70" s="266">
        <v>0.75</v>
      </c>
      <c r="V70" s="266">
        <v>1</v>
      </c>
      <c r="W70" s="266">
        <v>0.3</v>
      </c>
      <c r="X70" s="266" t="s">
        <v>328</v>
      </c>
      <c r="Y70" s="331" t="s">
        <v>52</v>
      </c>
      <c r="Z70" s="306">
        <v>0</v>
      </c>
      <c r="AA70" s="266">
        <v>0.6</v>
      </c>
      <c r="AB70" s="268" t="s">
        <v>2235</v>
      </c>
      <c r="AC70" s="268" t="s">
        <v>329</v>
      </c>
      <c r="AD70" s="306">
        <v>0</v>
      </c>
      <c r="AE70" s="522">
        <v>65</v>
      </c>
      <c r="AF70" s="268" t="s">
        <v>2236</v>
      </c>
      <c r="AG70" s="268" t="s">
        <v>2524</v>
      </c>
      <c r="AH70" s="267"/>
      <c r="AI70" s="268"/>
      <c r="AJ70" s="268"/>
      <c r="AK70" s="269"/>
    </row>
    <row r="71" spans="1:37" ht="46.5" hidden="1" customHeight="1" outlineLevel="1" x14ac:dyDescent="0.2">
      <c r="A71" s="651"/>
      <c r="B71" s="580"/>
      <c r="C71" s="580"/>
      <c r="D71" s="618"/>
      <c r="E71" s="624"/>
      <c r="F71" s="624"/>
      <c r="G71" s="196" t="s">
        <v>330</v>
      </c>
      <c r="H71" s="196" t="s">
        <v>331</v>
      </c>
      <c r="I71" s="694"/>
      <c r="J71" s="656"/>
      <c r="K71" s="302">
        <v>10000000</v>
      </c>
      <c r="L71" s="306">
        <v>0</v>
      </c>
      <c r="M71" s="263">
        <v>44593</v>
      </c>
      <c r="N71" s="263">
        <v>44925</v>
      </c>
      <c r="O71" s="263">
        <v>44652</v>
      </c>
      <c r="P71" s="264">
        <f t="shared" si="0"/>
        <v>0.17771084337349397</v>
      </c>
      <c r="Q71" s="264">
        <f t="shared" si="1"/>
        <v>0.17771084337349397</v>
      </c>
      <c r="R71" s="265">
        <v>1</v>
      </c>
      <c r="S71" s="266">
        <v>0.25</v>
      </c>
      <c r="T71" s="266">
        <v>0.5</v>
      </c>
      <c r="U71" s="266">
        <v>0.75</v>
      </c>
      <c r="V71" s="266">
        <v>1</v>
      </c>
      <c r="W71" s="266">
        <v>0</v>
      </c>
      <c r="X71" s="266" t="s">
        <v>332</v>
      </c>
      <c r="Y71" s="331" t="s">
        <v>52</v>
      </c>
      <c r="Z71" s="306">
        <v>0</v>
      </c>
      <c r="AA71" s="266">
        <v>0.3</v>
      </c>
      <c r="AB71" s="268" t="s">
        <v>2237</v>
      </c>
      <c r="AC71" s="268" t="s">
        <v>52</v>
      </c>
      <c r="AD71" s="306">
        <v>0</v>
      </c>
      <c r="AE71" s="522">
        <v>60</v>
      </c>
      <c r="AF71" s="268" t="s">
        <v>2238</v>
      </c>
      <c r="AG71" s="268" t="s">
        <v>2524</v>
      </c>
      <c r="AH71" s="267"/>
      <c r="AI71" s="268"/>
      <c r="AJ71" s="268"/>
      <c r="AK71" s="269"/>
    </row>
    <row r="72" spans="1:37" ht="56.25" hidden="1" customHeight="1" outlineLevel="1" x14ac:dyDescent="0.2">
      <c r="A72" s="651"/>
      <c r="B72" s="580"/>
      <c r="C72" s="580"/>
      <c r="D72" s="618"/>
      <c r="E72" s="623" t="s">
        <v>335</v>
      </c>
      <c r="F72" s="623" t="s">
        <v>336</v>
      </c>
      <c r="G72" s="196" t="s">
        <v>337</v>
      </c>
      <c r="H72" s="196" t="s">
        <v>338</v>
      </c>
      <c r="I72" s="688" t="s">
        <v>339</v>
      </c>
      <c r="J72" s="246" t="s">
        <v>333</v>
      </c>
      <c r="K72" s="256" t="s">
        <v>52</v>
      </c>
      <c r="L72" s="306">
        <v>0</v>
      </c>
      <c r="M72" s="263">
        <v>44593</v>
      </c>
      <c r="N72" s="263">
        <v>44925</v>
      </c>
      <c r="O72" s="263">
        <v>44652</v>
      </c>
      <c r="P72" s="264">
        <f t="shared" si="0"/>
        <v>0.17771084337349397</v>
      </c>
      <c r="Q72" s="264">
        <f t="shared" si="1"/>
        <v>0.17771084337349397</v>
      </c>
      <c r="R72" s="265">
        <v>0.9</v>
      </c>
      <c r="S72" s="266">
        <v>0.86</v>
      </c>
      <c r="T72" s="266">
        <v>0.87</v>
      </c>
      <c r="U72" s="266">
        <v>0.88</v>
      </c>
      <c r="V72" s="266">
        <v>0.9</v>
      </c>
      <c r="W72" s="266">
        <v>0.1</v>
      </c>
      <c r="X72" s="266" t="s">
        <v>340</v>
      </c>
      <c r="Y72" s="331" t="s">
        <v>52</v>
      </c>
      <c r="Z72" s="306">
        <v>0</v>
      </c>
      <c r="AA72" s="266">
        <v>0.1</v>
      </c>
      <c r="AB72" s="268" t="s">
        <v>2092</v>
      </c>
      <c r="AC72" s="268" t="s">
        <v>52</v>
      </c>
      <c r="AD72" s="306">
        <v>0</v>
      </c>
      <c r="AE72" s="522">
        <v>45</v>
      </c>
      <c r="AF72" s="268" t="s">
        <v>2239</v>
      </c>
      <c r="AG72" s="268" t="s">
        <v>2524</v>
      </c>
      <c r="AH72" s="267"/>
      <c r="AI72" s="268"/>
      <c r="AJ72" s="268"/>
      <c r="AK72" s="269"/>
    </row>
    <row r="73" spans="1:37" ht="75" hidden="1" customHeight="1" outlineLevel="1" x14ac:dyDescent="0.2">
      <c r="A73" s="651"/>
      <c r="B73" s="580"/>
      <c r="C73" s="580"/>
      <c r="D73" s="618"/>
      <c r="E73" s="624"/>
      <c r="F73" s="624"/>
      <c r="G73" s="196" t="s">
        <v>341</v>
      </c>
      <c r="H73" s="196" t="s">
        <v>342</v>
      </c>
      <c r="I73" s="694"/>
      <c r="J73" s="246" t="s">
        <v>2496</v>
      </c>
      <c r="K73" s="302">
        <f>(6*1670000)+2340000+930000+2820021</f>
        <v>16110021</v>
      </c>
      <c r="L73" s="306">
        <v>0</v>
      </c>
      <c r="M73" s="263">
        <v>44593</v>
      </c>
      <c r="N73" s="263">
        <v>44925</v>
      </c>
      <c r="O73" s="263">
        <v>44652</v>
      </c>
      <c r="P73" s="264">
        <f t="shared" si="0"/>
        <v>0.17771084337349397</v>
      </c>
      <c r="Q73" s="264">
        <f t="shared" si="1"/>
        <v>0.17771084337349397</v>
      </c>
      <c r="R73" s="265">
        <v>1</v>
      </c>
      <c r="S73" s="266">
        <v>0.25</v>
      </c>
      <c r="T73" s="266">
        <v>0.5</v>
      </c>
      <c r="U73" s="266">
        <v>0.75</v>
      </c>
      <c r="V73" s="266">
        <v>1</v>
      </c>
      <c r="W73" s="266">
        <v>0</v>
      </c>
      <c r="X73" s="266" t="s">
        <v>343</v>
      </c>
      <c r="Y73" s="331" t="s">
        <v>52</v>
      </c>
      <c r="Z73" s="306">
        <v>0</v>
      </c>
      <c r="AA73" s="266">
        <v>0</v>
      </c>
      <c r="AB73" s="268" t="s">
        <v>2092</v>
      </c>
      <c r="AC73" s="268" t="s">
        <v>52</v>
      </c>
      <c r="AD73" s="306">
        <v>0</v>
      </c>
      <c r="AE73" s="522">
        <v>45</v>
      </c>
      <c r="AF73" s="268" t="s">
        <v>2239</v>
      </c>
      <c r="AG73" s="268" t="s">
        <v>2524</v>
      </c>
      <c r="AH73" s="267"/>
      <c r="AI73" s="268"/>
      <c r="AJ73" s="268"/>
      <c r="AK73" s="269"/>
    </row>
    <row r="74" spans="1:37" ht="46.5" hidden="1" customHeight="1" outlineLevel="1" x14ac:dyDescent="0.2">
      <c r="A74" s="651"/>
      <c r="B74" s="580"/>
      <c r="C74" s="580"/>
      <c r="D74" s="618"/>
      <c r="E74" s="624"/>
      <c r="F74" s="624"/>
      <c r="G74" s="196" t="s">
        <v>344</v>
      </c>
      <c r="H74" s="571" t="s">
        <v>345</v>
      </c>
      <c r="I74" s="694"/>
      <c r="J74" s="246" t="s">
        <v>346</v>
      </c>
      <c r="K74" s="256" t="s">
        <v>52</v>
      </c>
      <c r="L74" s="306">
        <v>0</v>
      </c>
      <c r="M74" s="263">
        <v>44593</v>
      </c>
      <c r="N74" s="263">
        <v>44925</v>
      </c>
      <c r="O74" s="263">
        <v>44652</v>
      </c>
      <c r="P74" s="264">
        <f t="shared" si="0"/>
        <v>0.17771084337349397</v>
      </c>
      <c r="Q74" s="264">
        <f t="shared" si="1"/>
        <v>0.17771084337349397</v>
      </c>
      <c r="R74" s="265">
        <v>1</v>
      </c>
      <c r="S74" s="266">
        <v>0.25</v>
      </c>
      <c r="T74" s="266">
        <v>0.5</v>
      </c>
      <c r="U74" s="266">
        <v>0.75</v>
      </c>
      <c r="V74" s="266">
        <v>1</v>
      </c>
      <c r="W74" s="266">
        <v>0</v>
      </c>
      <c r="X74" s="266" t="s">
        <v>347</v>
      </c>
      <c r="Y74" s="331" t="s">
        <v>52</v>
      </c>
      <c r="Z74" s="306">
        <v>0</v>
      </c>
      <c r="AA74" s="266">
        <v>0</v>
      </c>
      <c r="AB74" s="266" t="s">
        <v>347</v>
      </c>
      <c r="AC74" s="268" t="s">
        <v>52</v>
      </c>
      <c r="AD74" s="306">
        <v>0</v>
      </c>
      <c r="AE74" s="522">
        <v>60</v>
      </c>
      <c r="AF74" s="268" t="s">
        <v>2240</v>
      </c>
      <c r="AG74" s="268" t="s">
        <v>2524</v>
      </c>
      <c r="AH74" s="267"/>
      <c r="AI74" s="268"/>
      <c r="AJ74" s="268"/>
      <c r="AK74" s="269"/>
    </row>
    <row r="75" spans="1:37" ht="56.25" hidden="1" customHeight="1" outlineLevel="1" x14ac:dyDescent="0.2">
      <c r="A75" s="651"/>
      <c r="B75" s="580"/>
      <c r="C75" s="580"/>
      <c r="D75" s="618"/>
      <c r="E75" s="624"/>
      <c r="F75" s="624"/>
      <c r="G75" s="5" t="s">
        <v>348</v>
      </c>
      <c r="H75" s="196" t="s">
        <v>349</v>
      </c>
      <c r="I75" s="694"/>
      <c r="J75" s="246" t="s">
        <v>350</v>
      </c>
      <c r="K75" s="304">
        <v>3164368</v>
      </c>
      <c r="L75" s="306">
        <v>0</v>
      </c>
      <c r="M75" s="263">
        <v>44593</v>
      </c>
      <c r="N75" s="263">
        <v>44925</v>
      </c>
      <c r="O75" s="263">
        <v>44652</v>
      </c>
      <c r="P75" s="264">
        <f t="shared" si="0"/>
        <v>0.17771084337349397</v>
      </c>
      <c r="Q75" s="264">
        <f t="shared" si="1"/>
        <v>0.17771084337349397</v>
      </c>
      <c r="R75" s="265">
        <v>1</v>
      </c>
      <c r="S75" s="266">
        <v>0.25</v>
      </c>
      <c r="T75" s="266">
        <v>0.5</v>
      </c>
      <c r="U75" s="266">
        <v>0.75</v>
      </c>
      <c r="V75" s="266">
        <v>1</v>
      </c>
      <c r="W75" s="266">
        <v>0.9</v>
      </c>
      <c r="X75" s="266" t="s">
        <v>351</v>
      </c>
      <c r="Y75" s="331" t="s">
        <v>352</v>
      </c>
      <c r="Z75" s="306">
        <v>0</v>
      </c>
      <c r="AA75" s="266">
        <v>1</v>
      </c>
      <c r="AB75" s="268" t="s">
        <v>353</v>
      </c>
      <c r="AC75" s="268" t="s">
        <v>815</v>
      </c>
      <c r="AD75" s="306">
        <v>0</v>
      </c>
      <c r="AE75" s="522">
        <v>100</v>
      </c>
      <c r="AF75" s="268" t="s">
        <v>2241</v>
      </c>
      <c r="AG75" s="268" t="s">
        <v>52</v>
      </c>
      <c r="AH75" s="267"/>
      <c r="AI75" s="268"/>
      <c r="AJ75" s="268"/>
      <c r="AK75" s="269"/>
    </row>
    <row r="76" spans="1:37" ht="75" hidden="1" customHeight="1" outlineLevel="1" x14ac:dyDescent="0.2">
      <c r="A76" s="651"/>
      <c r="B76" s="580"/>
      <c r="C76" s="580"/>
      <c r="D76" s="618"/>
      <c r="E76" s="624"/>
      <c r="F76" s="624"/>
      <c r="G76" s="5" t="s">
        <v>354</v>
      </c>
      <c r="H76" s="571" t="s">
        <v>355</v>
      </c>
      <c r="I76" s="694"/>
      <c r="J76" s="246" t="s">
        <v>356</v>
      </c>
      <c r="K76" s="304">
        <v>15000000</v>
      </c>
      <c r="L76" s="306">
        <v>0</v>
      </c>
      <c r="M76" s="263">
        <v>44593</v>
      </c>
      <c r="N76" s="263">
        <v>44925</v>
      </c>
      <c r="O76" s="263">
        <v>44652</v>
      </c>
      <c r="P76" s="264">
        <f t="shared" si="0"/>
        <v>0.17771084337349397</v>
      </c>
      <c r="Q76" s="264">
        <f t="shared" si="1"/>
        <v>0.17771084337349397</v>
      </c>
      <c r="R76" s="265">
        <v>1</v>
      </c>
      <c r="S76" s="266">
        <v>0.25</v>
      </c>
      <c r="T76" s="266">
        <v>0.5</v>
      </c>
      <c r="U76" s="266">
        <v>0.75</v>
      </c>
      <c r="V76" s="266">
        <v>1</v>
      </c>
      <c r="W76" s="266">
        <v>0</v>
      </c>
      <c r="X76" s="266" t="s">
        <v>357</v>
      </c>
      <c r="Y76" s="331" t="s">
        <v>52</v>
      </c>
      <c r="Z76" s="306">
        <v>0</v>
      </c>
      <c r="AA76" s="266">
        <v>0.35</v>
      </c>
      <c r="AB76" s="268" t="s">
        <v>358</v>
      </c>
      <c r="AC76" s="268" t="s">
        <v>359</v>
      </c>
      <c r="AD76" s="306">
        <v>0</v>
      </c>
      <c r="AE76" s="522">
        <v>50</v>
      </c>
      <c r="AF76" s="268" t="s">
        <v>2242</v>
      </c>
      <c r="AG76" s="268" t="s">
        <v>2524</v>
      </c>
      <c r="AH76" s="267"/>
      <c r="AI76" s="268"/>
      <c r="AJ76" s="268"/>
      <c r="AK76" s="269"/>
    </row>
    <row r="77" spans="1:37" ht="93.75" hidden="1" customHeight="1" outlineLevel="1" x14ac:dyDescent="0.2">
      <c r="A77" s="651"/>
      <c r="B77" s="580"/>
      <c r="C77" s="580"/>
      <c r="D77" s="618"/>
      <c r="E77" s="624"/>
      <c r="F77" s="624"/>
      <c r="G77" s="196" t="s">
        <v>360</v>
      </c>
      <c r="H77" s="571" t="s">
        <v>361</v>
      </c>
      <c r="I77" s="694"/>
      <c r="J77" s="271" t="s">
        <v>362</v>
      </c>
      <c r="K77" s="304">
        <v>6000000</v>
      </c>
      <c r="L77" s="306">
        <v>0</v>
      </c>
      <c r="M77" s="263">
        <v>44593</v>
      </c>
      <c r="N77" s="263">
        <v>44925</v>
      </c>
      <c r="O77" s="263">
        <v>44652</v>
      </c>
      <c r="P77" s="264">
        <f t="shared" si="0"/>
        <v>0.17771084337349397</v>
      </c>
      <c r="Q77" s="264">
        <f t="shared" si="1"/>
        <v>0.17771084337349397</v>
      </c>
      <c r="R77" s="265">
        <v>1</v>
      </c>
      <c r="S77" s="266">
        <v>0.25</v>
      </c>
      <c r="T77" s="266">
        <v>0.5</v>
      </c>
      <c r="U77" s="266">
        <v>0.75</v>
      </c>
      <c r="V77" s="266">
        <v>1</v>
      </c>
      <c r="W77" s="266">
        <v>0.8</v>
      </c>
      <c r="X77" s="266" t="s">
        <v>363</v>
      </c>
      <c r="Y77" s="331" t="s">
        <v>52</v>
      </c>
      <c r="Z77" s="306">
        <v>0</v>
      </c>
      <c r="AA77" s="266">
        <v>1</v>
      </c>
      <c r="AB77" s="268" t="s">
        <v>364</v>
      </c>
      <c r="AC77" s="268" t="s">
        <v>1967</v>
      </c>
      <c r="AD77" s="306">
        <v>0</v>
      </c>
      <c r="AE77" s="522">
        <v>100</v>
      </c>
      <c r="AF77" s="268" t="s">
        <v>2243</v>
      </c>
      <c r="AG77" s="268" t="s">
        <v>2524</v>
      </c>
      <c r="AH77" s="267"/>
      <c r="AI77" s="268"/>
      <c r="AJ77" s="268"/>
      <c r="AK77" s="269"/>
    </row>
    <row r="78" spans="1:37" ht="86.25" hidden="1" customHeight="1" outlineLevel="1" x14ac:dyDescent="0.2">
      <c r="A78" s="651"/>
      <c r="B78" s="580"/>
      <c r="C78" s="580"/>
      <c r="D78" s="618"/>
      <c r="E78" s="624"/>
      <c r="F78" s="625"/>
      <c r="G78" s="196" t="s">
        <v>344</v>
      </c>
      <c r="H78" s="571" t="s">
        <v>365</v>
      </c>
      <c r="I78" s="689"/>
      <c r="J78" s="246" t="s">
        <v>366</v>
      </c>
      <c r="K78" s="256" t="s">
        <v>52</v>
      </c>
      <c r="L78" s="306">
        <v>0</v>
      </c>
      <c r="M78" s="263">
        <v>44593</v>
      </c>
      <c r="N78" s="263">
        <v>44925</v>
      </c>
      <c r="O78" s="263">
        <v>44652</v>
      </c>
      <c r="P78" s="264">
        <f t="shared" si="0"/>
        <v>0.17771084337349397</v>
      </c>
      <c r="Q78" s="264">
        <f t="shared" si="1"/>
        <v>0.17771084337349397</v>
      </c>
      <c r="R78" s="265">
        <v>1</v>
      </c>
      <c r="S78" s="266">
        <v>0.25</v>
      </c>
      <c r="T78" s="266">
        <v>0.5</v>
      </c>
      <c r="U78" s="266">
        <v>0.75</v>
      </c>
      <c r="V78" s="266">
        <v>1</v>
      </c>
      <c r="W78" s="266">
        <v>0</v>
      </c>
      <c r="X78" s="266" t="s">
        <v>367</v>
      </c>
      <c r="Y78" s="331" t="s">
        <v>52</v>
      </c>
      <c r="Z78" s="306">
        <v>0</v>
      </c>
      <c r="AA78" s="266">
        <v>0.5</v>
      </c>
      <c r="AB78" s="268" t="s">
        <v>368</v>
      </c>
      <c r="AC78" s="268" t="s">
        <v>1968</v>
      </c>
      <c r="AD78" s="306">
        <v>0</v>
      </c>
      <c r="AE78" s="522">
        <v>100</v>
      </c>
      <c r="AF78" s="268" t="s">
        <v>2244</v>
      </c>
      <c r="AG78" s="268" t="s">
        <v>2524</v>
      </c>
      <c r="AH78" s="267"/>
      <c r="AI78" s="268"/>
      <c r="AJ78" s="268"/>
      <c r="AK78" s="269"/>
    </row>
    <row r="79" spans="1:37" ht="75" hidden="1" customHeight="1" outlineLevel="1" x14ac:dyDescent="0.2">
      <c r="A79" s="651"/>
      <c r="B79" s="580"/>
      <c r="C79" s="580"/>
      <c r="D79" s="618"/>
      <c r="E79" s="624"/>
      <c r="F79" s="623" t="s">
        <v>369</v>
      </c>
      <c r="G79" s="5" t="s">
        <v>370</v>
      </c>
      <c r="H79" s="571" t="s">
        <v>371</v>
      </c>
      <c r="I79" s="688" t="s">
        <v>372</v>
      </c>
      <c r="J79" s="246" t="s">
        <v>333</v>
      </c>
      <c r="K79" s="256" t="s">
        <v>52</v>
      </c>
      <c r="L79" s="306">
        <v>0</v>
      </c>
      <c r="M79" s="263">
        <v>44593</v>
      </c>
      <c r="N79" s="263">
        <v>44925</v>
      </c>
      <c r="O79" s="263">
        <v>44652</v>
      </c>
      <c r="P79" s="264">
        <f t="shared" si="0"/>
        <v>0.17771084337349397</v>
      </c>
      <c r="Q79" s="264">
        <f t="shared" si="1"/>
        <v>0.17771084337349397</v>
      </c>
      <c r="R79" s="265">
        <v>0.05</v>
      </c>
      <c r="S79" s="266">
        <v>0.03</v>
      </c>
      <c r="T79" s="266" t="s">
        <v>373</v>
      </c>
      <c r="U79" s="266">
        <v>0.04</v>
      </c>
      <c r="V79" s="266">
        <v>0.05</v>
      </c>
      <c r="W79" s="266">
        <v>0.05</v>
      </c>
      <c r="X79" s="266" t="s">
        <v>374</v>
      </c>
      <c r="Y79" s="331" t="s">
        <v>375</v>
      </c>
      <c r="Z79" s="306">
        <v>0</v>
      </c>
      <c r="AA79" s="266">
        <v>0.05</v>
      </c>
      <c r="AB79" s="268" t="s">
        <v>2245</v>
      </c>
      <c r="AC79" s="268" t="s">
        <v>52</v>
      </c>
      <c r="AD79" s="306">
        <v>0</v>
      </c>
      <c r="AE79" s="522">
        <v>5</v>
      </c>
      <c r="AF79" s="268" t="s">
        <v>2246</v>
      </c>
      <c r="AG79" s="268" t="s">
        <v>2505</v>
      </c>
      <c r="AH79" s="267"/>
      <c r="AI79" s="268"/>
      <c r="AJ79" s="268"/>
      <c r="AK79" s="269"/>
    </row>
    <row r="80" spans="1:37" ht="112.5" hidden="1" customHeight="1" outlineLevel="1" x14ac:dyDescent="0.2">
      <c r="A80" s="651"/>
      <c r="B80" s="580"/>
      <c r="C80" s="580"/>
      <c r="D80" s="618"/>
      <c r="E80" s="624"/>
      <c r="F80" s="624"/>
      <c r="G80" s="5" t="s">
        <v>376</v>
      </c>
      <c r="H80" s="571" t="s">
        <v>377</v>
      </c>
      <c r="I80" s="694"/>
      <c r="J80" s="246" t="s">
        <v>2247</v>
      </c>
      <c r="K80" s="304">
        <v>30000000</v>
      </c>
      <c r="L80" s="306">
        <v>0</v>
      </c>
      <c r="M80" s="263">
        <v>44593</v>
      </c>
      <c r="N80" s="263">
        <v>44925</v>
      </c>
      <c r="O80" s="263">
        <v>44652</v>
      </c>
      <c r="P80" s="264">
        <f t="shared" si="0"/>
        <v>0.17771084337349397</v>
      </c>
      <c r="Q80" s="264">
        <f t="shared" si="1"/>
        <v>0.17771084337349397</v>
      </c>
      <c r="R80" s="265">
        <v>1</v>
      </c>
      <c r="S80" s="266">
        <v>0.25</v>
      </c>
      <c r="T80" s="266">
        <v>0.5</v>
      </c>
      <c r="U80" s="266">
        <v>0.75</v>
      </c>
      <c r="V80" s="266">
        <v>1</v>
      </c>
      <c r="W80" s="266">
        <v>0.2</v>
      </c>
      <c r="X80" s="266" t="s">
        <v>378</v>
      </c>
      <c r="Y80" s="256" t="s">
        <v>52</v>
      </c>
      <c r="Z80" s="306">
        <v>0</v>
      </c>
      <c r="AA80" s="266">
        <v>0.3</v>
      </c>
      <c r="AB80" s="268" t="s">
        <v>379</v>
      </c>
      <c r="AC80" s="268" t="s">
        <v>52</v>
      </c>
      <c r="AD80" s="306">
        <v>0</v>
      </c>
      <c r="AE80" s="522">
        <v>50</v>
      </c>
      <c r="AF80" s="268" t="s">
        <v>2248</v>
      </c>
      <c r="AG80" s="268" t="s">
        <v>2524</v>
      </c>
      <c r="AH80" s="267"/>
      <c r="AI80" s="268"/>
      <c r="AJ80" s="268"/>
      <c r="AK80" s="269"/>
    </row>
    <row r="81" spans="1:37" ht="74.25" hidden="1" customHeight="1" outlineLevel="1" x14ac:dyDescent="0.2">
      <c r="A81" s="673"/>
      <c r="B81" s="580"/>
      <c r="C81" s="580"/>
      <c r="D81" s="618"/>
      <c r="E81" s="624"/>
      <c r="F81" s="625"/>
      <c r="G81" s="409" t="s">
        <v>380</v>
      </c>
      <c r="H81" s="571" t="s">
        <v>381</v>
      </c>
      <c r="I81" s="689"/>
      <c r="J81" s="246" t="s">
        <v>382</v>
      </c>
      <c r="K81" s="305" t="s">
        <v>52</v>
      </c>
      <c r="L81" s="306">
        <v>0</v>
      </c>
      <c r="M81" s="263">
        <v>44593</v>
      </c>
      <c r="N81" s="263">
        <v>44925</v>
      </c>
      <c r="O81" s="263">
        <v>44652</v>
      </c>
      <c r="P81" s="264">
        <f t="shared" si="0"/>
        <v>0.17771084337349397</v>
      </c>
      <c r="Q81" s="264">
        <f t="shared" si="1"/>
        <v>0.17771084337349397</v>
      </c>
      <c r="R81" s="265">
        <v>1</v>
      </c>
      <c r="S81" s="266">
        <v>0.25</v>
      </c>
      <c r="T81" s="266">
        <v>0.5</v>
      </c>
      <c r="U81" s="266">
        <v>0.75</v>
      </c>
      <c r="V81" s="266">
        <v>1</v>
      </c>
      <c r="W81" s="266">
        <v>0.25</v>
      </c>
      <c r="X81" s="266" t="s">
        <v>383</v>
      </c>
      <c r="Y81" s="256" t="s">
        <v>52</v>
      </c>
      <c r="Z81" s="306">
        <v>0</v>
      </c>
      <c r="AA81" s="266">
        <v>0.3</v>
      </c>
      <c r="AB81" s="268" t="s">
        <v>384</v>
      </c>
      <c r="AC81" s="268" t="s">
        <v>52</v>
      </c>
      <c r="AD81" s="306">
        <v>0</v>
      </c>
      <c r="AE81" s="522">
        <v>60</v>
      </c>
      <c r="AF81" s="268" t="s">
        <v>2249</v>
      </c>
      <c r="AG81" s="268" t="s">
        <v>2524</v>
      </c>
      <c r="AH81" s="267"/>
      <c r="AI81" s="268"/>
      <c r="AJ81" s="268"/>
      <c r="AK81" s="269"/>
    </row>
    <row r="82" spans="1:37" ht="54" hidden="1" customHeight="1" outlineLevel="1" x14ac:dyDescent="0.2">
      <c r="A82" s="673"/>
      <c r="B82" s="581"/>
      <c r="C82" s="581"/>
      <c r="D82" s="619"/>
      <c r="E82" s="625"/>
      <c r="F82" s="298" t="s">
        <v>385</v>
      </c>
      <c r="G82" s="409" t="s">
        <v>380</v>
      </c>
      <c r="H82" s="571" t="s">
        <v>2250</v>
      </c>
      <c r="I82" s="5" t="s">
        <v>386</v>
      </c>
      <c r="J82" s="246" t="s">
        <v>387</v>
      </c>
      <c r="K82" s="305" t="s">
        <v>52</v>
      </c>
      <c r="L82" s="306">
        <v>0</v>
      </c>
      <c r="M82" s="263">
        <v>44593</v>
      </c>
      <c r="N82" s="263">
        <v>44925</v>
      </c>
      <c r="O82" s="263">
        <v>44652</v>
      </c>
      <c r="P82" s="264">
        <f t="shared" si="0"/>
        <v>0.17771084337349397</v>
      </c>
      <c r="Q82" s="264">
        <f t="shared" si="1"/>
        <v>0.17771084337349397</v>
      </c>
      <c r="R82" s="265">
        <v>0.4</v>
      </c>
      <c r="S82" s="266">
        <v>0.25</v>
      </c>
      <c r="T82" s="266">
        <v>0.3</v>
      </c>
      <c r="U82" s="266">
        <v>0.35</v>
      </c>
      <c r="V82" s="266">
        <v>0.4</v>
      </c>
      <c r="W82" s="266">
        <v>0.05</v>
      </c>
      <c r="X82" s="266" t="s">
        <v>388</v>
      </c>
      <c r="Y82" s="256" t="s">
        <v>52</v>
      </c>
      <c r="Z82" s="306">
        <v>0</v>
      </c>
      <c r="AA82" s="266">
        <v>0.05</v>
      </c>
      <c r="AB82" s="268" t="s">
        <v>389</v>
      </c>
      <c r="AC82" s="268" t="s">
        <v>52</v>
      </c>
      <c r="AD82" s="306">
        <v>0</v>
      </c>
      <c r="AE82" s="522">
        <v>25</v>
      </c>
      <c r="AF82" s="268" t="s">
        <v>2251</v>
      </c>
      <c r="AG82" s="268" t="s">
        <v>2524</v>
      </c>
      <c r="AH82" s="267"/>
      <c r="AI82" s="268"/>
      <c r="AJ82" s="268"/>
      <c r="AK82" s="269"/>
    </row>
    <row r="83" spans="1:37" ht="162" hidden="1" customHeight="1" outlineLevel="1" x14ac:dyDescent="0.2">
      <c r="A83" s="673"/>
      <c r="B83" s="632" t="s">
        <v>39</v>
      </c>
      <c r="C83" s="632" t="s">
        <v>40</v>
      </c>
      <c r="D83" s="594" t="s">
        <v>390</v>
      </c>
      <c r="E83" s="590" t="s">
        <v>42</v>
      </c>
      <c r="F83" s="590" t="s">
        <v>391</v>
      </c>
      <c r="G83" s="628" t="s">
        <v>392</v>
      </c>
      <c r="H83" s="196" t="s">
        <v>393</v>
      </c>
      <c r="I83" s="628" t="s">
        <v>394</v>
      </c>
      <c r="J83" s="246" t="s">
        <v>395</v>
      </c>
      <c r="K83" s="256" t="s">
        <v>52</v>
      </c>
      <c r="L83" s="256"/>
      <c r="M83" s="263">
        <v>44593</v>
      </c>
      <c r="N83" s="263">
        <v>44925</v>
      </c>
      <c r="O83" s="263">
        <v>44652</v>
      </c>
      <c r="P83" s="264">
        <f t="shared" si="0"/>
        <v>0.17771084337349397</v>
      </c>
      <c r="Q83" s="264">
        <f t="shared" si="1"/>
        <v>0.17771084337349397</v>
      </c>
      <c r="R83" s="265">
        <v>7.0000000000000007E-2</v>
      </c>
      <c r="S83" s="266">
        <v>0.06</v>
      </c>
      <c r="T83" s="266">
        <v>0.06</v>
      </c>
      <c r="U83" s="266">
        <v>7.0000000000000007E-2</v>
      </c>
      <c r="V83" s="266">
        <v>7.0000000000000007E-2</v>
      </c>
      <c r="W83" s="266">
        <v>0.2</v>
      </c>
      <c r="X83" s="266" t="s">
        <v>2104</v>
      </c>
      <c r="Y83" s="331" t="s">
        <v>375</v>
      </c>
      <c r="Z83" s="306"/>
      <c r="AA83" s="266">
        <v>0.4</v>
      </c>
      <c r="AB83" s="268" t="s">
        <v>2105</v>
      </c>
      <c r="AC83" s="268"/>
      <c r="AD83" s="306">
        <v>0</v>
      </c>
      <c r="AE83" s="522">
        <v>50</v>
      </c>
      <c r="AF83" s="268" t="s">
        <v>2436</v>
      </c>
      <c r="AG83" s="268" t="s">
        <v>2524</v>
      </c>
      <c r="AH83" s="267"/>
      <c r="AI83" s="268"/>
      <c r="AJ83" s="268"/>
      <c r="AK83" s="269"/>
    </row>
    <row r="84" spans="1:37" ht="130.5" hidden="1" customHeight="1" outlineLevel="1" x14ac:dyDescent="0.2">
      <c r="A84" s="673"/>
      <c r="B84" s="632"/>
      <c r="C84" s="632"/>
      <c r="D84" s="595"/>
      <c r="E84" s="591"/>
      <c r="F84" s="591"/>
      <c r="G84" s="674"/>
      <c r="H84" s="196" t="s">
        <v>396</v>
      </c>
      <c r="I84" s="674"/>
      <c r="J84" s="246" t="s">
        <v>397</v>
      </c>
      <c r="K84" s="256" t="s">
        <v>52</v>
      </c>
      <c r="L84" s="256"/>
      <c r="M84" s="263">
        <v>44593</v>
      </c>
      <c r="N84" s="263">
        <v>44925</v>
      </c>
      <c r="O84" s="263">
        <v>44652</v>
      </c>
      <c r="P84" s="264">
        <f t="shared" si="0"/>
        <v>0.17771084337349397</v>
      </c>
      <c r="Q84" s="264">
        <f t="shared" si="1"/>
        <v>0.17771084337349397</v>
      </c>
      <c r="R84" s="265">
        <v>1</v>
      </c>
      <c r="S84" s="266">
        <v>0.25</v>
      </c>
      <c r="T84" s="266">
        <v>0.5</v>
      </c>
      <c r="U84" s="266">
        <v>0.75</v>
      </c>
      <c r="V84" s="266">
        <v>1</v>
      </c>
      <c r="W84" s="266">
        <v>0.25</v>
      </c>
      <c r="X84" s="266" t="s">
        <v>398</v>
      </c>
      <c r="Y84" s="331" t="s">
        <v>399</v>
      </c>
      <c r="Z84" s="306"/>
      <c r="AA84" s="266">
        <v>0.4</v>
      </c>
      <c r="AB84" s="268" t="s">
        <v>2106</v>
      </c>
      <c r="AC84" s="268"/>
      <c r="AD84" s="306">
        <v>0</v>
      </c>
      <c r="AE84" s="522">
        <v>70</v>
      </c>
      <c r="AF84" s="268" t="s">
        <v>2437</v>
      </c>
      <c r="AG84" s="268" t="s">
        <v>2524</v>
      </c>
      <c r="AH84" s="267"/>
      <c r="AI84" s="268"/>
      <c r="AJ84" s="268"/>
      <c r="AK84" s="269"/>
    </row>
    <row r="85" spans="1:37" ht="114" hidden="1" customHeight="1" outlineLevel="1" x14ac:dyDescent="0.2">
      <c r="A85" s="673"/>
      <c r="B85" s="632"/>
      <c r="C85" s="632"/>
      <c r="D85" s="595"/>
      <c r="E85" s="591"/>
      <c r="F85" s="591"/>
      <c r="G85" s="629"/>
      <c r="H85" s="196" t="s">
        <v>400</v>
      </c>
      <c r="I85" s="674"/>
      <c r="J85" s="246" t="s">
        <v>418</v>
      </c>
      <c r="K85" s="256" t="s">
        <v>52</v>
      </c>
      <c r="L85" s="256" t="s">
        <v>418</v>
      </c>
      <c r="M85" s="263">
        <v>44593</v>
      </c>
      <c r="N85" s="263">
        <v>44925</v>
      </c>
      <c r="O85" s="263">
        <v>44652</v>
      </c>
      <c r="P85" s="264">
        <f t="shared" si="0"/>
        <v>0.17771084337349397</v>
      </c>
      <c r="Q85" s="264">
        <f t="shared" si="1"/>
        <v>0.17771084337349397</v>
      </c>
      <c r="R85" s="265">
        <v>1</v>
      </c>
      <c r="S85" s="266">
        <v>0.25</v>
      </c>
      <c r="T85" s="266">
        <v>0.5</v>
      </c>
      <c r="U85" s="266">
        <v>0.75</v>
      </c>
      <c r="V85" s="266">
        <v>1</v>
      </c>
      <c r="W85" s="266">
        <v>0.25</v>
      </c>
      <c r="X85" s="266" t="s">
        <v>401</v>
      </c>
      <c r="Y85" s="331" t="s">
        <v>402</v>
      </c>
      <c r="Z85" s="306"/>
      <c r="AA85" s="266">
        <v>0.4</v>
      </c>
      <c r="AB85" s="268" t="s">
        <v>2107</v>
      </c>
      <c r="AC85" s="268"/>
      <c r="AD85" s="306">
        <v>0</v>
      </c>
      <c r="AE85" s="522">
        <v>100</v>
      </c>
      <c r="AF85" s="268" t="s">
        <v>2438</v>
      </c>
      <c r="AG85" s="268" t="s">
        <v>2524</v>
      </c>
      <c r="AH85" s="267"/>
      <c r="AI85" s="268"/>
      <c r="AJ85" s="268"/>
      <c r="AK85" s="269"/>
    </row>
    <row r="86" spans="1:37" ht="59.25" hidden="1" customHeight="1" outlineLevel="1" x14ac:dyDescent="0.2">
      <c r="A86" s="673"/>
      <c r="B86" s="632"/>
      <c r="C86" s="632"/>
      <c r="D86" s="595"/>
      <c r="E86" s="791"/>
      <c r="F86" s="791"/>
      <c r="G86" s="286" t="s">
        <v>403</v>
      </c>
      <c r="H86" s="196" t="s">
        <v>404</v>
      </c>
      <c r="I86" s="629"/>
      <c r="J86" s="246" t="s">
        <v>405</v>
      </c>
      <c r="K86" s="256" t="s">
        <v>52</v>
      </c>
      <c r="L86" s="256"/>
      <c r="M86" s="263">
        <v>44593</v>
      </c>
      <c r="N86" s="263">
        <v>44925</v>
      </c>
      <c r="O86" s="263">
        <v>44652</v>
      </c>
      <c r="P86" s="264">
        <f t="shared" si="0"/>
        <v>0.17771084337349397</v>
      </c>
      <c r="Q86" s="264">
        <f t="shared" si="1"/>
        <v>0.17771084337349397</v>
      </c>
      <c r="R86" s="265">
        <v>1</v>
      </c>
      <c r="S86" s="266">
        <v>0.25</v>
      </c>
      <c r="T86" s="266">
        <v>0.5</v>
      </c>
      <c r="U86" s="266">
        <v>0.75</v>
      </c>
      <c r="V86" s="266">
        <v>1</v>
      </c>
      <c r="W86" s="266">
        <v>0.05</v>
      </c>
      <c r="X86" s="266" t="s">
        <v>406</v>
      </c>
      <c r="Y86" s="331" t="s">
        <v>402</v>
      </c>
      <c r="Z86" s="306"/>
      <c r="AA86" s="266">
        <v>0.3</v>
      </c>
      <c r="AB86" s="266" t="s">
        <v>406</v>
      </c>
      <c r="AC86" s="268"/>
      <c r="AD86" s="306">
        <v>0</v>
      </c>
      <c r="AE86" s="522">
        <v>60</v>
      </c>
      <c r="AF86" s="268" t="s">
        <v>2442</v>
      </c>
      <c r="AG86" s="268" t="s">
        <v>2524</v>
      </c>
      <c r="AH86" s="267"/>
      <c r="AI86" s="268"/>
      <c r="AJ86" s="268"/>
      <c r="AK86" s="269"/>
    </row>
    <row r="87" spans="1:37" ht="59.25" hidden="1" customHeight="1" outlineLevel="1" x14ac:dyDescent="0.2">
      <c r="A87" s="673"/>
      <c r="B87" s="632"/>
      <c r="C87" s="632" t="s">
        <v>96</v>
      </c>
      <c r="D87" s="595"/>
      <c r="E87" s="690" t="s">
        <v>407</v>
      </c>
      <c r="F87" s="690" t="s">
        <v>408</v>
      </c>
      <c r="G87" s="286" t="s">
        <v>409</v>
      </c>
      <c r="H87" s="196" t="s">
        <v>410</v>
      </c>
      <c r="I87" s="628" t="s">
        <v>411</v>
      </c>
      <c r="J87" s="246" t="s">
        <v>412</v>
      </c>
      <c r="K87" s="256" t="s">
        <v>52</v>
      </c>
      <c r="L87" s="256"/>
      <c r="M87" s="263">
        <v>44593</v>
      </c>
      <c r="N87" s="263">
        <v>44925</v>
      </c>
      <c r="O87" s="263">
        <v>44652</v>
      </c>
      <c r="P87" s="264">
        <f t="shared" si="0"/>
        <v>0.17771084337349397</v>
      </c>
      <c r="Q87" s="264">
        <f t="shared" si="1"/>
        <v>0.17771084337349397</v>
      </c>
      <c r="R87" s="265">
        <v>0.5</v>
      </c>
      <c r="S87" s="266">
        <v>0.32</v>
      </c>
      <c r="T87" s="266">
        <v>0.35</v>
      </c>
      <c r="U87" s="266">
        <v>0.42</v>
      </c>
      <c r="V87" s="266">
        <v>0.5</v>
      </c>
      <c r="W87" s="266">
        <v>0.25</v>
      </c>
      <c r="X87" s="266" t="s">
        <v>2108</v>
      </c>
      <c r="Y87" s="331" t="s">
        <v>413</v>
      </c>
      <c r="Z87" s="306"/>
      <c r="AA87" s="266">
        <v>1</v>
      </c>
      <c r="AB87" s="268" t="s">
        <v>2109</v>
      </c>
      <c r="AC87" s="268"/>
      <c r="AD87" s="306">
        <v>0</v>
      </c>
      <c r="AE87" s="522">
        <v>100</v>
      </c>
      <c r="AF87" s="268" t="s">
        <v>2439</v>
      </c>
      <c r="AG87" s="268" t="s">
        <v>2524</v>
      </c>
      <c r="AH87" s="267"/>
      <c r="AI87" s="268"/>
      <c r="AJ87" s="268"/>
      <c r="AK87" s="269"/>
    </row>
    <row r="88" spans="1:37" ht="73.5" hidden="1" customHeight="1" outlineLevel="1" x14ac:dyDescent="0.2">
      <c r="A88" s="673"/>
      <c r="B88" s="632"/>
      <c r="C88" s="632"/>
      <c r="D88" s="595"/>
      <c r="E88" s="690"/>
      <c r="F88" s="690"/>
      <c r="G88" s="628" t="s">
        <v>233</v>
      </c>
      <c r="H88" s="196" t="s">
        <v>414</v>
      </c>
      <c r="I88" s="674"/>
      <c r="J88" s="246" t="s">
        <v>415</v>
      </c>
      <c r="K88" s="256" t="s">
        <v>52</v>
      </c>
      <c r="L88" s="256"/>
      <c r="M88" s="263">
        <v>44593</v>
      </c>
      <c r="N88" s="263">
        <v>44925</v>
      </c>
      <c r="O88" s="263">
        <v>44652</v>
      </c>
      <c r="P88" s="264">
        <f t="shared" si="0"/>
        <v>0.17771084337349397</v>
      </c>
      <c r="Q88" s="264">
        <f t="shared" si="1"/>
        <v>0.17771084337349397</v>
      </c>
      <c r="R88" s="265">
        <v>1</v>
      </c>
      <c r="S88" s="266">
        <v>0.25</v>
      </c>
      <c r="T88" s="266">
        <v>0.5</v>
      </c>
      <c r="U88" s="266">
        <v>0.75</v>
      </c>
      <c r="V88" s="266">
        <v>1</v>
      </c>
      <c r="W88" s="266">
        <v>0.25</v>
      </c>
      <c r="X88" s="266" t="s">
        <v>416</v>
      </c>
      <c r="Y88" s="331" t="s">
        <v>417</v>
      </c>
      <c r="Z88" s="306"/>
      <c r="AA88" s="266">
        <v>0.5</v>
      </c>
      <c r="AB88" s="266" t="s">
        <v>416</v>
      </c>
      <c r="AC88" s="268"/>
      <c r="AD88" s="306">
        <v>0</v>
      </c>
      <c r="AE88" s="522">
        <v>75</v>
      </c>
      <c r="AF88" s="268" t="s">
        <v>2440</v>
      </c>
      <c r="AG88" s="268" t="s">
        <v>2524</v>
      </c>
      <c r="AH88" s="267"/>
      <c r="AI88" s="268"/>
      <c r="AJ88" s="268"/>
      <c r="AK88" s="269"/>
    </row>
    <row r="89" spans="1:37" ht="73.5" hidden="1" customHeight="1" outlineLevel="1" x14ac:dyDescent="0.2">
      <c r="A89" s="407"/>
      <c r="B89" s="632"/>
      <c r="C89" s="632"/>
      <c r="D89" s="627"/>
      <c r="E89" s="690"/>
      <c r="F89" s="690"/>
      <c r="G89" s="629"/>
      <c r="H89" s="196" t="s">
        <v>418</v>
      </c>
      <c r="I89" s="629"/>
      <c r="J89" s="246" t="s">
        <v>419</v>
      </c>
      <c r="K89" s="256" t="s">
        <v>52</v>
      </c>
      <c r="L89" s="256"/>
      <c r="M89" s="263">
        <v>44593</v>
      </c>
      <c r="N89" s="263">
        <v>44925</v>
      </c>
      <c r="O89" s="263">
        <v>44652</v>
      </c>
      <c r="P89" s="264">
        <f t="shared" ref="P89:P130" si="2">+(+_xlfn.DAYS(M89,O89))/(+_xlfn.DAYS(M89,N89))</f>
        <v>0.17771084337349397</v>
      </c>
      <c r="Q89" s="264">
        <f t="shared" si="1"/>
        <v>0.17771084337349397</v>
      </c>
      <c r="R89" s="265">
        <v>1</v>
      </c>
      <c r="S89" s="266">
        <v>0.25</v>
      </c>
      <c r="T89" s="266">
        <v>0.5</v>
      </c>
      <c r="U89" s="266">
        <v>0.75</v>
      </c>
      <c r="V89" s="266">
        <v>1</v>
      </c>
      <c r="W89" s="266">
        <v>0.25</v>
      </c>
      <c r="X89" s="266" t="s">
        <v>420</v>
      </c>
      <c r="Y89" s="333" t="s">
        <v>421</v>
      </c>
      <c r="Z89" s="306"/>
      <c r="AA89" s="266">
        <v>0.5</v>
      </c>
      <c r="AB89" s="266" t="s">
        <v>2110</v>
      </c>
      <c r="AC89" s="268"/>
      <c r="AD89" s="306">
        <v>0</v>
      </c>
      <c r="AE89" s="522">
        <v>75</v>
      </c>
      <c r="AF89" s="268" t="s">
        <v>2441</v>
      </c>
      <c r="AG89" s="268" t="s">
        <v>2524</v>
      </c>
      <c r="AH89" s="267"/>
      <c r="AI89" s="268"/>
      <c r="AJ89" s="268"/>
      <c r="AK89" s="269"/>
    </row>
    <row r="90" spans="1:37" ht="96" customHeight="1" collapsed="1" thickBot="1" x14ac:dyDescent="0.25">
      <c r="A90" s="778" t="s">
        <v>38</v>
      </c>
      <c r="B90" s="779"/>
      <c r="C90" s="779"/>
      <c r="D90" s="779"/>
      <c r="E90" s="779"/>
      <c r="F90" s="779"/>
      <c r="G90" s="779"/>
      <c r="H90" s="779"/>
      <c r="I90" s="779"/>
      <c r="J90" s="779"/>
      <c r="K90" s="779"/>
      <c r="L90" s="779"/>
      <c r="M90" s="779"/>
      <c r="N90" s="780"/>
      <c r="O90" s="296">
        <v>44652</v>
      </c>
      <c r="P90" s="264" t="e">
        <f t="shared" si="2"/>
        <v>#DIV/0!</v>
      </c>
      <c r="Q90" s="366">
        <f>AVERAGE(Q8:Q89)</f>
        <v>0.17771084337349363</v>
      </c>
      <c r="R90" s="276">
        <v>100</v>
      </c>
      <c r="S90" s="652"/>
      <c r="T90" s="653"/>
      <c r="U90" s="653"/>
      <c r="V90" s="654"/>
      <c r="W90" s="276">
        <v>25</v>
      </c>
      <c r="X90" s="266"/>
      <c r="Y90" s="331"/>
      <c r="Z90" s="306"/>
      <c r="AA90" s="276">
        <v>45</v>
      </c>
      <c r="AB90" s="268"/>
      <c r="AC90" s="268"/>
      <c r="AD90" s="268"/>
      <c r="AE90" s="276">
        <v>68</v>
      </c>
      <c r="AF90" s="268"/>
      <c r="AG90" s="268"/>
      <c r="AH90" s="267"/>
      <c r="AI90" s="268"/>
      <c r="AJ90" s="268"/>
      <c r="AK90" s="269"/>
    </row>
    <row r="91" spans="1:37" ht="87.75" hidden="1" customHeight="1" outlineLevel="1" x14ac:dyDescent="0.2">
      <c r="A91" s="834" t="s">
        <v>422</v>
      </c>
      <c r="B91" s="740" t="s">
        <v>423</v>
      </c>
      <c r="C91" s="740" t="s">
        <v>424</v>
      </c>
      <c r="D91" s="582" t="s">
        <v>425</v>
      </c>
      <c r="E91" s="696" t="s">
        <v>426</v>
      </c>
      <c r="F91" s="696" t="s">
        <v>427</v>
      </c>
      <c r="G91" s="606" t="s">
        <v>428</v>
      </c>
      <c r="H91" s="196" t="s">
        <v>429</v>
      </c>
      <c r="I91" s="606" t="s">
        <v>430</v>
      </c>
      <c r="J91" s="9" t="s">
        <v>2270</v>
      </c>
      <c r="K91" s="306">
        <v>117730000</v>
      </c>
      <c r="L91" s="306">
        <v>0</v>
      </c>
      <c r="M91" s="263">
        <v>44593</v>
      </c>
      <c r="N91" s="263">
        <v>44925</v>
      </c>
      <c r="O91" s="263">
        <v>44652</v>
      </c>
      <c r="P91" s="264">
        <f t="shared" si="2"/>
        <v>0.17771084337349397</v>
      </c>
      <c r="Q91" s="264">
        <f t="shared" si="1"/>
        <v>0.17771084337349397</v>
      </c>
      <c r="R91" s="265">
        <v>1</v>
      </c>
      <c r="S91" s="266">
        <v>0.25</v>
      </c>
      <c r="T91" s="266">
        <v>0.5</v>
      </c>
      <c r="U91" s="266">
        <v>0.75</v>
      </c>
      <c r="V91" s="266">
        <v>1</v>
      </c>
      <c r="W91" s="266">
        <v>0.25</v>
      </c>
      <c r="X91" s="266" t="s">
        <v>432</v>
      </c>
      <c r="Y91" s="331" t="s">
        <v>433</v>
      </c>
      <c r="Z91" s="306">
        <v>55000000</v>
      </c>
      <c r="AA91" s="266">
        <v>0.5</v>
      </c>
      <c r="AB91" s="266" t="s">
        <v>434</v>
      </c>
      <c r="AC91" s="268" t="s">
        <v>435</v>
      </c>
      <c r="AD91" s="306">
        <v>0</v>
      </c>
      <c r="AE91" s="522">
        <v>90</v>
      </c>
      <c r="AF91" s="268" t="s">
        <v>2391</v>
      </c>
      <c r="AG91" s="268" t="s">
        <v>2524</v>
      </c>
      <c r="AH91" s="267"/>
      <c r="AI91" s="268"/>
      <c r="AJ91" s="268"/>
      <c r="AK91" s="269"/>
    </row>
    <row r="92" spans="1:37" ht="206.25" hidden="1" customHeight="1" outlineLevel="1" x14ac:dyDescent="0.2">
      <c r="A92" s="835"/>
      <c r="B92" s="739"/>
      <c r="C92" s="739"/>
      <c r="D92" s="583"/>
      <c r="E92" s="697"/>
      <c r="F92" s="697"/>
      <c r="G92" s="607"/>
      <c r="H92" s="196" t="s">
        <v>436</v>
      </c>
      <c r="I92" s="607"/>
      <c r="J92" s="9" t="s">
        <v>2270</v>
      </c>
      <c r="K92" s="256" t="s">
        <v>437</v>
      </c>
      <c r="L92" s="306">
        <v>0</v>
      </c>
      <c r="M92" s="263">
        <v>44593</v>
      </c>
      <c r="N92" s="263">
        <v>44925</v>
      </c>
      <c r="O92" s="263">
        <v>44652</v>
      </c>
      <c r="P92" s="264">
        <f t="shared" si="2"/>
        <v>0.17771084337349397</v>
      </c>
      <c r="Q92" s="264">
        <f t="shared" si="1"/>
        <v>0.17771084337349397</v>
      </c>
      <c r="R92" s="265">
        <v>1</v>
      </c>
      <c r="S92" s="266">
        <v>0.25</v>
      </c>
      <c r="T92" s="266">
        <v>0.5</v>
      </c>
      <c r="U92" s="266">
        <v>0.75</v>
      </c>
      <c r="V92" s="266">
        <v>1</v>
      </c>
      <c r="W92" s="266">
        <v>0.25</v>
      </c>
      <c r="X92" s="266" t="s">
        <v>438</v>
      </c>
      <c r="Y92" s="331" t="s">
        <v>433</v>
      </c>
      <c r="Z92" s="306">
        <v>0</v>
      </c>
      <c r="AA92" s="266">
        <v>0.5</v>
      </c>
      <c r="AB92" s="266" t="s">
        <v>434</v>
      </c>
      <c r="AC92" s="268" t="s">
        <v>435</v>
      </c>
      <c r="AD92" s="306">
        <v>0</v>
      </c>
      <c r="AE92" s="522">
        <v>90</v>
      </c>
      <c r="AF92" s="268" t="s">
        <v>2391</v>
      </c>
      <c r="AG92" s="268" t="s">
        <v>2524</v>
      </c>
      <c r="AH92" s="267"/>
      <c r="AI92" s="268"/>
      <c r="AJ92" s="268"/>
      <c r="AK92" s="269"/>
    </row>
    <row r="93" spans="1:37" ht="174" hidden="1" customHeight="1" outlineLevel="1" x14ac:dyDescent="0.2">
      <c r="A93" s="835"/>
      <c r="B93" s="739"/>
      <c r="C93" s="739"/>
      <c r="D93" s="583"/>
      <c r="E93" s="697"/>
      <c r="F93" s="697"/>
      <c r="G93" s="607"/>
      <c r="H93" s="196" t="s">
        <v>439</v>
      </c>
      <c r="I93" s="607"/>
      <c r="J93" s="9" t="s">
        <v>2270</v>
      </c>
      <c r="K93" s="256" t="s">
        <v>437</v>
      </c>
      <c r="L93" s="306">
        <v>0</v>
      </c>
      <c r="M93" s="263">
        <v>44593</v>
      </c>
      <c r="N93" s="263">
        <v>44925</v>
      </c>
      <c r="O93" s="263">
        <v>44652</v>
      </c>
      <c r="P93" s="264">
        <f t="shared" si="2"/>
        <v>0.17771084337349397</v>
      </c>
      <c r="Q93" s="264">
        <f t="shared" si="1"/>
        <v>0.17771084337349397</v>
      </c>
      <c r="R93" s="265">
        <v>1</v>
      </c>
      <c r="S93" s="266">
        <v>0.25</v>
      </c>
      <c r="T93" s="266">
        <v>0.5</v>
      </c>
      <c r="U93" s="266">
        <v>0.75</v>
      </c>
      <c r="V93" s="266">
        <v>1</v>
      </c>
      <c r="W93" s="266">
        <v>0.25</v>
      </c>
      <c r="X93" s="266" t="s">
        <v>440</v>
      </c>
      <c r="Y93" s="331" t="s">
        <v>441</v>
      </c>
      <c r="Z93" s="306">
        <v>0</v>
      </c>
      <c r="AA93" s="266">
        <v>0.5</v>
      </c>
      <c r="AB93" s="266" t="s">
        <v>434</v>
      </c>
      <c r="AC93" s="268" t="s">
        <v>435</v>
      </c>
      <c r="AD93" s="306">
        <v>0</v>
      </c>
      <c r="AE93" s="522">
        <v>90</v>
      </c>
      <c r="AF93" s="268" t="s">
        <v>2391</v>
      </c>
      <c r="AG93" s="268" t="s">
        <v>2524</v>
      </c>
      <c r="AH93" s="267"/>
      <c r="AI93" s="268"/>
      <c r="AJ93" s="268"/>
      <c r="AK93" s="269"/>
    </row>
    <row r="94" spans="1:37" ht="206.25" hidden="1" customHeight="1" outlineLevel="1" x14ac:dyDescent="0.2">
      <c r="A94" s="835"/>
      <c r="B94" s="739"/>
      <c r="C94" s="739"/>
      <c r="D94" s="583"/>
      <c r="E94" s="697"/>
      <c r="F94" s="697"/>
      <c r="G94" s="607"/>
      <c r="H94" s="196" t="s">
        <v>442</v>
      </c>
      <c r="I94" s="607"/>
      <c r="J94" s="9" t="s">
        <v>2270</v>
      </c>
      <c r="K94" s="256" t="s">
        <v>437</v>
      </c>
      <c r="L94" s="306">
        <v>0</v>
      </c>
      <c r="M94" s="263">
        <v>44593</v>
      </c>
      <c r="N94" s="263">
        <v>44925</v>
      </c>
      <c r="O94" s="263">
        <v>44652</v>
      </c>
      <c r="P94" s="264">
        <f t="shared" si="2"/>
        <v>0.17771084337349397</v>
      </c>
      <c r="Q94" s="264">
        <f t="shared" si="1"/>
        <v>0.17771084337349397</v>
      </c>
      <c r="R94" s="265">
        <v>1</v>
      </c>
      <c r="S94" s="266">
        <v>0.25</v>
      </c>
      <c r="T94" s="266">
        <v>0.5</v>
      </c>
      <c r="U94" s="266">
        <v>0.75</v>
      </c>
      <c r="V94" s="266">
        <v>1</v>
      </c>
      <c r="W94" s="266">
        <v>0.25</v>
      </c>
      <c r="X94" s="266" t="s">
        <v>443</v>
      </c>
      <c r="Y94" s="331" t="s">
        <v>441</v>
      </c>
      <c r="Z94" s="306">
        <v>0</v>
      </c>
      <c r="AA94" s="266">
        <v>0.5</v>
      </c>
      <c r="AB94" s="266" t="s">
        <v>434</v>
      </c>
      <c r="AC94" s="268" t="s">
        <v>435</v>
      </c>
      <c r="AD94" s="306">
        <v>0</v>
      </c>
      <c r="AE94" s="522">
        <v>90</v>
      </c>
      <c r="AF94" s="268" t="s">
        <v>2391</v>
      </c>
      <c r="AG94" s="268" t="s">
        <v>2524</v>
      </c>
      <c r="AH94" s="267"/>
      <c r="AI94" s="268"/>
      <c r="AJ94" s="268"/>
      <c r="AK94" s="269"/>
    </row>
    <row r="95" spans="1:37" ht="138" hidden="1" customHeight="1" outlineLevel="1" x14ac:dyDescent="0.2">
      <c r="A95" s="835"/>
      <c r="B95" s="739"/>
      <c r="C95" s="739"/>
      <c r="D95" s="583"/>
      <c r="E95" s="697"/>
      <c r="F95" s="697"/>
      <c r="G95" s="607"/>
      <c r="H95" s="196" t="s">
        <v>444</v>
      </c>
      <c r="I95" s="607"/>
      <c r="J95" s="9" t="s">
        <v>2270</v>
      </c>
      <c r="K95" s="307">
        <v>18207000</v>
      </c>
      <c r="L95" s="306">
        <v>0</v>
      </c>
      <c r="M95" s="263">
        <v>44593</v>
      </c>
      <c r="N95" s="263">
        <v>44925</v>
      </c>
      <c r="O95" s="263">
        <v>44652</v>
      </c>
      <c r="P95" s="264">
        <f t="shared" si="2"/>
        <v>0.17771084337349397</v>
      </c>
      <c r="Q95" s="264">
        <f t="shared" si="1"/>
        <v>0.17771084337349397</v>
      </c>
      <c r="R95" s="265">
        <v>1</v>
      </c>
      <c r="S95" s="266">
        <v>0.25</v>
      </c>
      <c r="T95" s="266">
        <v>0.5</v>
      </c>
      <c r="U95" s="266">
        <v>0.75</v>
      </c>
      <c r="V95" s="266">
        <v>1</v>
      </c>
      <c r="W95" s="266">
        <v>0.25</v>
      </c>
      <c r="X95" s="266" t="s">
        <v>445</v>
      </c>
      <c r="Y95" s="331" t="s">
        <v>441</v>
      </c>
      <c r="Z95" s="306">
        <v>0</v>
      </c>
      <c r="AA95" s="266">
        <v>0.5</v>
      </c>
      <c r="AB95" s="268" t="s">
        <v>446</v>
      </c>
      <c r="AC95" s="268" t="s">
        <v>435</v>
      </c>
      <c r="AD95" s="268">
        <v>26876000</v>
      </c>
      <c r="AE95" s="522">
        <v>65.400000000000006</v>
      </c>
      <c r="AF95" s="268" t="s">
        <v>2392</v>
      </c>
      <c r="AG95" s="268" t="s">
        <v>2524</v>
      </c>
      <c r="AH95" s="267"/>
      <c r="AI95" s="268"/>
      <c r="AJ95" s="268"/>
      <c r="AK95" s="269"/>
    </row>
    <row r="96" spans="1:37" ht="98.25" hidden="1" customHeight="1" outlineLevel="1" x14ac:dyDescent="0.2">
      <c r="A96" s="835"/>
      <c r="B96" s="739"/>
      <c r="C96" s="739"/>
      <c r="D96" s="583"/>
      <c r="E96" s="697"/>
      <c r="F96" s="697"/>
      <c r="G96" s="607"/>
      <c r="H96" s="196" t="s">
        <v>447</v>
      </c>
      <c r="I96" s="607"/>
      <c r="J96" s="9" t="s">
        <v>2270</v>
      </c>
      <c r="K96" s="307">
        <v>18207000</v>
      </c>
      <c r="L96" s="306">
        <v>0</v>
      </c>
      <c r="M96" s="263">
        <v>44593</v>
      </c>
      <c r="N96" s="263">
        <v>44925</v>
      </c>
      <c r="O96" s="263">
        <v>44652</v>
      </c>
      <c r="P96" s="264">
        <f t="shared" si="2"/>
        <v>0.17771084337349397</v>
      </c>
      <c r="Q96" s="264">
        <f t="shared" si="1"/>
        <v>0.17771084337349397</v>
      </c>
      <c r="R96" s="265">
        <v>1</v>
      </c>
      <c r="S96" s="266">
        <v>0.25</v>
      </c>
      <c r="T96" s="266">
        <v>0.5</v>
      </c>
      <c r="U96" s="266">
        <v>0.75</v>
      </c>
      <c r="V96" s="266">
        <v>1</v>
      </c>
      <c r="W96" s="266">
        <v>0.25</v>
      </c>
      <c r="X96" s="266" t="s">
        <v>445</v>
      </c>
      <c r="Y96" s="331" t="s">
        <v>441</v>
      </c>
      <c r="Z96" s="306">
        <v>0</v>
      </c>
      <c r="AA96" s="266">
        <v>0.5</v>
      </c>
      <c r="AB96" s="268" t="s">
        <v>448</v>
      </c>
      <c r="AC96" s="268" t="s">
        <v>435</v>
      </c>
      <c r="AD96" s="268">
        <v>18207000</v>
      </c>
      <c r="AE96" s="522">
        <v>65</v>
      </c>
      <c r="AF96" s="268" t="s">
        <v>2393</v>
      </c>
      <c r="AG96" s="268" t="s">
        <v>2524</v>
      </c>
      <c r="AH96" s="267"/>
      <c r="AI96" s="268"/>
      <c r="AJ96" s="268"/>
      <c r="AK96" s="269"/>
    </row>
    <row r="97" spans="1:37" ht="56.25" hidden="1" customHeight="1" outlineLevel="1" x14ac:dyDescent="0.2">
      <c r="A97" s="835"/>
      <c r="B97" s="739"/>
      <c r="C97" s="739"/>
      <c r="D97" s="583"/>
      <c r="E97" s="697"/>
      <c r="F97" s="697"/>
      <c r="G97" s="607"/>
      <c r="H97" s="196" t="s">
        <v>449</v>
      </c>
      <c r="I97" s="607"/>
      <c r="J97" s="9" t="s">
        <v>2270</v>
      </c>
      <c r="K97" s="307">
        <v>71274574</v>
      </c>
      <c r="L97" s="306">
        <v>0</v>
      </c>
      <c r="M97" s="263">
        <v>44593</v>
      </c>
      <c r="N97" s="263">
        <v>44925</v>
      </c>
      <c r="O97" s="263">
        <v>44652</v>
      </c>
      <c r="P97" s="264">
        <f t="shared" si="2"/>
        <v>0.17771084337349397</v>
      </c>
      <c r="Q97" s="264">
        <f t="shared" si="1"/>
        <v>0.17771084337349397</v>
      </c>
      <c r="R97" s="265">
        <v>1</v>
      </c>
      <c r="S97" s="266">
        <v>0.25</v>
      </c>
      <c r="T97" s="266">
        <v>0.5</v>
      </c>
      <c r="U97" s="266">
        <v>0.75</v>
      </c>
      <c r="V97" s="266">
        <v>1</v>
      </c>
      <c r="W97" s="266">
        <v>0.25</v>
      </c>
      <c r="X97" s="266" t="s">
        <v>445</v>
      </c>
      <c r="Y97" s="331" t="s">
        <v>441</v>
      </c>
      <c r="Z97" s="306">
        <v>0</v>
      </c>
      <c r="AA97" s="266">
        <v>0.5</v>
      </c>
      <c r="AB97" s="268" t="s">
        <v>450</v>
      </c>
      <c r="AC97" s="268" t="s">
        <v>435</v>
      </c>
      <c r="AD97" s="268">
        <v>71274574</v>
      </c>
      <c r="AE97" s="522">
        <v>86</v>
      </c>
      <c r="AF97" s="268" t="s">
        <v>2394</v>
      </c>
      <c r="AG97" s="268" t="s">
        <v>2524</v>
      </c>
      <c r="AH97" s="267"/>
      <c r="AI97" s="268"/>
      <c r="AJ97" s="268"/>
      <c r="AK97" s="269"/>
    </row>
    <row r="98" spans="1:37" ht="93.75" hidden="1" customHeight="1" outlineLevel="1" x14ac:dyDescent="0.2">
      <c r="A98" s="835"/>
      <c r="B98" s="739"/>
      <c r="C98" s="739"/>
      <c r="D98" s="583"/>
      <c r="E98" s="697"/>
      <c r="F98" s="697"/>
      <c r="G98" s="607"/>
      <c r="H98" s="196" t="s">
        <v>451</v>
      </c>
      <c r="I98" s="607"/>
      <c r="J98" s="9" t="s">
        <v>2270</v>
      </c>
      <c r="K98" s="256" t="s">
        <v>117</v>
      </c>
      <c r="L98" s="306">
        <v>0</v>
      </c>
      <c r="M98" s="263">
        <v>44593</v>
      </c>
      <c r="N98" s="263">
        <v>44925</v>
      </c>
      <c r="O98" s="263">
        <v>44652</v>
      </c>
      <c r="P98" s="264">
        <f t="shared" si="2"/>
        <v>0.17771084337349397</v>
      </c>
      <c r="Q98" s="264">
        <f t="shared" si="1"/>
        <v>0.17771084337349397</v>
      </c>
      <c r="R98" s="265">
        <v>1</v>
      </c>
      <c r="S98" s="266">
        <v>0.25</v>
      </c>
      <c r="T98" s="266">
        <v>0.5</v>
      </c>
      <c r="U98" s="266">
        <v>0.75</v>
      </c>
      <c r="V98" s="266">
        <v>1</v>
      </c>
      <c r="W98" s="266">
        <v>0.15</v>
      </c>
      <c r="X98" s="266" t="s">
        <v>452</v>
      </c>
      <c r="Y98" s="331" t="s">
        <v>453</v>
      </c>
      <c r="Z98" s="306">
        <v>0</v>
      </c>
      <c r="AA98" s="266">
        <v>0.3</v>
      </c>
      <c r="AB98" s="268" t="s">
        <v>454</v>
      </c>
      <c r="AC98" s="268" t="s">
        <v>52</v>
      </c>
      <c r="AD98" s="306">
        <v>0</v>
      </c>
      <c r="AE98" s="522">
        <v>40</v>
      </c>
      <c r="AF98" s="268" t="s">
        <v>2395</v>
      </c>
      <c r="AG98" s="268" t="s">
        <v>2524</v>
      </c>
      <c r="AH98" s="267"/>
      <c r="AI98" s="268"/>
      <c r="AJ98" s="268"/>
      <c r="AK98" s="269"/>
    </row>
    <row r="99" spans="1:37" ht="104.25" hidden="1" customHeight="1" outlineLevel="1" x14ac:dyDescent="0.2">
      <c r="A99" s="835"/>
      <c r="B99" s="739"/>
      <c r="C99" s="739"/>
      <c r="D99" s="583"/>
      <c r="E99" s="697"/>
      <c r="F99" s="697"/>
      <c r="G99" s="607"/>
      <c r="H99" s="196" t="s">
        <v>455</v>
      </c>
      <c r="I99" s="607"/>
      <c r="J99" s="9" t="s">
        <v>2270</v>
      </c>
      <c r="K99" s="256" t="s">
        <v>117</v>
      </c>
      <c r="L99" s="306">
        <v>0</v>
      </c>
      <c r="M99" s="263">
        <v>44593</v>
      </c>
      <c r="N99" s="263">
        <v>44925</v>
      </c>
      <c r="O99" s="263">
        <v>44652</v>
      </c>
      <c r="P99" s="264">
        <f t="shared" si="2"/>
        <v>0.17771084337349397</v>
      </c>
      <c r="Q99" s="264">
        <f t="shared" si="1"/>
        <v>0.17771084337349397</v>
      </c>
      <c r="R99" s="265">
        <v>1</v>
      </c>
      <c r="S99" s="266">
        <v>0.25</v>
      </c>
      <c r="T99" s="266">
        <v>0.5</v>
      </c>
      <c r="U99" s="266">
        <v>0.75</v>
      </c>
      <c r="V99" s="266">
        <v>1</v>
      </c>
      <c r="W99" s="266">
        <v>0.15</v>
      </c>
      <c r="X99" s="266" t="s">
        <v>452</v>
      </c>
      <c r="Y99" s="331" t="s">
        <v>453</v>
      </c>
      <c r="Z99" s="306">
        <v>0</v>
      </c>
      <c r="AA99" s="266">
        <v>0.25</v>
      </c>
      <c r="AB99" s="268" t="s">
        <v>456</v>
      </c>
      <c r="AC99" s="268" t="s">
        <v>95</v>
      </c>
      <c r="AD99" s="306">
        <v>0</v>
      </c>
      <c r="AE99" s="522">
        <v>25</v>
      </c>
      <c r="AF99" s="268" t="s">
        <v>2396</v>
      </c>
      <c r="AG99" s="268" t="s">
        <v>2524</v>
      </c>
      <c r="AH99" s="267"/>
      <c r="AI99" s="268"/>
      <c r="AJ99" s="268"/>
      <c r="AK99" s="269"/>
    </row>
    <row r="100" spans="1:37" ht="75" hidden="1" customHeight="1" outlineLevel="1" x14ac:dyDescent="0.2">
      <c r="A100" s="835"/>
      <c r="B100" s="739"/>
      <c r="C100" s="739"/>
      <c r="D100" s="583"/>
      <c r="E100" s="697"/>
      <c r="F100" s="697"/>
      <c r="G100" s="607"/>
      <c r="H100" s="196" t="s">
        <v>457</v>
      </c>
      <c r="I100" s="607"/>
      <c r="J100" s="9" t="s">
        <v>2270</v>
      </c>
      <c r="K100" s="256" t="s">
        <v>117</v>
      </c>
      <c r="L100" s="306">
        <v>0</v>
      </c>
      <c r="M100" s="263">
        <v>44593</v>
      </c>
      <c r="N100" s="263">
        <v>44925</v>
      </c>
      <c r="O100" s="263">
        <v>44652</v>
      </c>
      <c r="P100" s="264">
        <f t="shared" si="2"/>
        <v>0.17771084337349397</v>
      </c>
      <c r="Q100" s="264">
        <f t="shared" si="1"/>
        <v>0.17771084337349397</v>
      </c>
      <c r="R100" s="265">
        <v>1</v>
      </c>
      <c r="S100" s="266">
        <v>0.25</v>
      </c>
      <c r="T100" s="266">
        <v>0.5</v>
      </c>
      <c r="U100" s="266">
        <v>0.75</v>
      </c>
      <c r="V100" s="266">
        <v>1</v>
      </c>
      <c r="W100" s="266">
        <v>0.15</v>
      </c>
      <c r="X100" s="266" t="s">
        <v>452</v>
      </c>
      <c r="Y100" s="331" t="s">
        <v>453</v>
      </c>
      <c r="Z100" s="306">
        <v>0</v>
      </c>
      <c r="AA100" s="266">
        <v>0.5</v>
      </c>
      <c r="AB100" s="268" t="s">
        <v>458</v>
      </c>
      <c r="AC100" s="268" t="s">
        <v>459</v>
      </c>
      <c r="AD100" s="306">
        <v>0</v>
      </c>
      <c r="AE100" s="522">
        <v>50</v>
      </c>
      <c r="AF100" s="268" t="s">
        <v>2397</v>
      </c>
      <c r="AG100" s="268" t="s">
        <v>2524</v>
      </c>
      <c r="AH100" s="267"/>
      <c r="AI100" s="268"/>
      <c r="AJ100" s="268"/>
      <c r="AK100" s="269"/>
    </row>
    <row r="101" spans="1:37" ht="75" hidden="1" customHeight="1" outlineLevel="1" x14ac:dyDescent="0.2">
      <c r="A101" s="835"/>
      <c r="B101" s="739"/>
      <c r="C101" s="739"/>
      <c r="D101" s="583"/>
      <c r="E101" s="697"/>
      <c r="F101" s="697"/>
      <c r="G101" s="607"/>
      <c r="H101" s="196" t="s">
        <v>460</v>
      </c>
      <c r="I101" s="607"/>
      <c r="J101" s="9" t="s">
        <v>2270</v>
      </c>
      <c r="K101" s="256" t="s">
        <v>117</v>
      </c>
      <c r="L101" s="306">
        <v>0</v>
      </c>
      <c r="M101" s="263">
        <v>44593</v>
      </c>
      <c r="N101" s="263">
        <v>44925</v>
      </c>
      <c r="O101" s="263">
        <v>44652</v>
      </c>
      <c r="P101" s="264">
        <f t="shared" si="2"/>
        <v>0.17771084337349397</v>
      </c>
      <c r="Q101" s="264">
        <f t="shared" si="1"/>
        <v>0.17771084337349397</v>
      </c>
      <c r="R101" s="265">
        <v>1</v>
      </c>
      <c r="S101" s="266">
        <v>0.25</v>
      </c>
      <c r="T101" s="266">
        <v>0.5</v>
      </c>
      <c r="U101" s="266">
        <v>0.75</v>
      </c>
      <c r="V101" s="266">
        <v>1</v>
      </c>
      <c r="W101" s="266">
        <v>0.15</v>
      </c>
      <c r="X101" s="266" t="s">
        <v>452</v>
      </c>
      <c r="Y101" s="331" t="s">
        <v>453</v>
      </c>
      <c r="Z101" s="306">
        <v>0</v>
      </c>
      <c r="AA101" s="266">
        <v>0.3</v>
      </c>
      <c r="AB101" s="268" t="s">
        <v>461</v>
      </c>
      <c r="AC101" s="268" t="s">
        <v>95</v>
      </c>
      <c r="AD101" s="306">
        <v>0</v>
      </c>
      <c r="AE101" s="522">
        <v>30</v>
      </c>
      <c r="AF101" s="268" t="s">
        <v>2398</v>
      </c>
      <c r="AG101" s="268" t="s">
        <v>2524</v>
      </c>
      <c r="AH101" s="267"/>
      <c r="AI101" s="268"/>
      <c r="AJ101" s="268"/>
      <c r="AK101" s="269"/>
    </row>
    <row r="102" spans="1:37" ht="93.75" hidden="1" customHeight="1" outlineLevel="1" x14ac:dyDescent="0.2">
      <c r="A102" s="835"/>
      <c r="B102" s="739"/>
      <c r="C102" s="739"/>
      <c r="D102" s="583"/>
      <c r="E102" s="697"/>
      <c r="F102" s="697"/>
      <c r="G102" s="607"/>
      <c r="H102" s="196" t="s">
        <v>462</v>
      </c>
      <c r="I102" s="607"/>
      <c r="J102" s="9" t="s">
        <v>2270</v>
      </c>
      <c r="K102" s="256" t="s">
        <v>117</v>
      </c>
      <c r="L102" s="306">
        <v>0</v>
      </c>
      <c r="M102" s="263">
        <v>44593</v>
      </c>
      <c r="N102" s="263">
        <v>44925</v>
      </c>
      <c r="O102" s="263">
        <v>44652</v>
      </c>
      <c r="P102" s="264">
        <f t="shared" si="2"/>
        <v>0.17771084337349397</v>
      </c>
      <c r="Q102" s="264">
        <f t="shared" si="1"/>
        <v>0.17771084337349397</v>
      </c>
      <c r="R102" s="265">
        <v>1</v>
      </c>
      <c r="S102" s="266">
        <v>0.25</v>
      </c>
      <c r="T102" s="266">
        <v>0.5</v>
      </c>
      <c r="U102" s="266">
        <v>0.75</v>
      </c>
      <c r="V102" s="266">
        <v>1</v>
      </c>
      <c r="W102" s="266">
        <v>0.15</v>
      </c>
      <c r="X102" s="266" t="s">
        <v>452</v>
      </c>
      <c r="Y102" s="331" t="s">
        <v>453</v>
      </c>
      <c r="Z102" s="306">
        <v>0</v>
      </c>
      <c r="AA102" s="266">
        <v>0.4</v>
      </c>
      <c r="AB102" s="268" t="s">
        <v>463</v>
      </c>
      <c r="AC102" s="268" t="s">
        <v>52</v>
      </c>
      <c r="AD102" s="306">
        <v>0</v>
      </c>
      <c r="AE102" s="522">
        <v>40</v>
      </c>
      <c r="AF102" s="268" t="s">
        <v>2399</v>
      </c>
      <c r="AG102" s="268" t="s">
        <v>2524</v>
      </c>
      <c r="AH102" s="267"/>
      <c r="AI102" s="268"/>
      <c r="AJ102" s="268"/>
      <c r="AK102" s="269"/>
    </row>
    <row r="103" spans="1:37" ht="56.25" hidden="1" customHeight="1" outlineLevel="1" x14ac:dyDescent="0.2">
      <c r="A103" s="835"/>
      <c r="B103" s="739"/>
      <c r="C103" s="739"/>
      <c r="D103" s="583"/>
      <c r="E103" s="697"/>
      <c r="F103" s="697"/>
      <c r="G103" s="607"/>
      <c r="H103" s="565" t="s">
        <v>464</v>
      </c>
      <c r="I103" s="607"/>
      <c r="J103" s="256" t="s">
        <v>465</v>
      </c>
      <c r="K103" s="256" t="s">
        <v>117</v>
      </c>
      <c r="L103" s="306">
        <v>0</v>
      </c>
      <c r="M103" s="263">
        <v>44593</v>
      </c>
      <c r="N103" s="263">
        <v>44925</v>
      </c>
      <c r="O103" s="263">
        <v>44652</v>
      </c>
      <c r="P103" s="264">
        <f>+(+_xlfn.DAYS(M103,O103))/(+_xlfn.DAYS(M103,N103))</f>
        <v>0.17771084337349397</v>
      </c>
      <c r="Q103" s="264">
        <f>+IF(P103&gt;=100,100,IF(P103&lt;=0,0,P103))</f>
        <v>0.17771084337349397</v>
      </c>
      <c r="R103" s="265">
        <v>1</v>
      </c>
      <c r="S103" s="266">
        <v>0.25</v>
      </c>
      <c r="T103" s="266">
        <v>0.5</v>
      </c>
      <c r="U103" s="266">
        <v>0.75</v>
      </c>
      <c r="V103" s="266">
        <v>1</v>
      </c>
      <c r="W103" s="266">
        <v>0</v>
      </c>
      <c r="X103" s="335" t="s">
        <v>466</v>
      </c>
      <c r="Y103" s="331"/>
      <c r="Z103" s="306">
        <v>0</v>
      </c>
      <c r="AA103" s="335">
        <v>0.5</v>
      </c>
      <c r="AB103" s="268" t="s">
        <v>467</v>
      </c>
      <c r="AC103" s="268" t="s">
        <v>52</v>
      </c>
      <c r="AD103" s="306">
        <v>0</v>
      </c>
      <c r="AE103" s="522">
        <v>70</v>
      </c>
      <c r="AF103" s="268" t="s">
        <v>2400</v>
      </c>
      <c r="AG103" s="268" t="s">
        <v>2524</v>
      </c>
      <c r="AH103" s="267"/>
      <c r="AI103" s="268"/>
      <c r="AJ103" s="268"/>
      <c r="AK103" s="269"/>
    </row>
    <row r="104" spans="1:37" ht="123" hidden="1" customHeight="1" outlineLevel="1" x14ac:dyDescent="0.2">
      <c r="A104" s="835"/>
      <c r="B104" s="646" t="s">
        <v>423</v>
      </c>
      <c r="C104" s="646" t="s">
        <v>468</v>
      </c>
      <c r="D104" s="594" t="s">
        <v>469</v>
      </c>
      <c r="E104" s="698" t="s">
        <v>470</v>
      </c>
      <c r="F104" s="644" t="s">
        <v>471</v>
      </c>
      <c r="G104" s="286" t="s">
        <v>472</v>
      </c>
      <c r="H104" s="196" t="s">
        <v>473</v>
      </c>
      <c r="I104" s="286" t="s">
        <v>474</v>
      </c>
      <c r="J104" s="246" t="s">
        <v>475</v>
      </c>
      <c r="K104" s="306">
        <v>33600000</v>
      </c>
      <c r="L104" s="306">
        <v>8413440</v>
      </c>
      <c r="M104" s="263">
        <v>44593</v>
      </c>
      <c r="N104" s="263">
        <v>44925</v>
      </c>
      <c r="O104" s="263">
        <v>44652</v>
      </c>
      <c r="P104" s="264">
        <f t="shared" si="2"/>
        <v>0.17771084337349397</v>
      </c>
      <c r="Q104" s="264">
        <f t="shared" si="1"/>
        <v>0.17771084337349397</v>
      </c>
      <c r="R104" s="265">
        <v>0.65</v>
      </c>
      <c r="S104" s="266">
        <v>0.54</v>
      </c>
      <c r="T104" s="266">
        <v>0.57999999999999996</v>
      </c>
      <c r="U104" s="266">
        <v>0.62</v>
      </c>
      <c r="V104" s="266">
        <v>0.65</v>
      </c>
      <c r="W104" s="266">
        <v>0.02</v>
      </c>
      <c r="X104" s="266" t="s">
        <v>476</v>
      </c>
      <c r="Y104" s="333" t="s">
        <v>477</v>
      </c>
      <c r="Z104" s="306">
        <v>17858400</v>
      </c>
      <c r="AA104" s="266">
        <v>0.53</v>
      </c>
      <c r="AB104" s="268" t="s">
        <v>478</v>
      </c>
      <c r="AC104" s="268" t="s">
        <v>303</v>
      </c>
      <c r="AD104" s="306">
        <v>0</v>
      </c>
      <c r="AE104" s="522">
        <v>90</v>
      </c>
      <c r="AF104" s="268" t="s">
        <v>2272</v>
      </c>
      <c r="AG104" s="268" t="s">
        <v>2524</v>
      </c>
      <c r="AH104" s="267"/>
      <c r="AI104" s="268"/>
      <c r="AJ104" s="268"/>
      <c r="AK104" s="269"/>
    </row>
    <row r="105" spans="1:37" ht="123" hidden="1" customHeight="1" outlineLevel="1" x14ac:dyDescent="0.2">
      <c r="A105" s="835"/>
      <c r="B105" s="646"/>
      <c r="C105" s="646"/>
      <c r="D105" s="595"/>
      <c r="E105" s="698"/>
      <c r="F105" s="645"/>
      <c r="G105" s="468"/>
      <c r="H105" s="557" t="s">
        <v>2063</v>
      </c>
      <c r="I105" s="286"/>
      <c r="J105" s="246"/>
      <c r="K105" s="477"/>
      <c r="L105" s="306"/>
      <c r="M105" s="263"/>
      <c r="N105" s="263"/>
      <c r="O105" s="263"/>
      <c r="P105" s="264"/>
      <c r="Q105" s="264"/>
      <c r="R105" s="265"/>
      <c r="S105" s="266"/>
      <c r="T105" s="266"/>
      <c r="U105" s="266"/>
      <c r="V105" s="266"/>
      <c r="W105" s="266">
        <v>0</v>
      </c>
      <c r="X105" s="266" t="s">
        <v>52</v>
      </c>
      <c r="Y105" s="333"/>
      <c r="Z105" s="306"/>
      <c r="AA105" s="266">
        <v>0</v>
      </c>
      <c r="AB105" s="268" t="s">
        <v>2064</v>
      </c>
      <c r="AC105" s="268" t="s">
        <v>52</v>
      </c>
      <c r="AD105" s="306">
        <v>0</v>
      </c>
      <c r="AE105" s="266">
        <v>0.4</v>
      </c>
      <c r="AF105" s="268" t="s">
        <v>2271</v>
      </c>
      <c r="AG105" s="268" t="s">
        <v>2524</v>
      </c>
      <c r="AH105" s="267"/>
      <c r="AI105" s="268"/>
      <c r="AJ105" s="268"/>
      <c r="AK105" s="269"/>
    </row>
    <row r="106" spans="1:37" ht="168.75" hidden="1" customHeight="1" outlineLevel="1" x14ac:dyDescent="0.2">
      <c r="A106" s="835"/>
      <c r="B106" s="646"/>
      <c r="C106" s="646"/>
      <c r="D106" s="595"/>
      <c r="E106" s="698"/>
      <c r="F106" s="630" t="s">
        <v>479</v>
      </c>
      <c r="G106" s="628" t="s">
        <v>472</v>
      </c>
      <c r="H106" s="711" t="s">
        <v>480</v>
      </c>
      <c r="I106" s="286" t="s">
        <v>481</v>
      </c>
      <c r="J106" s="246" t="s">
        <v>482</v>
      </c>
      <c r="L106" s="306">
        <v>101121</v>
      </c>
      <c r="M106" s="263">
        <v>44593</v>
      </c>
      <c r="N106" s="263">
        <v>44925</v>
      </c>
      <c r="O106" s="263">
        <v>44652</v>
      </c>
      <c r="P106" s="264">
        <f t="shared" si="2"/>
        <v>0.17771084337349397</v>
      </c>
      <c r="Q106" s="264">
        <f t="shared" si="1"/>
        <v>0.17771084337349397</v>
      </c>
      <c r="R106" s="265">
        <v>0.8</v>
      </c>
      <c r="S106" s="266">
        <v>0.72</v>
      </c>
      <c r="T106" s="266">
        <v>0.75</v>
      </c>
      <c r="U106" s="266">
        <v>0.78</v>
      </c>
      <c r="V106" s="266">
        <v>0.8</v>
      </c>
      <c r="W106" s="266">
        <v>0.25</v>
      </c>
      <c r="X106" s="266" t="s">
        <v>483</v>
      </c>
      <c r="Y106" s="333" t="s">
        <v>477</v>
      </c>
      <c r="Z106" s="306"/>
      <c r="AA106" s="266">
        <v>0.5</v>
      </c>
      <c r="AB106" s="268" t="s">
        <v>2273</v>
      </c>
      <c r="AC106" s="268" t="s">
        <v>485</v>
      </c>
      <c r="AD106" s="306">
        <v>0</v>
      </c>
      <c r="AE106" s="522">
        <v>75</v>
      </c>
      <c r="AF106" s="268" t="s">
        <v>2274</v>
      </c>
      <c r="AG106" s="268" t="s">
        <v>2524</v>
      </c>
      <c r="AH106" s="267"/>
      <c r="AI106" s="268"/>
      <c r="AJ106" s="268"/>
      <c r="AK106" s="269"/>
    </row>
    <row r="107" spans="1:37" ht="122.25" hidden="1" customHeight="1" outlineLevel="1" x14ac:dyDescent="0.2">
      <c r="A107" s="835"/>
      <c r="B107" s="646"/>
      <c r="C107" s="646"/>
      <c r="D107" s="595"/>
      <c r="E107" s="698"/>
      <c r="F107" s="695"/>
      <c r="G107" s="629"/>
      <c r="H107" s="712"/>
      <c r="I107" s="286" t="s">
        <v>486</v>
      </c>
      <c r="J107" s="246" t="s">
        <v>487</v>
      </c>
      <c r="K107" s="306">
        <v>145602450</v>
      </c>
      <c r="L107" s="307"/>
      <c r="M107" s="263">
        <v>44593</v>
      </c>
      <c r="N107" s="263">
        <v>44925</v>
      </c>
      <c r="O107" s="263">
        <v>44652</v>
      </c>
      <c r="P107" s="264">
        <f t="shared" si="2"/>
        <v>0.17771084337349397</v>
      </c>
      <c r="Q107" s="264">
        <f>+IF(P107&gt;=100,100,IF(P107&lt;=0,0,P107))</f>
        <v>0.17771084337349397</v>
      </c>
      <c r="R107" s="265">
        <v>0.75</v>
      </c>
      <c r="S107" s="266">
        <v>63</v>
      </c>
      <c r="T107" s="266">
        <v>0.67</v>
      </c>
      <c r="U107" s="266">
        <v>0.71</v>
      </c>
      <c r="V107" s="266">
        <v>0.75</v>
      </c>
      <c r="W107" s="266">
        <v>0.02</v>
      </c>
      <c r="X107" s="266" t="s">
        <v>488</v>
      </c>
      <c r="Y107" s="333" t="s">
        <v>477</v>
      </c>
      <c r="Z107" s="306">
        <v>0</v>
      </c>
      <c r="AA107" s="266">
        <v>0.4</v>
      </c>
      <c r="AB107" s="268" t="s">
        <v>489</v>
      </c>
      <c r="AC107" s="268" t="s">
        <v>490</v>
      </c>
      <c r="AD107" s="306">
        <v>0</v>
      </c>
      <c r="AE107" s="522">
        <v>40</v>
      </c>
      <c r="AF107" s="268" t="s">
        <v>2275</v>
      </c>
      <c r="AG107" s="268" t="s">
        <v>2524</v>
      </c>
      <c r="AH107" s="267"/>
      <c r="AI107" s="268"/>
      <c r="AJ107" s="268"/>
      <c r="AK107" s="269"/>
    </row>
    <row r="108" spans="1:37" ht="155.25" hidden="1" customHeight="1" outlineLevel="1" x14ac:dyDescent="0.2">
      <c r="A108" s="835"/>
      <c r="B108" s="646"/>
      <c r="C108" s="646"/>
      <c r="D108" s="595"/>
      <c r="E108" s="698"/>
      <c r="F108" s="630" t="s">
        <v>491</v>
      </c>
      <c r="G108" s="628" t="s">
        <v>472</v>
      </c>
      <c r="H108" s="711" t="s">
        <v>492</v>
      </c>
      <c r="I108" s="286" t="s">
        <v>493</v>
      </c>
      <c r="J108" s="246" t="s">
        <v>494</v>
      </c>
      <c r="K108" s="307" t="s">
        <v>52</v>
      </c>
      <c r="L108" s="307" t="s">
        <v>52</v>
      </c>
      <c r="M108" s="263">
        <v>44593</v>
      </c>
      <c r="N108" s="263">
        <v>44925</v>
      </c>
      <c r="O108" s="263">
        <v>44652</v>
      </c>
      <c r="P108" s="264">
        <f t="shared" si="2"/>
        <v>0.17771084337349397</v>
      </c>
      <c r="Q108" s="264">
        <f t="shared" si="1"/>
        <v>0.17771084337349397</v>
      </c>
      <c r="R108" s="265">
        <v>1</v>
      </c>
      <c r="S108" s="266">
        <v>0.92</v>
      </c>
      <c r="T108" s="266">
        <v>0.95</v>
      </c>
      <c r="U108" s="266">
        <v>0.98</v>
      </c>
      <c r="V108" s="266">
        <v>1</v>
      </c>
      <c r="W108" s="266">
        <v>0.5</v>
      </c>
      <c r="X108" s="266" t="s">
        <v>495</v>
      </c>
      <c r="Y108" s="331" t="s">
        <v>52</v>
      </c>
      <c r="Z108" s="306">
        <v>0</v>
      </c>
      <c r="AA108" s="266">
        <v>0.7</v>
      </c>
      <c r="AB108" s="268" t="s">
        <v>496</v>
      </c>
      <c r="AC108" s="268" t="s">
        <v>2524</v>
      </c>
      <c r="AD108" s="306">
        <v>0</v>
      </c>
      <c r="AE108" s="522">
        <v>100</v>
      </c>
      <c r="AF108" s="268" t="s">
        <v>2276</v>
      </c>
      <c r="AG108" s="268" t="s">
        <v>2524</v>
      </c>
      <c r="AH108" s="267"/>
      <c r="AI108" s="268"/>
      <c r="AJ108" s="268"/>
      <c r="AK108" s="269"/>
    </row>
    <row r="109" spans="1:37" ht="210.75" hidden="1" customHeight="1" outlineLevel="1" x14ac:dyDescent="0.2">
      <c r="A109" s="835"/>
      <c r="B109" s="646"/>
      <c r="C109" s="646"/>
      <c r="D109" s="595"/>
      <c r="E109" s="698"/>
      <c r="F109" s="695"/>
      <c r="G109" s="629"/>
      <c r="H109" s="712"/>
      <c r="I109" s="396" t="s">
        <v>497</v>
      </c>
      <c r="J109" s="246" t="s">
        <v>494</v>
      </c>
      <c r="K109" s="307" t="s">
        <v>52</v>
      </c>
      <c r="L109" s="306">
        <v>957950</v>
      </c>
      <c r="M109" s="263">
        <v>44593</v>
      </c>
      <c r="N109" s="263">
        <v>44925</v>
      </c>
      <c r="O109" s="263">
        <v>44652</v>
      </c>
      <c r="P109" s="264">
        <f>+(+_xlfn.DAYS(M109,O109))/(+_xlfn.DAYS(M109,N109))</f>
        <v>0.17771084337349397</v>
      </c>
      <c r="Q109" s="264">
        <f>+IF(P109&gt;=100,100,IF(P109&lt;=0,0,P109))</f>
        <v>0.17771084337349397</v>
      </c>
      <c r="R109" s="265">
        <v>0.5</v>
      </c>
      <c r="S109" s="266">
        <v>0.28000000000000003</v>
      </c>
      <c r="T109" s="266">
        <v>0.25</v>
      </c>
      <c r="U109" s="266">
        <v>0.45</v>
      </c>
      <c r="V109" s="266">
        <v>0.5</v>
      </c>
      <c r="W109" s="266">
        <v>0.25</v>
      </c>
      <c r="X109" s="266" t="s">
        <v>498</v>
      </c>
      <c r="Y109" s="333" t="s">
        <v>477</v>
      </c>
      <c r="Z109" s="306">
        <v>0</v>
      </c>
      <c r="AA109" s="266">
        <v>0.7</v>
      </c>
      <c r="AB109" s="268" t="s">
        <v>499</v>
      </c>
      <c r="AC109" s="268" t="s">
        <v>2524</v>
      </c>
      <c r="AD109" s="306">
        <v>0</v>
      </c>
      <c r="AE109" s="522">
        <v>80</v>
      </c>
      <c r="AF109" s="268" t="s">
        <v>2277</v>
      </c>
      <c r="AG109" s="268" t="s">
        <v>2524</v>
      </c>
      <c r="AH109" s="267"/>
      <c r="AI109" s="268"/>
      <c r="AJ109" s="268"/>
      <c r="AK109" s="269"/>
    </row>
    <row r="110" spans="1:37" ht="139.5" hidden="1" customHeight="1" outlineLevel="1" x14ac:dyDescent="0.2">
      <c r="A110" s="835"/>
      <c r="B110" s="646"/>
      <c r="C110" s="646"/>
      <c r="D110" s="595"/>
      <c r="E110" s="698"/>
      <c r="F110" s="630" t="s">
        <v>500</v>
      </c>
      <c r="G110" s="286" t="s">
        <v>472</v>
      </c>
      <c r="H110" s="196" t="s">
        <v>501</v>
      </c>
      <c r="I110" s="628" t="s">
        <v>502</v>
      </c>
      <c r="J110" s="246" t="s">
        <v>494</v>
      </c>
      <c r="K110" s="306" t="s">
        <v>52</v>
      </c>
      <c r="L110" s="306" t="s">
        <v>52</v>
      </c>
      <c r="M110" s="263">
        <v>44593</v>
      </c>
      <c r="N110" s="263">
        <v>44925</v>
      </c>
      <c r="O110" s="263">
        <v>44652</v>
      </c>
      <c r="P110" s="264">
        <f>+(+_xlfn.DAYS(M110,O110))/(+_xlfn.DAYS(M110,N110))</f>
        <v>0.17771084337349397</v>
      </c>
      <c r="Q110" s="264">
        <f>+IF(P110&gt;=100,100,IF(P110&lt;=0,0,P110))</f>
        <v>0.17771084337349397</v>
      </c>
      <c r="R110" s="265">
        <v>1</v>
      </c>
      <c r="S110" s="266">
        <v>0.65</v>
      </c>
      <c r="T110" s="266">
        <v>0.78</v>
      </c>
      <c r="U110" s="266">
        <v>0.88</v>
      </c>
      <c r="V110" s="266">
        <v>1</v>
      </c>
      <c r="W110" s="266">
        <v>0.5</v>
      </c>
      <c r="X110" s="266" t="s">
        <v>503</v>
      </c>
      <c r="Y110" s="331" t="s">
        <v>504</v>
      </c>
      <c r="Z110" s="307">
        <v>0</v>
      </c>
      <c r="AA110" s="266">
        <v>0.7</v>
      </c>
      <c r="AB110" s="268" t="s">
        <v>496</v>
      </c>
      <c r="AC110" s="268" t="s">
        <v>2524</v>
      </c>
      <c r="AD110" s="306">
        <v>0</v>
      </c>
      <c r="AE110" s="522">
        <v>100</v>
      </c>
      <c r="AF110" s="268" t="s">
        <v>2278</v>
      </c>
      <c r="AG110" s="268" t="s">
        <v>2524</v>
      </c>
      <c r="AH110" s="267"/>
      <c r="AI110" s="268"/>
      <c r="AJ110" s="268"/>
      <c r="AK110" s="269"/>
    </row>
    <row r="111" spans="1:37" ht="217.5" hidden="1" customHeight="1" outlineLevel="1" x14ac:dyDescent="0.2">
      <c r="A111" s="835"/>
      <c r="B111" s="646"/>
      <c r="C111" s="646"/>
      <c r="D111" s="595"/>
      <c r="E111" s="698"/>
      <c r="F111" s="695"/>
      <c r="G111" s="286" t="s">
        <v>472</v>
      </c>
      <c r="H111" s="196" t="s">
        <v>505</v>
      </c>
      <c r="I111" s="629"/>
      <c r="J111" s="246" t="s">
        <v>506</v>
      </c>
      <c r="K111" s="306">
        <v>35000000</v>
      </c>
      <c r="L111" s="306">
        <v>7000000</v>
      </c>
      <c r="M111" s="263">
        <v>44593</v>
      </c>
      <c r="N111" s="263">
        <v>44925</v>
      </c>
      <c r="O111" s="263">
        <v>44652</v>
      </c>
      <c r="P111" s="264">
        <f>+(+_xlfn.DAYS(M111,O111))/(+_xlfn.DAYS(M111,N111))</f>
        <v>0.17771084337349397</v>
      </c>
      <c r="Q111" s="264">
        <f>+IF(P111&gt;=100,100,IF(P111&lt;=0,0,P111))</f>
        <v>0.17771084337349397</v>
      </c>
      <c r="R111" s="265">
        <v>0.5</v>
      </c>
      <c r="S111" s="266">
        <v>0.31</v>
      </c>
      <c r="T111" s="266">
        <v>0.37</v>
      </c>
      <c r="U111" s="266">
        <v>0.44</v>
      </c>
      <c r="V111" s="266">
        <v>0.5</v>
      </c>
      <c r="W111" s="266">
        <v>0.25</v>
      </c>
      <c r="X111" s="335" t="s">
        <v>507</v>
      </c>
      <c r="Y111" s="333" t="s">
        <v>477</v>
      </c>
      <c r="Z111" s="306"/>
      <c r="AA111" s="266">
        <v>0.53</v>
      </c>
      <c r="AB111" s="268" t="s">
        <v>508</v>
      </c>
      <c r="AC111" s="268" t="s">
        <v>2524</v>
      </c>
      <c r="AD111" s="306">
        <v>0</v>
      </c>
      <c r="AE111" s="522">
        <v>90</v>
      </c>
      <c r="AF111" s="268" t="s">
        <v>2279</v>
      </c>
      <c r="AG111" s="268" t="s">
        <v>2524</v>
      </c>
      <c r="AH111" s="267"/>
      <c r="AI111" s="268"/>
      <c r="AJ111" s="268"/>
      <c r="AK111" s="269"/>
    </row>
    <row r="112" spans="1:37" ht="93.75" hidden="1" customHeight="1" outlineLevel="1" x14ac:dyDescent="0.2">
      <c r="A112" s="835"/>
      <c r="B112" s="646"/>
      <c r="C112" s="646"/>
      <c r="D112" s="595"/>
      <c r="E112" s="698"/>
      <c r="F112" s="412" t="s">
        <v>509</v>
      </c>
      <c r="G112" s="286" t="s">
        <v>472</v>
      </c>
      <c r="H112" s="196" t="s">
        <v>487</v>
      </c>
      <c r="I112" s="286" t="s">
        <v>510</v>
      </c>
      <c r="J112" s="246" t="s">
        <v>117</v>
      </c>
      <c r="K112" s="306" t="s">
        <v>52</v>
      </c>
      <c r="L112" s="306" t="s">
        <v>52</v>
      </c>
      <c r="M112" s="263">
        <v>44593</v>
      </c>
      <c r="N112" s="263">
        <v>44925</v>
      </c>
      <c r="O112" s="263">
        <v>44652</v>
      </c>
      <c r="P112" s="264">
        <f t="shared" si="2"/>
        <v>0.17771084337349397</v>
      </c>
      <c r="Q112" s="264">
        <f t="shared" si="1"/>
        <v>0.17771084337349397</v>
      </c>
      <c r="R112" s="265">
        <v>0.5</v>
      </c>
      <c r="S112" s="266">
        <v>0.25</v>
      </c>
      <c r="T112" s="266">
        <v>0.33</v>
      </c>
      <c r="U112" s="266">
        <v>0.43</v>
      </c>
      <c r="V112" s="266">
        <v>0.5</v>
      </c>
      <c r="W112" s="266">
        <v>0</v>
      </c>
      <c r="X112" s="266" t="s">
        <v>511</v>
      </c>
      <c r="Y112" s="331" t="s">
        <v>52</v>
      </c>
      <c r="Z112" s="306" t="s">
        <v>52</v>
      </c>
      <c r="AA112" s="266">
        <v>0</v>
      </c>
      <c r="AB112" s="266" t="s">
        <v>511</v>
      </c>
      <c r="AC112" s="268" t="s">
        <v>2524</v>
      </c>
      <c r="AD112" s="306">
        <v>0</v>
      </c>
      <c r="AE112" s="524">
        <v>10</v>
      </c>
      <c r="AF112" s="530" t="s">
        <v>2401</v>
      </c>
      <c r="AG112" s="268" t="s">
        <v>2524</v>
      </c>
      <c r="AH112" s="266"/>
      <c r="AI112" s="266"/>
      <c r="AJ112" s="266"/>
    </row>
    <row r="113" spans="1:37" ht="103.5" hidden="1" customHeight="1" outlineLevel="1" x14ac:dyDescent="0.2">
      <c r="A113" s="835"/>
      <c r="B113" s="647"/>
      <c r="C113" s="647"/>
      <c r="D113" s="595"/>
      <c r="E113" s="630" t="s">
        <v>512</v>
      </c>
      <c r="F113" s="630" t="s">
        <v>513</v>
      </c>
      <c r="G113" s="286" t="s">
        <v>472</v>
      </c>
      <c r="H113" s="196" t="s">
        <v>514</v>
      </c>
      <c r="I113" s="628" t="s">
        <v>515</v>
      </c>
      <c r="J113" s="246" t="s">
        <v>516</v>
      </c>
      <c r="K113" s="346">
        <v>28146798</v>
      </c>
      <c r="L113" s="347">
        <v>28146798</v>
      </c>
      <c r="M113" s="263">
        <v>44593</v>
      </c>
      <c r="N113" s="263">
        <v>44925</v>
      </c>
      <c r="O113" s="263">
        <v>44652</v>
      </c>
      <c r="P113" s="264">
        <f t="shared" si="2"/>
        <v>0.17771084337349397</v>
      </c>
      <c r="Q113" s="264">
        <f t="shared" si="1"/>
        <v>0.17771084337349397</v>
      </c>
      <c r="R113" s="265">
        <v>1</v>
      </c>
      <c r="S113" s="266">
        <v>0.25</v>
      </c>
      <c r="T113" s="266">
        <v>0.5</v>
      </c>
      <c r="U113" s="266">
        <v>0.75</v>
      </c>
      <c r="V113" s="266">
        <v>1</v>
      </c>
      <c r="W113" s="266">
        <v>1</v>
      </c>
      <c r="X113" s="266" t="s">
        <v>517</v>
      </c>
      <c r="Y113" s="333" t="s">
        <v>477</v>
      </c>
      <c r="Z113" s="306">
        <v>0</v>
      </c>
      <c r="AA113" s="266">
        <v>1</v>
      </c>
      <c r="AB113" s="268" t="s">
        <v>2281</v>
      </c>
      <c r="AC113" s="268" t="s">
        <v>2524</v>
      </c>
      <c r="AD113" s="306">
        <v>0</v>
      </c>
      <c r="AE113" s="522">
        <v>100</v>
      </c>
      <c r="AF113" s="268" t="s">
        <v>2282</v>
      </c>
      <c r="AG113" s="268" t="s">
        <v>2524</v>
      </c>
      <c r="AH113" s="267"/>
      <c r="AI113" s="268"/>
      <c r="AJ113" s="268"/>
      <c r="AK113" s="269"/>
    </row>
    <row r="114" spans="1:37" ht="167.25" hidden="1" customHeight="1" outlineLevel="1" x14ac:dyDescent="0.2">
      <c r="A114" s="835"/>
      <c r="B114" s="647"/>
      <c r="C114" s="647"/>
      <c r="D114" s="595"/>
      <c r="E114" s="695"/>
      <c r="F114" s="695"/>
      <c r="G114" s="286" t="s">
        <v>472</v>
      </c>
      <c r="H114" s="196" t="s">
        <v>518</v>
      </c>
      <c r="I114" s="629"/>
      <c r="J114" s="246" t="s">
        <v>519</v>
      </c>
      <c r="K114" s="9" t="s">
        <v>52</v>
      </c>
      <c r="L114" s="9"/>
      <c r="M114" s="263">
        <v>44593</v>
      </c>
      <c r="N114" s="263">
        <v>44925</v>
      </c>
      <c r="O114" s="263">
        <v>44652</v>
      </c>
      <c r="P114" s="264">
        <f t="shared" si="2"/>
        <v>0.17771084337349397</v>
      </c>
      <c r="Q114" s="264">
        <f t="shared" si="1"/>
        <v>0.17771084337349397</v>
      </c>
      <c r="R114" s="265">
        <v>1</v>
      </c>
      <c r="S114" s="266">
        <v>0.25</v>
      </c>
      <c r="T114" s="266">
        <v>0.5</v>
      </c>
      <c r="U114" s="266">
        <v>0.75</v>
      </c>
      <c r="V114" s="266">
        <v>1</v>
      </c>
      <c r="W114" s="266">
        <v>0.25</v>
      </c>
      <c r="X114" s="266" t="s">
        <v>520</v>
      </c>
      <c r="Y114" s="331" t="s">
        <v>521</v>
      </c>
      <c r="Z114" s="306">
        <v>0</v>
      </c>
      <c r="AA114" s="266">
        <v>0.5</v>
      </c>
      <c r="AB114" s="268" t="s">
        <v>522</v>
      </c>
      <c r="AC114" s="268" t="s">
        <v>2524</v>
      </c>
      <c r="AD114" s="306">
        <v>0</v>
      </c>
      <c r="AE114" s="539">
        <v>75</v>
      </c>
      <c r="AF114" s="268" t="s">
        <v>2286</v>
      </c>
      <c r="AG114" s="268" t="s">
        <v>2524</v>
      </c>
      <c r="AH114" s="267"/>
      <c r="AI114" s="268"/>
      <c r="AJ114" s="268"/>
      <c r="AK114" s="269"/>
    </row>
    <row r="115" spans="1:37" ht="165" hidden="1" customHeight="1" outlineLevel="1" x14ac:dyDescent="0.2">
      <c r="A115" s="835"/>
      <c r="B115" s="647"/>
      <c r="C115" s="647"/>
      <c r="D115" s="595"/>
      <c r="E115" s="630" t="s">
        <v>523</v>
      </c>
      <c r="F115" s="630" t="s">
        <v>524</v>
      </c>
      <c r="G115" s="286" t="s">
        <v>472</v>
      </c>
      <c r="H115" s="196" t="s">
        <v>525</v>
      </c>
      <c r="I115" s="286" t="s">
        <v>526</v>
      </c>
      <c r="J115" s="246" t="s">
        <v>472</v>
      </c>
      <c r="K115" s="306">
        <v>36745974</v>
      </c>
      <c r="L115" s="306">
        <v>16640974</v>
      </c>
      <c r="M115" s="263">
        <v>44593</v>
      </c>
      <c r="N115" s="263">
        <v>44925</v>
      </c>
      <c r="O115" s="263">
        <v>44652</v>
      </c>
      <c r="P115" s="264">
        <f t="shared" si="2"/>
        <v>0.17771084337349397</v>
      </c>
      <c r="Q115" s="264">
        <f t="shared" si="1"/>
        <v>0.17771084337349397</v>
      </c>
      <c r="R115" s="265">
        <v>0.95</v>
      </c>
      <c r="S115" s="266">
        <v>0.92</v>
      </c>
      <c r="T115" s="266">
        <v>0.93</v>
      </c>
      <c r="U115" s="266">
        <v>0.94</v>
      </c>
      <c r="V115" s="266">
        <v>0.95</v>
      </c>
      <c r="W115" s="266">
        <v>0.25</v>
      </c>
      <c r="X115" s="266" t="s">
        <v>527</v>
      </c>
      <c r="Y115" s="333" t="s">
        <v>477</v>
      </c>
      <c r="Z115" s="306">
        <v>7875000</v>
      </c>
      <c r="AA115" s="266">
        <v>0.5</v>
      </c>
      <c r="AB115" s="268" t="s">
        <v>2283</v>
      </c>
      <c r="AC115" s="268" t="s">
        <v>2524</v>
      </c>
      <c r="AD115" s="306">
        <v>0</v>
      </c>
      <c r="AE115" s="539">
        <v>70</v>
      </c>
      <c r="AF115" s="268" t="s">
        <v>2284</v>
      </c>
      <c r="AG115" s="268" t="s">
        <v>2524</v>
      </c>
      <c r="AH115" s="267"/>
      <c r="AI115" s="268"/>
      <c r="AJ115" s="268"/>
      <c r="AK115" s="269"/>
    </row>
    <row r="116" spans="1:37" ht="112.5" hidden="1" customHeight="1" outlineLevel="1" x14ac:dyDescent="0.2">
      <c r="A116" s="835"/>
      <c r="B116" s="647"/>
      <c r="C116" s="647"/>
      <c r="D116" s="595"/>
      <c r="E116" s="631"/>
      <c r="F116" s="631"/>
      <c r="G116" s="286" t="s">
        <v>472</v>
      </c>
      <c r="H116" s="565" t="s">
        <v>528</v>
      </c>
      <c r="I116" s="286" t="s">
        <v>529</v>
      </c>
      <c r="J116" s="246" t="s">
        <v>472</v>
      </c>
      <c r="K116" s="306">
        <v>55000000</v>
      </c>
      <c r="L116" s="306"/>
      <c r="M116" s="263">
        <v>44593</v>
      </c>
      <c r="N116" s="263">
        <v>44925</v>
      </c>
      <c r="O116" s="263">
        <v>44652</v>
      </c>
      <c r="P116" s="264">
        <f t="shared" si="2"/>
        <v>0.17771084337349397</v>
      </c>
      <c r="Q116" s="264">
        <f t="shared" si="1"/>
        <v>0.17771084337349397</v>
      </c>
      <c r="R116" s="265">
        <v>0.2</v>
      </c>
      <c r="S116" s="266">
        <v>0.12</v>
      </c>
      <c r="T116" s="266">
        <v>0.14000000000000001</v>
      </c>
      <c r="U116" s="266">
        <v>0.18</v>
      </c>
      <c r="V116" s="266">
        <v>0.2</v>
      </c>
      <c r="W116" s="266">
        <v>0.1</v>
      </c>
      <c r="X116" s="266" t="s">
        <v>530</v>
      </c>
      <c r="Y116" s="331" t="s">
        <v>531</v>
      </c>
      <c r="Z116" s="306">
        <v>0</v>
      </c>
      <c r="AA116" s="266">
        <v>0.5</v>
      </c>
      <c r="AB116" s="268" t="s">
        <v>532</v>
      </c>
      <c r="AC116" s="268" t="s">
        <v>2524</v>
      </c>
      <c r="AD116" s="306">
        <v>0</v>
      </c>
      <c r="AE116" s="522">
        <v>55</v>
      </c>
      <c r="AF116" s="268" t="s">
        <v>2285</v>
      </c>
      <c r="AG116" s="268" t="s">
        <v>2524</v>
      </c>
      <c r="AH116" s="267"/>
      <c r="AI116" s="268"/>
      <c r="AJ116" s="268"/>
      <c r="AK116" s="269"/>
    </row>
    <row r="117" spans="1:37" ht="168.75" hidden="1" customHeight="1" outlineLevel="1" x14ac:dyDescent="0.2">
      <c r="A117" s="835"/>
      <c r="B117" s="647"/>
      <c r="C117" s="647"/>
      <c r="D117" s="595"/>
      <c r="E117" s="695"/>
      <c r="F117" s="695"/>
      <c r="G117" s="286" t="s">
        <v>472</v>
      </c>
      <c r="H117" s="565" t="s">
        <v>533</v>
      </c>
      <c r="I117" s="286" t="s">
        <v>117</v>
      </c>
      <c r="J117" s="246" t="s">
        <v>472</v>
      </c>
      <c r="K117" s="306">
        <v>15043000</v>
      </c>
      <c r="L117" s="306">
        <v>3285391</v>
      </c>
      <c r="M117" s="263">
        <v>44593</v>
      </c>
      <c r="N117" s="263">
        <v>44925</v>
      </c>
      <c r="O117" s="263">
        <v>44652</v>
      </c>
      <c r="P117" s="264">
        <f t="shared" si="2"/>
        <v>0.17771084337349397</v>
      </c>
      <c r="Q117" s="264">
        <f t="shared" si="1"/>
        <v>0.17771084337349397</v>
      </c>
      <c r="R117" s="265">
        <v>1</v>
      </c>
      <c r="S117" s="266">
        <v>0.25</v>
      </c>
      <c r="T117" s="266">
        <v>0.5</v>
      </c>
      <c r="U117" s="266">
        <v>0.75</v>
      </c>
      <c r="V117" s="266">
        <v>1</v>
      </c>
      <c r="W117" s="266">
        <v>0.1</v>
      </c>
      <c r="X117" s="266" t="s">
        <v>534</v>
      </c>
      <c r="Y117" s="333" t="s">
        <v>477</v>
      </c>
      <c r="Z117" s="306">
        <v>0</v>
      </c>
      <c r="AA117" s="266">
        <v>0.3</v>
      </c>
      <c r="AB117" s="268" t="s">
        <v>535</v>
      </c>
      <c r="AC117" s="268" t="s">
        <v>2524</v>
      </c>
      <c r="AD117" s="306">
        <v>0</v>
      </c>
      <c r="AE117" s="539">
        <v>50</v>
      </c>
      <c r="AF117" s="268" t="s">
        <v>2287</v>
      </c>
      <c r="AG117" s="268" t="s">
        <v>2524</v>
      </c>
      <c r="AH117" s="267"/>
      <c r="AI117" s="268"/>
      <c r="AJ117" s="268"/>
      <c r="AK117" s="269"/>
    </row>
    <row r="118" spans="1:37" ht="112.5" hidden="1" customHeight="1" outlineLevel="1" x14ac:dyDescent="0.2">
      <c r="A118" s="835"/>
      <c r="B118" s="647"/>
      <c r="C118" s="647"/>
      <c r="D118" s="595"/>
      <c r="E118" s="630" t="s">
        <v>536</v>
      </c>
      <c r="F118" s="630" t="s">
        <v>537</v>
      </c>
      <c r="G118" s="286" t="s">
        <v>472</v>
      </c>
      <c r="H118" s="196" t="s">
        <v>538</v>
      </c>
      <c r="I118" s="628" t="s">
        <v>539</v>
      </c>
      <c r="J118" s="246" t="s">
        <v>540</v>
      </c>
      <c r="K118" s="257">
        <v>52000000</v>
      </c>
      <c r="L118" s="257">
        <v>13603200</v>
      </c>
      <c r="M118" s="263">
        <v>44593</v>
      </c>
      <c r="N118" s="263">
        <v>44925</v>
      </c>
      <c r="O118" s="263">
        <v>44652</v>
      </c>
      <c r="P118" s="264">
        <f t="shared" si="2"/>
        <v>0.17771084337349397</v>
      </c>
      <c r="Q118" s="264">
        <f t="shared" si="1"/>
        <v>0.17771084337349397</v>
      </c>
      <c r="R118" s="265">
        <v>0.24</v>
      </c>
      <c r="S118" s="266">
        <v>0.15</v>
      </c>
      <c r="T118" s="266">
        <v>0.19</v>
      </c>
      <c r="U118" s="266">
        <v>0.21</v>
      </c>
      <c r="V118" s="266">
        <v>0.24</v>
      </c>
      <c r="W118" s="266">
        <v>0.2616</v>
      </c>
      <c r="X118" s="266" t="s">
        <v>541</v>
      </c>
      <c r="Y118" s="331" t="s">
        <v>303</v>
      </c>
      <c r="Z118" s="306">
        <v>28002000</v>
      </c>
      <c r="AA118" s="266">
        <v>0.53</v>
      </c>
      <c r="AB118" s="268" t="s">
        <v>542</v>
      </c>
      <c r="AC118" s="268" t="s">
        <v>2524</v>
      </c>
      <c r="AD118" s="306">
        <v>0</v>
      </c>
      <c r="AE118" s="268">
        <v>90</v>
      </c>
      <c r="AF118" s="268" t="s">
        <v>542</v>
      </c>
      <c r="AG118" s="268" t="s">
        <v>2524</v>
      </c>
      <c r="AH118" s="267"/>
      <c r="AI118" s="268"/>
      <c r="AJ118" s="268"/>
      <c r="AK118" s="269"/>
    </row>
    <row r="119" spans="1:37" ht="165" hidden="1" customHeight="1" outlineLevel="1" x14ac:dyDescent="0.2">
      <c r="A119" s="835"/>
      <c r="B119" s="647"/>
      <c r="C119" s="647"/>
      <c r="D119" s="595"/>
      <c r="E119" s="631"/>
      <c r="F119" s="631"/>
      <c r="G119" s="286" t="s">
        <v>472</v>
      </c>
      <c r="H119" s="196" t="s">
        <v>543</v>
      </c>
      <c r="I119" s="674"/>
      <c r="J119" s="246" t="s">
        <v>540</v>
      </c>
      <c r="K119" s="257">
        <v>33600000</v>
      </c>
      <c r="L119" s="257">
        <v>8413440</v>
      </c>
      <c r="M119" s="263">
        <v>44593</v>
      </c>
      <c r="N119" s="263">
        <v>44925</v>
      </c>
      <c r="O119" s="263">
        <v>44652</v>
      </c>
      <c r="P119" s="264">
        <f t="shared" si="2"/>
        <v>0.17771084337349397</v>
      </c>
      <c r="Q119" s="264">
        <f t="shared" si="1"/>
        <v>0.17771084337349397</v>
      </c>
      <c r="R119" s="265">
        <v>1</v>
      </c>
      <c r="S119" s="266">
        <v>0.25</v>
      </c>
      <c r="T119" s="266">
        <v>0.5</v>
      </c>
      <c r="U119" s="266">
        <v>0.75</v>
      </c>
      <c r="V119" s="266">
        <v>1</v>
      </c>
      <c r="W119" s="266">
        <v>0.25</v>
      </c>
      <c r="X119" s="266" t="s">
        <v>544</v>
      </c>
      <c r="Y119" s="333" t="s">
        <v>477</v>
      </c>
      <c r="Z119" s="306">
        <v>17858400</v>
      </c>
      <c r="AA119" s="266">
        <v>0.53</v>
      </c>
      <c r="AB119" s="268" t="s">
        <v>545</v>
      </c>
      <c r="AC119" s="268" t="s">
        <v>2524</v>
      </c>
      <c r="AD119" s="306">
        <v>0</v>
      </c>
      <c r="AE119" s="522">
        <v>80</v>
      </c>
      <c r="AF119" s="268" t="s">
        <v>2288</v>
      </c>
      <c r="AG119" s="268" t="s">
        <v>2524</v>
      </c>
      <c r="AH119" s="267"/>
      <c r="AI119" s="268"/>
      <c r="AJ119" s="268"/>
      <c r="AK119" s="269"/>
    </row>
    <row r="120" spans="1:37" ht="132" hidden="1" customHeight="1" outlineLevel="1" x14ac:dyDescent="0.2">
      <c r="A120" s="835"/>
      <c r="B120" s="647"/>
      <c r="C120" s="647"/>
      <c r="D120" s="595"/>
      <c r="E120" s="631"/>
      <c r="F120" s="631"/>
      <c r="G120" s="286" t="s">
        <v>472</v>
      </c>
      <c r="H120" s="196" t="s">
        <v>546</v>
      </c>
      <c r="I120" s="674"/>
      <c r="J120" s="246" t="s">
        <v>540</v>
      </c>
      <c r="K120" s="306">
        <v>15043000</v>
      </c>
      <c r="L120" s="306">
        <v>3285391</v>
      </c>
      <c r="M120" s="263">
        <v>44593</v>
      </c>
      <c r="N120" s="263">
        <v>44925</v>
      </c>
      <c r="O120" s="263">
        <v>44652</v>
      </c>
      <c r="P120" s="264">
        <f t="shared" si="2"/>
        <v>0.17771084337349397</v>
      </c>
      <c r="Q120" s="264">
        <f t="shared" si="1"/>
        <v>0.17771084337349397</v>
      </c>
      <c r="R120" s="265">
        <v>1</v>
      </c>
      <c r="S120" s="266">
        <v>0.25</v>
      </c>
      <c r="T120" s="266">
        <v>0.5</v>
      </c>
      <c r="U120" s="266">
        <v>0.75</v>
      </c>
      <c r="V120" s="266">
        <v>1</v>
      </c>
      <c r="W120" s="266">
        <v>0.22</v>
      </c>
      <c r="X120" s="266" t="s">
        <v>547</v>
      </c>
      <c r="Y120" s="333" t="s">
        <v>477</v>
      </c>
      <c r="Z120" s="306">
        <v>7649495</v>
      </c>
      <c r="AA120" s="266">
        <v>0.51</v>
      </c>
      <c r="AB120" s="268" t="s">
        <v>548</v>
      </c>
      <c r="AC120" s="268" t="s">
        <v>2524</v>
      </c>
      <c r="AD120" s="306">
        <v>0</v>
      </c>
      <c r="AE120" s="522">
        <v>90</v>
      </c>
      <c r="AF120" s="268" t="s">
        <v>2289</v>
      </c>
      <c r="AG120" s="268" t="s">
        <v>2524</v>
      </c>
      <c r="AH120" s="267"/>
      <c r="AI120" s="268"/>
      <c r="AJ120" s="268"/>
      <c r="AK120" s="269"/>
    </row>
    <row r="121" spans="1:37" ht="216" hidden="1" customHeight="1" outlineLevel="1" x14ac:dyDescent="0.2">
      <c r="A121" s="835"/>
      <c r="B121" s="647"/>
      <c r="C121" s="647"/>
      <c r="D121" s="595"/>
      <c r="E121" s="631"/>
      <c r="F121" s="631"/>
      <c r="G121" s="286" t="s">
        <v>472</v>
      </c>
      <c r="H121" s="196" t="s">
        <v>549</v>
      </c>
      <c r="I121" s="674"/>
      <c r="J121" s="246" t="s">
        <v>540</v>
      </c>
      <c r="K121" s="257">
        <v>115394300</v>
      </c>
      <c r="L121" s="257">
        <v>32786075</v>
      </c>
      <c r="M121" s="263">
        <v>44593</v>
      </c>
      <c r="N121" s="263">
        <v>44925</v>
      </c>
      <c r="O121" s="263">
        <v>44652</v>
      </c>
      <c r="P121" s="264">
        <f t="shared" si="2"/>
        <v>0.17771084337349397</v>
      </c>
      <c r="Q121" s="264">
        <f t="shared" si="1"/>
        <v>0.17771084337349397</v>
      </c>
      <c r="R121" s="265">
        <v>1</v>
      </c>
      <c r="S121" s="266">
        <v>0.25</v>
      </c>
      <c r="T121" s="266">
        <v>0.5</v>
      </c>
      <c r="U121" s="266">
        <v>0.75</v>
      </c>
      <c r="V121" s="266">
        <v>1</v>
      </c>
      <c r="W121" s="266">
        <v>0.25</v>
      </c>
      <c r="X121" s="266" t="s">
        <v>550</v>
      </c>
      <c r="Y121" s="333" t="s">
        <v>477</v>
      </c>
      <c r="Z121" s="306"/>
      <c r="AA121" s="266">
        <v>0.52</v>
      </c>
      <c r="AB121" s="268" t="s">
        <v>551</v>
      </c>
      <c r="AC121" s="268" t="s">
        <v>2524</v>
      </c>
      <c r="AD121" s="306">
        <v>0</v>
      </c>
      <c r="AE121" s="522">
        <v>90</v>
      </c>
      <c r="AF121" s="268" t="s">
        <v>2290</v>
      </c>
      <c r="AG121" s="268" t="s">
        <v>2524</v>
      </c>
      <c r="AH121" s="267"/>
      <c r="AI121" s="268"/>
      <c r="AJ121" s="268"/>
      <c r="AK121" s="269"/>
    </row>
    <row r="122" spans="1:37" ht="81.75" hidden="1" customHeight="1" outlineLevel="1" x14ac:dyDescent="0.2">
      <c r="A122" s="835"/>
      <c r="B122" s="647"/>
      <c r="C122" s="647"/>
      <c r="D122" s="595"/>
      <c r="E122" s="631"/>
      <c r="F122" s="631"/>
      <c r="G122" s="286" t="s">
        <v>472</v>
      </c>
      <c r="H122" s="196" t="s">
        <v>552</v>
      </c>
      <c r="I122" s="674"/>
      <c r="J122" s="246" t="s">
        <v>540</v>
      </c>
      <c r="K122" s="306">
        <v>35000000</v>
      </c>
      <c r="L122" s="306"/>
      <c r="M122" s="263">
        <v>44593</v>
      </c>
      <c r="N122" s="263">
        <v>44925</v>
      </c>
      <c r="O122" s="263">
        <v>44652</v>
      </c>
      <c r="P122" s="264">
        <f t="shared" si="2"/>
        <v>0.17771084337349397</v>
      </c>
      <c r="Q122" s="264">
        <f t="shared" ref="Q122:Q160" si="3">+IF(P122&gt;=100,100,IF(P122&lt;=0,0,P122))</f>
        <v>0.17771084337349397</v>
      </c>
      <c r="R122" s="265">
        <v>1</v>
      </c>
      <c r="S122" s="266">
        <v>0.25</v>
      </c>
      <c r="T122" s="266">
        <v>0.5</v>
      </c>
      <c r="U122" s="266">
        <v>0.75</v>
      </c>
      <c r="V122" s="266">
        <v>1</v>
      </c>
      <c r="W122" s="266">
        <v>0.05</v>
      </c>
      <c r="X122" s="266" t="s">
        <v>553</v>
      </c>
      <c r="Y122" s="331" t="s">
        <v>554</v>
      </c>
      <c r="Z122" s="306">
        <v>0</v>
      </c>
      <c r="AA122" s="266">
        <v>0.4</v>
      </c>
      <c r="AB122" s="268" t="s">
        <v>555</v>
      </c>
      <c r="AC122" s="268" t="s">
        <v>2524</v>
      </c>
      <c r="AD122" s="306">
        <v>0</v>
      </c>
      <c r="AE122" s="539">
        <v>45</v>
      </c>
      <c r="AF122" s="268" t="s">
        <v>2291</v>
      </c>
      <c r="AG122" s="268" t="s">
        <v>2524</v>
      </c>
      <c r="AH122" s="267"/>
      <c r="AI122" s="268"/>
      <c r="AJ122" s="268"/>
      <c r="AK122" s="269"/>
    </row>
    <row r="123" spans="1:37" ht="108" hidden="1" customHeight="1" outlineLevel="1" x14ac:dyDescent="0.2">
      <c r="A123" s="835"/>
      <c r="B123" s="647"/>
      <c r="C123" s="647"/>
      <c r="D123" s="595"/>
      <c r="E123" s="631"/>
      <c r="F123" s="631"/>
      <c r="G123" s="286" t="s">
        <v>472</v>
      </c>
      <c r="H123" s="565" t="s">
        <v>556</v>
      </c>
      <c r="I123" s="674"/>
      <c r="J123" s="246" t="s">
        <v>472</v>
      </c>
      <c r="K123" s="306">
        <v>42566300</v>
      </c>
      <c r="L123" s="306"/>
      <c r="M123" s="263">
        <v>44593</v>
      </c>
      <c r="N123" s="263">
        <v>44925</v>
      </c>
      <c r="O123" s="263">
        <v>44652</v>
      </c>
      <c r="P123" s="264">
        <f t="shared" si="2"/>
        <v>0.17771084337349397</v>
      </c>
      <c r="Q123" s="264">
        <f t="shared" si="3"/>
        <v>0.17771084337349397</v>
      </c>
      <c r="R123" s="265">
        <v>1</v>
      </c>
      <c r="S123" s="266">
        <v>0.25</v>
      </c>
      <c r="T123" s="266">
        <v>0.5</v>
      </c>
      <c r="U123" s="266">
        <v>0.75</v>
      </c>
      <c r="V123" s="266">
        <v>1</v>
      </c>
      <c r="W123" s="266">
        <v>0.05</v>
      </c>
      <c r="X123" s="266" t="s">
        <v>557</v>
      </c>
      <c r="Y123" s="331" t="s">
        <v>554</v>
      </c>
      <c r="Z123" s="306">
        <v>0</v>
      </c>
      <c r="AA123" s="266">
        <v>0.5</v>
      </c>
      <c r="AB123" s="268" t="s">
        <v>2292</v>
      </c>
      <c r="AC123" s="268" t="s">
        <v>2524</v>
      </c>
      <c r="AD123" s="306">
        <v>0</v>
      </c>
      <c r="AE123" s="522">
        <v>55</v>
      </c>
      <c r="AF123" s="268" t="s">
        <v>2293</v>
      </c>
      <c r="AG123" s="268" t="s">
        <v>2524</v>
      </c>
      <c r="AH123" s="267"/>
      <c r="AI123" s="268"/>
      <c r="AJ123" s="268"/>
      <c r="AK123" s="269"/>
    </row>
    <row r="124" spans="1:37" ht="150" hidden="1" customHeight="1" outlineLevel="1" x14ac:dyDescent="0.2">
      <c r="A124" s="835"/>
      <c r="B124" s="647"/>
      <c r="C124" s="647"/>
      <c r="D124" s="595"/>
      <c r="E124" s="631"/>
      <c r="F124" s="631"/>
      <c r="G124" s="286" t="s">
        <v>472</v>
      </c>
      <c r="H124" s="196" t="s">
        <v>558</v>
      </c>
      <c r="I124" s="674"/>
      <c r="J124" s="246" t="s">
        <v>472</v>
      </c>
      <c r="K124" s="306">
        <v>25000000</v>
      </c>
      <c r="L124" s="306"/>
      <c r="M124" s="263">
        <v>44593</v>
      </c>
      <c r="N124" s="263">
        <v>44925</v>
      </c>
      <c r="O124" s="263">
        <v>44652</v>
      </c>
      <c r="P124" s="264">
        <f t="shared" si="2"/>
        <v>0.17771084337349397</v>
      </c>
      <c r="Q124" s="264">
        <f t="shared" si="3"/>
        <v>0.17771084337349397</v>
      </c>
      <c r="R124" s="265">
        <v>1</v>
      </c>
      <c r="S124" s="266">
        <v>0.25</v>
      </c>
      <c r="T124" s="266">
        <v>0.5</v>
      </c>
      <c r="U124" s="266">
        <v>0.75</v>
      </c>
      <c r="V124" s="266">
        <v>1</v>
      </c>
      <c r="W124" s="266">
        <v>0.05</v>
      </c>
      <c r="X124" s="266" t="s">
        <v>557</v>
      </c>
      <c r="Y124" s="331" t="s">
        <v>554</v>
      </c>
      <c r="Z124" s="306">
        <v>0</v>
      </c>
      <c r="AA124" s="266">
        <v>0.2</v>
      </c>
      <c r="AB124" s="268" t="s">
        <v>559</v>
      </c>
      <c r="AC124" s="268" t="s">
        <v>2524</v>
      </c>
      <c r="AD124" s="306">
        <v>0</v>
      </c>
      <c r="AE124" s="522">
        <v>35</v>
      </c>
      <c r="AF124" s="268" t="s">
        <v>2294</v>
      </c>
      <c r="AG124" s="268" t="s">
        <v>2524</v>
      </c>
      <c r="AH124" s="267"/>
      <c r="AI124" s="268"/>
      <c r="AJ124" s="268"/>
      <c r="AK124" s="269"/>
    </row>
    <row r="125" spans="1:37" ht="136.5" hidden="1" customHeight="1" outlineLevel="1" x14ac:dyDescent="0.2">
      <c r="A125" s="835"/>
      <c r="B125" s="647"/>
      <c r="C125" s="647"/>
      <c r="D125" s="595"/>
      <c r="E125" s="631"/>
      <c r="F125" s="631"/>
      <c r="G125" s="286" t="s">
        <v>472</v>
      </c>
      <c r="H125" s="196" t="s">
        <v>560</v>
      </c>
      <c r="I125" s="674"/>
      <c r="J125" s="246" t="s">
        <v>189</v>
      </c>
      <c r="K125" s="306">
        <v>670000000</v>
      </c>
      <c r="L125" s="306"/>
      <c r="M125" s="263">
        <v>44593</v>
      </c>
      <c r="N125" s="263">
        <v>44925</v>
      </c>
      <c r="O125" s="263">
        <v>44652</v>
      </c>
      <c r="P125" s="264">
        <f t="shared" si="2"/>
        <v>0.17771084337349397</v>
      </c>
      <c r="Q125" s="264">
        <f t="shared" si="3"/>
        <v>0.17771084337349397</v>
      </c>
      <c r="R125" s="265">
        <v>1</v>
      </c>
      <c r="S125" s="266">
        <v>0.25</v>
      </c>
      <c r="T125" s="266">
        <v>0.5</v>
      </c>
      <c r="U125" s="266">
        <v>0.75</v>
      </c>
      <c r="V125" s="266">
        <v>1</v>
      </c>
      <c r="W125" s="266">
        <v>0.2</v>
      </c>
      <c r="X125" s="266" t="s">
        <v>561</v>
      </c>
      <c r="Y125" s="333" t="s">
        <v>477</v>
      </c>
      <c r="Z125" s="306">
        <v>0</v>
      </c>
      <c r="AA125" s="266">
        <v>0.2</v>
      </c>
      <c r="AB125" s="266" t="s">
        <v>561</v>
      </c>
      <c r="AC125" s="268" t="s">
        <v>2524</v>
      </c>
      <c r="AD125" s="306">
        <v>0</v>
      </c>
      <c r="AE125" s="522">
        <v>20</v>
      </c>
      <c r="AF125" s="268" t="s">
        <v>2295</v>
      </c>
      <c r="AG125" s="268" t="s">
        <v>2524</v>
      </c>
      <c r="AH125" s="267"/>
      <c r="AI125" s="268"/>
      <c r="AJ125" s="268"/>
      <c r="AK125" s="269"/>
    </row>
    <row r="126" spans="1:37" ht="135" hidden="1" customHeight="1" outlineLevel="1" x14ac:dyDescent="0.2">
      <c r="A126" s="835"/>
      <c r="B126" s="647"/>
      <c r="C126" s="647"/>
      <c r="D126" s="595"/>
      <c r="E126" s="631"/>
      <c r="F126" s="631"/>
      <c r="G126" s="286"/>
      <c r="H126" s="196" t="s">
        <v>562</v>
      </c>
      <c r="I126" s="674"/>
      <c r="J126" s="246"/>
      <c r="K126" s="306">
        <v>18248650</v>
      </c>
      <c r="L126" s="306"/>
      <c r="M126" s="263"/>
      <c r="N126" s="263"/>
      <c r="O126" s="263"/>
      <c r="P126" s="264"/>
      <c r="Q126" s="264"/>
      <c r="R126" s="265"/>
      <c r="S126" s="266"/>
      <c r="T126" s="266"/>
      <c r="U126" s="266"/>
      <c r="V126" s="266"/>
      <c r="W126" s="266"/>
      <c r="X126" s="266" t="s">
        <v>52</v>
      </c>
      <c r="Y126" s="268" t="s">
        <v>2524</v>
      </c>
      <c r="Z126" s="306">
        <v>0</v>
      </c>
      <c r="AA126" s="266">
        <v>0.7</v>
      </c>
      <c r="AB126" s="266" t="s">
        <v>563</v>
      </c>
      <c r="AC126" s="268" t="s">
        <v>2524</v>
      </c>
      <c r="AD126" s="529">
        <v>18248650</v>
      </c>
      <c r="AE126" s="522">
        <v>100</v>
      </c>
      <c r="AF126" s="268" t="s">
        <v>2296</v>
      </c>
      <c r="AG126" s="268" t="s">
        <v>2524</v>
      </c>
      <c r="AH126" s="267"/>
      <c r="AI126" s="268"/>
      <c r="AJ126" s="268"/>
      <c r="AK126" s="269"/>
    </row>
    <row r="127" spans="1:37" ht="96.75" hidden="1" customHeight="1" outlineLevel="1" x14ac:dyDescent="0.2">
      <c r="A127" s="835"/>
      <c r="B127" s="647"/>
      <c r="C127" s="647"/>
      <c r="D127" s="595"/>
      <c r="E127" s="631"/>
      <c r="F127" s="631"/>
      <c r="G127" s="286" t="s">
        <v>472</v>
      </c>
      <c r="H127" s="196" t="s">
        <v>564</v>
      </c>
      <c r="I127" s="674"/>
      <c r="J127" s="246" t="s">
        <v>189</v>
      </c>
      <c r="K127" s="306">
        <v>67000000</v>
      </c>
      <c r="L127" s="306"/>
      <c r="M127" s="263">
        <v>44593</v>
      </c>
      <c r="N127" s="263">
        <v>44925</v>
      </c>
      <c r="O127" s="263">
        <v>44652</v>
      </c>
      <c r="P127" s="264">
        <f t="shared" si="2"/>
        <v>0.17771084337349397</v>
      </c>
      <c r="Q127" s="264">
        <f t="shared" si="3"/>
        <v>0.17771084337349397</v>
      </c>
      <c r="R127" s="265">
        <v>1</v>
      </c>
      <c r="S127" s="266">
        <v>0.25</v>
      </c>
      <c r="T127" s="266">
        <v>0.5</v>
      </c>
      <c r="U127" s="266">
        <v>0.75</v>
      </c>
      <c r="V127" s="266">
        <v>1</v>
      </c>
      <c r="W127" s="266">
        <v>0.1</v>
      </c>
      <c r="X127" s="266" t="s">
        <v>565</v>
      </c>
      <c r="Y127" s="333" t="s">
        <v>477</v>
      </c>
      <c r="Z127" s="306">
        <v>0</v>
      </c>
      <c r="AA127" s="266">
        <v>0.1</v>
      </c>
      <c r="AB127" s="266" t="s">
        <v>565</v>
      </c>
      <c r="AC127" s="268" t="s">
        <v>2524</v>
      </c>
      <c r="AD127" s="306">
        <v>0</v>
      </c>
      <c r="AE127" s="522">
        <v>10</v>
      </c>
      <c r="AF127" s="268" t="s">
        <v>2297</v>
      </c>
      <c r="AG127" s="268" t="s">
        <v>2524</v>
      </c>
      <c r="AH127" s="267"/>
      <c r="AI127" s="268"/>
      <c r="AJ127" s="268"/>
      <c r="AK127" s="269"/>
    </row>
    <row r="128" spans="1:37" ht="93.75" hidden="1" customHeight="1" outlineLevel="1" x14ac:dyDescent="0.2">
      <c r="A128" s="835"/>
      <c r="B128" s="647"/>
      <c r="C128" s="647"/>
      <c r="D128" s="595"/>
      <c r="E128" s="631"/>
      <c r="F128" s="631"/>
      <c r="G128" s="286" t="s">
        <v>472</v>
      </c>
      <c r="H128" s="196" t="s">
        <v>566</v>
      </c>
      <c r="I128" s="674"/>
      <c r="J128" s="246" t="s">
        <v>298</v>
      </c>
      <c r="K128" s="306">
        <v>550000000</v>
      </c>
      <c r="L128" s="306"/>
      <c r="M128" s="263">
        <v>44593</v>
      </c>
      <c r="N128" s="263">
        <v>44925</v>
      </c>
      <c r="O128" s="263">
        <v>44652</v>
      </c>
      <c r="P128" s="264">
        <f t="shared" si="2"/>
        <v>0.17771084337349397</v>
      </c>
      <c r="Q128" s="264">
        <f t="shared" si="3"/>
        <v>0.17771084337349397</v>
      </c>
      <c r="R128" s="265">
        <v>1</v>
      </c>
      <c r="S128" s="266">
        <v>0.25</v>
      </c>
      <c r="T128" s="266">
        <v>0.5</v>
      </c>
      <c r="U128" s="266">
        <v>0.75</v>
      </c>
      <c r="V128" s="266">
        <v>1</v>
      </c>
      <c r="W128" s="266">
        <v>0.05</v>
      </c>
      <c r="X128" s="266" t="s">
        <v>567</v>
      </c>
      <c r="Y128" s="331" t="s">
        <v>554</v>
      </c>
      <c r="Z128" s="306">
        <v>0</v>
      </c>
      <c r="AA128" s="266">
        <v>0.4</v>
      </c>
      <c r="AB128" s="268" t="s">
        <v>568</v>
      </c>
      <c r="AC128" s="268" t="s">
        <v>2524</v>
      </c>
      <c r="AD128" s="306">
        <v>0</v>
      </c>
      <c r="AE128" s="522">
        <v>40</v>
      </c>
      <c r="AF128" s="268" t="s">
        <v>2298</v>
      </c>
      <c r="AG128" s="268" t="s">
        <v>2524</v>
      </c>
      <c r="AH128" s="267"/>
      <c r="AI128" s="268"/>
      <c r="AJ128" s="268"/>
      <c r="AK128" s="269"/>
    </row>
    <row r="129" spans="1:37" ht="93.75" hidden="1" customHeight="1" outlineLevel="1" x14ac:dyDescent="0.2">
      <c r="A129" s="835"/>
      <c r="B129" s="647"/>
      <c r="C129" s="647"/>
      <c r="D129" s="595"/>
      <c r="E129" s="631"/>
      <c r="F129" s="631"/>
      <c r="G129" s="286"/>
      <c r="H129" s="196" t="s">
        <v>2403</v>
      </c>
      <c r="I129" s="674"/>
      <c r="J129" s="246"/>
      <c r="K129" s="306">
        <v>6000000000</v>
      </c>
      <c r="L129" s="306">
        <v>1100000000</v>
      </c>
      <c r="M129" s="263">
        <v>44593</v>
      </c>
      <c r="N129" s="263">
        <v>44925</v>
      </c>
      <c r="O129" s="263">
        <v>44652</v>
      </c>
      <c r="P129" s="264">
        <f>+(+_xlfn.DAYS(M129,O129))/(+_xlfn.DAYS(M129,N129))</f>
        <v>0.17771084337349397</v>
      </c>
      <c r="Q129" s="264">
        <f>+IF(P129&gt;=100,100,IF(P129&lt;=0,0,P129))</f>
        <v>0.17771084337349397</v>
      </c>
      <c r="R129" s="265">
        <v>1</v>
      </c>
      <c r="S129" s="266">
        <v>0.25</v>
      </c>
      <c r="T129" s="266">
        <v>0.5</v>
      </c>
      <c r="U129" s="266">
        <v>0.75</v>
      </c>
      <c r="V129" s="266">
        <v>1</v>
      </c>
      <c r="W129" s="266">
        <v>0.18</v>
      </c>
      <c r="X129" s="266" t="s">
        <v>569</v>
      </c>
      <c r="Y129" s="333" t="s">
        <v>477</v>
      </c>
      <c r="Z129" s="306">
        <v>1100000000</v>
      </c>
      <c r="AA129" s="266">
        <v>0.2</v>
      </c>
      <c r="AB129" s="268" t="s">
        <v>570</v>
      </c>
      <c r="AC129" s="268" t="s">
        <v>2524</v>
      </c>
      <c r="AD129" s="306">
        <v>0</v>
      </c>
      <c r="AE129" s="522">
        <v>70</v>
      </c>
      <c r="AF129" s="267" t="s">
        <v>2402</v>
      </c>
      <c r="AG129" s="268" t="s">
        <v>2524</v>
      </c>
      <c r="AH129" s="267"/>
      <c r="AI129" s="268"/>
      <c r="AJ129" s="268"/>
      <c r="AK129" s="269"/>
    </row>
    <row r="130" spans="1:37" ht="100.9" hidden="1" customHeight="1" outlineLevel="1" x14ac:dyDescent="0.2">
      <c r="A130" s="835"/>
      <c r="B130" s="647"/>
      <c r="C130" s="647"/>
      <c r="D130" s="595"/>
      <c r="E130" s="631"/>
      <c r="F130" s="551" t="s">
        <v>571</v>
      </c>
      <c r="G130" s="286" t="s">
        <v>472</v>
      </c>
      <c r="H130" s="196" t="s">
        <v>572</v>
      </c>
      <c r="I130" s="550" t="s">
        <v>573</v>
      </c>
      <c r="J130" s="481" t="s">
        <v>2111</v>
      </c>
      <c r="K130" s="306">
        <v>600000000</v>
      </c>
      <c r="L130" s="306"/>
      <c r="M130" s="263">
        <v>44593</v>
      </c>
      <c r="N130" s="263">
        <v>44925</v>
      </c>
      <c r="O130" s="263">
        <v>44652</v>
      </c>
      <c r="P130" s="264">
        <f t="shared" si="2"/>
        <v>0.17771084337349397</v>
      </c>
      <c r="Q130" s="264">
        <f t="shared" si="3"/>
        <v>0.17771084337349397</v>
      </c>
      <c r="R130" s="265">
        <v>0.04</v>
      </c>
      <c r="S130" s="266">
        <v>0.25</v>
      </c>
      <c r="T130" s="266">
        <v>0.5</v>
      </c>
      <c r="U130" s="266">
        <v>0.75</v>
      </c>
      <c r="V130" s="266">
        <v>1</v>
      </c>
      <c r="W130" s="266">
        <v>0.1</v>
      </c>
      <c r="X130" s="266" t="s">
        <v>574</v>
      </c>
      <c r="Y130" s="331" t="s">
        <v>575</v>
      </c>
      <c r="Z130" s="306">
        <v>0</v>
      </c>
      <c r="AA130" s="266">
        <v>0.4</v>
      </c>
      <c r="AB130" s="268" t="s">
        <v>576</v>
      </c>
      <c r="AC130" s="268" t="s">
        <v>2524</v>
      </c>
      <c r="AD130" s="306">
        <v>0</v>
      </c>
      <c r="AE130" s="522">
        <v>50</v>
      </c>
      <c r="AF130" s="530" t="s">
        <v>2280</v>
      </c>
      <c r="AG130" s="268" t="s">
        <v>2524</v>
      </c>
      <c r="AH130" s="267"/>
      <c r="AI130" s="268"/>
      <c r="AJ130" s="268"/>
      <c r="AK130" s="269"/>
    </row>
    <row r="131" spans="1:37" ht="93.6" hidden="1" customHeight="1" outlineLevel="1" x14ac:dyDescent="0.2">
      <c r="A131" s="835"/>
      <c r="B131" s="647"/>
      <c r="C131" s="647"/>
      <c r="D131" s="595"/>
      <c r="E131" s="631"/>
      <c r="F131" s="531" t="s">
        <v>577</v>
      </c>
      <c r="G131" s="286" t="s">
        <v>472</v>
      </c>
      <c r="H131" s="196" t="s">
        <v>578</v>
      </c>
      <c r="I131" s="286" t="s">
        <v>579</v>
      </c>
      <c r="J131" s="246" t="s">
        <v>472</v>
      </c>
      <c r="K131" s="306">
        <v>2909550</v>
      </c>
      <c r="L131" s="306">
        <v>0</v>
      </c>
      <c r="M131" s="263">
        <v>44593</v>
      </c>
      <c r="N131" s="263">
        <v>44925</v>
      </c>
      <c r="O131" s="263">
        <v>44652</v>
      </c>
      <c r="P131" s="264">
        <f t="shared" ref="P131:P176" si="4">+(+_xlfn.DAYS(M131,O131))/(+_xlfn.DAYS(M131,N131))</f>
        <v>0.17771084337349397</v>
      </c>
      <c r="Q131" s="264">
        <f t="shared" si="3"/>
        <v>0.17771084337349397</v>
      </c>
      <c r="R131" s="265">
        <v>0.7</v>
      </c>
      <c r="S131" s="266">
        <v>0.55000000000000004</v>
      </c>
      <c r="T131" s="266">
        <v>0.6</v>
      </c>
      <c r="U131" s="266">
        <v>0.65</v>
      </c>
      <c r="V131" s="266">
        <v>0.7</v>
      </c>
      <c r="W131" s="266">
        <v>0.25</v>
      </c>
      <c r="X131" s="266" t="s">
        <v>580</v>
      </c>
      <c r="Y131" s="333" t="s">
        <v>477</v>
      </c>
      <c r="Z131" s="306"/>
      <c r="AA131" s="266">
        <v>0.8</v>
      </c>
      <c r="AB131" s="268" t="s">
        <v>581</v>
      </c>
      <c r="AC131" s="268" t="s">
        <v>2524</v>
      </c>
      <c r="AD131" s="306">
        <v>2138430</v>
      </c>
      <c r="AE131" s="522">
        <v>70</v>
      </c>
      <c r="AF131" s="268" t="s">
        <v>2299</v>
      </c>
      <c r="AG131" s="268" t="s">
        <v>2524</v>
      </c>
      <c r="AH131" s="267"/>
      <c r="AI131" s="268"/>
      <c r="AJ131" s="268"/>
      <c r="AK131" s="269"/>
    </row>
    <row r="132" spans="1:37" ht="206.25" hidden="1" customHeight="1" outlineLevel="1" x14ac:dyDescent="0.2">
      <c r="A132" s="835"/>
      <c r="B132" s="647"/>
      <c r="C132" s="647"/>
      <c r="D132" s="595"/>
      <c r="E132" s="631"/>
      <c r="F132" s="412" t="s">
        <v>582</v>
      </c>
      <c r="G132" s="286" t="s">
        <v>472</v>
      </c>
      <c r="H132" s="196" t="s">
        <v>583</v>
      </c>
      <c r="I132" s="286" t="s">
        <v>584</v>
      </c>
      <c r="J132" s="246" t="s">
        <v>506</v>
      </c>
      <c r="K132" s="306" t="s">
        <v>52</v>
      </c>
      <c r="L132" s="306">
        <v>101121</v>
      </c>
      <c r="M132" s="263">
        <v>44593</v>
      </c>
      <c r="N132" s="263">
        <v>44925</v>
      </c>
      <c r="O132" s="263">
        <v>44652</v>
      </c>
      <c r="P132" s="264">
        <f t="shared" si="4"/>
        <v>0.17771084337349397</v>
      </c>
      <c r="Q132" s="264">
        <f t="shared" si="3"/>
        <v>0.17771084337349397</v>
      </c>
      <c r="R132" s="265">
        <v>0.8</v>
      </c>
      <c r="S132" s="266">
        <v>0.72</v>
      </c>
      <c r="T132" s="266">
        <v>0.75</v>
      </c>
      <c r="U132" s="266">
        <v>0.78</v>
      </c>
      <c r="V132" s="266">
        <v>0.8</v>
      </c>
      <c r="W132" s="266">
        <v>0.25</v>
      </c>
      <c r="X132" s="266" t="s">
        <v>585</v>
      </c>
      <c r="Y132" s="333" t="s">
        <v>477</v>
      </c>
      <c r="Z132" s="306">
        <v>305306</v>
      </c>
      <c r="AA132" s="266">
        <v>0.5</v>
      </c>
      <c r="AB132" s="268" t="s">
        <v>484</v>
      </c>
      <c r="AC132" s="268" t="s">
        <v>2524</v>
      </c>
      <c r="AD132" s="306">
        <v>0</v>
      </c>
      <c r="AE132" s="522">
        <v>60</v>
      </c>
      <c r="AF132" s="268" t="s">
        <v>2300</v>
      </c>
      <c r="AG132" s="268" t="s">
        <v>2524</v>
      </c>
      <c r="AH132" s="267"/>
      <c r="AI132" s="268"/>
      <c r="AJ132" s="268"/>
      <c r="AK132" s="269"/>
    </row>
    <row r="133" spans="1:37" ht="135" hidden="1" customHeight="1" outlineLevel="1" x14ac:dyDescent="0.2">
      <c r="A133" s="835"/>
      <c r="B133" s="647"/>
      <c r="C133" s="647"/>
      <c r="D133" s="595"/>
      <c r="E133" s="631"/>
      <c r="F133" s="630" t="s">
        <v>586</v>
      </c>
      <c r="G133" s="628" t="s">
        <v>472</v>
      </c>
      <c r="H133" s="566" t="s">
        <v>587</v>
      </c>
      <c r="I133" s="286" t="s">
        <v>588</v>
      </c>
      <c r="J133" s="655" t="s">
        <v>589</v>
      </c>
      <c r="K133" s="306">
        <v>50000000</v>
      </c>
      <c r="L133" s="306"/>
      <c r="M133" s="263">
        <v>44593</v>
      </c>
      <c r="N133" s="263">
        <v>44925</v>
      </c>
      <c r="O133" s="263">
        <v>44652</v>
      </c>
      <c r="P133" s="264">
        <f t="shared" si="4"/>
        <v>0.17771084337349397</v>
      </c>
      <c r="Q133" s="264">
        <f t="shared" si="3"/>
        <v>0.17771084337349397</v>
      </c>
      <c r="R133" s="265">
        <v>1</v>
      </c>
      <c r="S133" s="266">
        <v>0.7</v>
      </c>
      <c r="T133" s="266">
        <v>0.8</v>
      </c>
      <c r="U133" s="266">
        <v>0.9</v>
      </c>
      <c r="V133" s="266">
        <v>1</v>
      </c>
      <c r="W133" s="266">
        <v>0</v>
      </c>
      <c r="X133" s="266" t="s">
        <v>590</v>
      </c>
      <c r="Y133" s="331" t="s">
        <v>52</v>
      </c>
      <c r="Z133" s="306">
        <v>0</v>
      </c>
      <c r="AA133" s="266">
        <v>0.4</v>
      </c>
      <c r="AB133" s="268" t="s">
        <v>591</v>
      </c>
      <c r="AC133" s="268" t="s">
        <v>2524</v>
      </c>
      <c r="AD133" s="306">
        <v>0</v>
      </c>
      <c r="AE133" s="522">
        <v>47</v>
      </c>
      <c r="AF133" s="268" t="s">
        <v>2301</v>
      </c>
      <c r="AG133" s="268" t="s">
        <v>2524</v>
      </c>
      <c r="AH133" s="267"/>
      <c r="AI133" s="268"/>
      <c r="AJ133" s="268"/>
      <c r="AK133" s="269"/>
    </row>
    <row r="134" spans="1:37" ht="103.5" hidden="1" customHeight="1" outlineLevel="1" x14ac:dyDescent="0.2">
      <c r="A134" s="835"/>
      <c r="B134" s="647"/>
      <c r="C134" s="647"/>
      <c r="D134" s="595"/>
      <c r="E134" s="631"/>
      <c r="F134" s="695"/>
      <c r="G134" s="629"/>
      <c r="H134" s="567" t="s">
        <v>592</v>
      </c>
      <c r="I134" s="396" t="s">
        <v>593</v>
      </c>
      <c r="J134" s="656"/>
      <c r="K134" s="306">
        <v>5831000</v>
      </c>
      <c r="L134" s="306">
        <v>0</v>
      </c>
      <c r="M134" s="263">
        <v>44593</v>
      </c>
      <c r="N134" s="263">
        <v>44925</v>
      </c>
      <c r="O134" s="263">
        <v>44652</v>
      </c>
      <c r="P134" s="264">
        <f t="shared" si="4"/>
        <v>0.17771084337349397</v>
      </c>
      <c r="Q134" s="264">
        <f>+IF(P134&gt;=100,100,IF(P134&lt;=0,0,P134))</f>
        <v>0.17771084337349397</v>
      </c>
      <c r="R134" s="265">
        <v>0.3</v>
      </c>
      <c r="S134" s="266">
        <v>0.15</v>
      </c>
      <c r="T134" s="266">
        <v>0.2</v>
      </c>
      <c r="U134" s="266">
        <v>0.25</v>
      </c>
      <c r="V134" s="266">
        <v>0.3</v>
      </c>
      <c r="W134" s="266">
        <v>0.6</v>
      </c>
      <c r="X134" s="266" t="s">
        <v>594</v>
      </c>
      <c r="Y134" s="333" t="s">
        <v>477</v>
      </c>
      <c r="Z134" s="306">
        <v>0</v>
      </c>
      <c r="AA134" s="266">
        <v>0.6</v>
      </c>
      <c r="AB134" s="9" t="s">
        <v>595</v>
      </c>
      <c r="AC134" s="268" t="s">
        <v>2524</v>
      </c>
      <c r="AD134" s="306">
        <v>0</v>
      </c>
      <c r="AE134" s="522">
        <v>100</v>
      </c>
      <c r="AF134" s="268" t="s">
        <v>2302</v>
      </c>
      <c r="AG134" s="268" t="s">
        <v>2524</v>
      </c>
      <c r="AH134" s="267"/>
      <c r="AI134" s="268"/>
      <c r="AJ134" s="268"/>
      <c r="AK134" s="269"/>
    </row>
    <row r="135" spans="1:37" ht="60" hidden="1" customHeight="1" outlineLevel="1" x14ac:dyDescent="0.2">
      <c r="A135" s="835"/>
      <c r="B135" s="647"/>
      <c r="C135" s="647"/>
      <c r="D135" s="595"/>
      <c r="E135" s="631"/>
      <c r="F135" s="630" t="s">
        <v>596</v>
      </c>
      <c r="G135" s="286" t="s">
        <v>472</v>
      </c>
      <c r="H135" s="196" t="s">
        <v>597</v>
      </c>
      <c r="I135" s="628" t="s">
        <v>598</v>
      </c>
      <c r="J135" s="246" t="s">
        <v>472</v>
      </c>
      <c r="K135" s="306" t="s">
        <v>52</v>
      </c>
      <c r="L135" s="306"/>
      <c r="M135" s="263">
        <v>44593</v>
      </c>
      <c r="N135" s="263">
        <v>44925</v>
      </c>
      <c r="O135" s="263">
        <v>44652</v>
      </c>
      <c r="P135" s="264">
        <f t="shared" si="4"/>
        <v>0.17771084337349397</v>
      </c>
      <c r="Q135" s="264">
        <f t="shared" si="3"/>
        <v>0.17771084337349397</v>
      </c>
      <c r="R135" s="265">
        <v>0.6</v>
      </c>
      <c r="S135" s="266">
        <v>0.45</v>
      </c>
      <c r="T135" s="266">
        <v>0.5</v>
      </c>
      <c r="U135" s="266">
        <v>0.55000000000000004</v>
      </c>
      <c r="V135" s="266">
        <v>0.6</v>
      </c>
      <c r="W135" s="266">
        <v>0</v>
      </c>
      <c r="X135" s="266" t="s">
        <v>2506</v>
      </c>
      <c r="Y135" s="331" t="s">
        <v>52</v>
      </c>
      <c r="Z135" s="306">
        <v>0</v>
      </c>
      <c r="AA135" s="266">
        <v>0.05</v>
      </c>
      <c r="AB135" s="268" t="s">
        <v>599</v>
      </c>
      <c r="AC135" s="268" t="s">
        <v>2524</v>
      </c>
      <c r="AD135" s="306">
        <v>0</v>
      </c>
      <c r="AE135" s="522">
        <v>35</v>
      </c>
      <c r="AF135" s="268" t="s">
        <v>2303</v>
      </c>
      <c r="AG135" s="268" t="s">
        <v>2524</v>
      </c>
      <c r="AH135" s="267"/>
      <c r="AI135" s="268"/>
      <c r="AJ135" s="268"/>
      <c r="AK135" s="269"/>
    </row>
    <row r="136" spans="1:37" ht="70.150000000000006" hidden="1" customHeight="1" outlineLevel="1" x14ac:dyDescent="0.2">
      <c r="A136" s="835"/>
      <c r="B136" s="647"/>
      <c r="C136" s="647"/>
      <c r="D136" s="595"/>
      <c r="E136" s="631"/>
      <c r="F136" s="695"/>
      <c r="G136" s="286" t="s">
        <v>472</v>
      </c>
      <c r="H136" s="196" t="s">
        <v>600</v>
      </c>
      <c r="I136" s="629"/>
      <c r="J136" s="246" t="s">
        <v>601</v>
      </c>
      <c r="K136" s="306">
        <v>90000000</v>
      </c>
      <c r="L136" s="306"/>
      <c r="M136" s="263">
        <v>44593</v>
      </c>
      <c r="N136" s="263">
        <v>44925</v>
      </c>
      <c r="O136" s="263">
        <v>44652</v>
      </c>
      <c r="P136" s="264">
        <f t="shared" si="4"/>
        <v>0.17771084337349397</v>
      </c>
      <c r="Q136" s="264">
        <f t="shared" si="3"/>
        <v>0.17771084337349397</v>
      </c>
      <c r="R136" s="265">
        <v>1</v>
      </c>
      <c r="S136" s="266">
        <v>0.25</v>
      </c>
      <c r="T136" s="266">
        <v>0.5</v>
      </c>
      <c r="U136" s="266">
        <v>0.75</v>
      </c>
      <c r="V136" s="266">
        <v>1</v>
      </c>
      <c r="W136" s="266">
        <v>0</v>
      </c>
      <c r="X136" s="266" t="s">
        <v>590</v>
      </c>
      <c r="Y136" s="331" t="s">
        <v>52</v>
      </c>
      <c r="Z136" s="306">
        <v>0</v>
      </c>
      <c r="AA136" s="266">
        <v>0.1</v>
      </c>
      <c r="AB136" s="268" t="s">
        <v>602</v>
      </c>
      <c r="AC136" s="268" t="s">
        <v>2524</v>
      </c>
      <c r="AD136" s="306">
        <v>0</v>
      </c>
      <c r="AE136" s="522">
        <v>30</v>
      </c>
      <c r="AF136" s="268" t="s">
        <v>2304</v>
      </c>
      <c r="AG136" s="268" t="s">
        <v>2524</v>
      </c>
      <c r="AH136" s="267"/>
      <c r="AI136" s="268"/>
      <c r="AJ136" s="268"/>
      <c r="AK136" s="269"/>
    </row>
    <row r="137" spans="1:37" ht="100.5" hidden="1" customHeight="1" outlineLevel="1" x14ac:dyDescent="0.2">
      <c r="A137" s="835"/>
      <c r="B137" s="647"/>
      <c r="C137" s="647"/>
      <c r="D137" s="595"/>
      <c r="E137" s="631"/>
      <c r="F137" s="630" t="s">
        <v>603</v>
      </c>
      <c r="G137" s="286" t="s">
        <v>472</v>
      </c>
      <c r="H137" s="196" t="s">
        <v>604</v>
      </c>
      <c r="I137" s="628" t="s">
        <v>605</v>
      </c>
      <c r="J137" s="246" t="s">
        <v>606</v>
      </c>
      <c r="K137" s="306" t="s">
        <v>52</v>
      </c>
      <c r="L137" s="306" t="s">
        <v>52</v>
      </c>
      <c r="M137" s="263">
        <v>44593</v>
      </c>
      <c r="N137" s="263">
        <v>44925</v>
      </c>
      <c r="O137" s="263">
        <v>44652</v>
      </c>
      <c r="P137" s="264">
        <f t="shared" si="4"/>
        <v>0.17771084337349397</v>
      </c>
      <c r="Q137" s="264">
        <f t="shared" si="3"/>
        <v>0.17771084337349397</v>
      </c>
      <c r="R137" s="265">
        <v>0.6</v>
      </c>
      <c r="S137" s="266">
        <v>0.45</v>
      </c>
      <c r="T137" s="266">
        <v>0.5</v>
      </c>
      <c r="U137" s="266">
        <v>0.55000000000000004</v>
      </c>
      <c r="V137" s="266">
        <v>0.6</v>
      </c>
      <c r="W137" s="266">
        <v>0.5</v>
      </c>
      <c r="X137" s="266" t="s">
        <v>607</v>
      </c>
      <c r="Y137" s="333" t="s">
        <v>477</v>
      </c>
      <c r="Z137" s="306">
        <v>0</v>
      </c>
      <c r="AA137" s="266">
        <v>0.7</v>
      </c>
      <c r="AB137" s="268" t="s">
        <v>608</v>
      </c>
      <c r="AC137" s="268" t="s">
        <v>2524</v>
      </c>
      <c r="AD137" s="306">
        <v>0</v>
      </c>
      <c r="AE137" s="522">
        <v>80</v>
      </c>
      <c r="AF137" s="268" t="s">
        <v>2404</v>
      </c>
      <c r="AG137" s="268" t="s">
        <v>2524</v>
      </c>
      <c r="AH137" s="267"/>
      <c r="AI137" s="268"/>
      <c r="AJ137" s="268"/>
      <c r="AK137" s="269"/>
    </row>
    <row r="138" spans="1:37" ht="119.25" hidden="1" customHeight="1" outlineLevel="1" x14ac:dyDescent="0.2">
      <c r="A138" s="835"/>
      <c r="B138" s="647"/>
      <c r="C138" s="647"/>
      <c r="D138" s="595"/>
      <c r="E138" s="631"/>
      <c r="F138" s="631"/>
      <c r="G138" s="286" t="s">
        <v>472</v>
      </c>
      <c r="H138" s="196" t="s">
        <v>609</v>
      </c>
      <c r="I138" s="674"/>
      <c r="J138" s="246" t="s">
        <v>606</v>
      </c>
      <c r="K138" s="306">
        <v>228313171</v>
      </c>
      <c r="L138" s="306">
        <v>7738004</v>
      </c>
      <c r="M138" s="263">
        <v>44593</v>
      </c>
      <c r="N138" s="263">
        <v>44925</v>
      </c>
      <c r="O138" s="263">
        <v>44652</v>
      </c>
      <c r="P138" s="264">
        <f t="shared" si="4"/>
        <v>0.17771084337349397</v>
      </c>
      <c r="Q138" s="264">
        <f t="shared" si="3"/>
        <v>0.17771084337349397</v>
      </c>
      <c r="R138" s="265">
        <v>1</v>
      </c>
      <c r="S138" s="266">
        <v>0.25</v>
      </c>
      <c r="T138" s="266">
        <v>0.5</v>
      </c>
      <c r="U138" s="266">
        <v>0.75</v>
      </c>
      <c r="V138" s="266">
        <v>1</v>
      </c>
      <c r="W138" s="266">
        <v>0.6</v>
      </c>
      <c r="X138" s="266" t="s">
        <v>610</v>
      </c>
      <c r="Y138" s="333" t="s">
        <v>477</v>
      </c>
      <c r="Z138" s="306">
        <v>0</v>
      </c>
      <c r="AA138" s="266">
        <v>0.6</v>
      </c>
      <c r="AB138" s="268" t="s">
        <v>611</v>
      </c>
      <c r="AC138" s="268" t="s">
        <v>2524</v>
      </c>
      <c r="AD138" s="306">
        <v>0</v>
      </c>
      <c r="AE138" s="522">
        <v>60</v>
      </c>
      <c r="AF138" s="268" t="s">
        <v>611</v>
      </c>
      <c r="AG138" s="268" t="s">
        <v>2524</v>
      </c>
      <c r="AH138" s="267"/>
      <c r="AI138" s="268"/>
      <c r="AJ138" s="268"/>
      <c r="AK138" s="269"/>
    </row>
    <row r="139" spans="1:37" ht="147" hidden="1" customHeight="1" outlineLevel="1" x14ac:dyDescent="0.2">
      <c r="A139" s="835"/>
      <c r="B139" s="579" t="s">
        <v>39</v>
      </c>
      <c r="C139" s="579" t="s">
        <v>612</v>
      </c>
      <c r="D139" s="840" t="s">
        <v>613</v>
      </c>
      <c r="E139" s="699" t="s">
        <v>614</v>
      </c>
      <c r="F139" s="699" t="s">
        <v>615</v>
      </c>
      <c r="G139" s="836" t="s">
        <v>616</v>
      </c>
      <c r="H139" s="196" t="s">
        <v>617</v>
      </c>
      <c r="I139" s="836" t="s">
        <v>618</v>
      </c>
      <c r="J139" s="246" t="s">
        <v>189</v>
      </c>
      <c r="K139" s="306">
        <v>47733861</v>
      </c>
      <c r="L139" s="306">
        <v>12000000</v>
      </c>
      <c r="M139" s="263">
        <v>44593</v>
      </c>
      <c r="N139" s="263">
        <v>44925</v>
      </c>
      <c r="O139" s="263">
        <v>44652</v>
      </c>
      <c r="P139" s="264">
        <f t="shared" si="4"/>
        <v>0.17771084337349397</v>
      </c>
      <c r="Q139" s="264">
        <f t="shared" si="3"/>
        <v>0.17771084337349397</v>
      </c>
      <c r="R139" s="265">
        <v>1</v>
      </c>
      <c r="S139" s="266">
        <v>0.25</v>
      </c>
      <c r="T139" s="266">
        <v>0.5</v>
      </c>
      <c r="U139" s="266">
        <v>0.75</v>
      </c>
      <c r="V139" s="266">
        <v>1</v>
      </c>
      <c r="W139" s="266">
        <v>0.25</v>
      </c>
      <c r="X139" s="266" t="s">
        <v>619</v>
      </c>
      <c r="Y139" s="331" t="s">
        <v>620</v>
      </c>
      <c r="Z139" s="306">
        <v>25000000</v>
      </c>
      <c r="AA139" s="462">
        <v>0.5</v>
      </c>
      <c r="AB139" s="266" t="s">
        <v>1969</v>
      </c>
      <c r="AC139" s="268" t="s">
        <v>620</v>
      </c>
      <c r="AD139" s="306">
        <v>0</v>
      </c>
      <c r="AE139" s="522">
        <v>75</v>
      </c>
      <c r="AF139" s="268" t="s">
        <v>2554</v>
      </c>
      <c r="AG139" s="268" t="s">
        <v>2524</v>
      </c>
      <c r="AH139" s="267"/>
      <c r="AI139" s="268"/>
      <c r="AJ139" s="268"/>
      <c r="AK139" s="269"/>
    </row>
    <row r="140" spans="1:37" ht="61.5" hidden="1" customHeight="1" outlineLevel="1" x14ac:dyDescent="0.2">
      <c r="A140" s="835"/>
      <c r="B140" s="580"/>
      <c r="C140" s="580"/>
      <c r="D140" s="841"/>
      <c r="E140" s="700"/>
      <c r="F140" s="700"/>
      <c r="G140" s="838"/>
      <c r="H140" s="196" t="s">
        <v>621</v>
      </c>
      <c r="I140" s="837"/>
      <c r="J140" s="246" t="s">
        <v>622</v>
      </c>
      <c r="K140" s="256" t="s">
        <v>52</v>
      </c>
      <c r="L140" s="306">
        <v>0</v>
      </c>
      <c r="M140" s="263">
        <v>44593</v>
      </c>
      <c r="N140" s="263">
        <v>44925</v>
      </c>
      <c r="O140" s="263">
        <v>44652</v>
      </c>
      <c r="P140" s="264">
        <f t="shared" si="4"/>
        <v>0.17771084337349397</v>
      </c>
      <c r="Q140" s="264">
        <f>+IF(P140&gt;=100,100,IF(P140&lt;=0,0,P140))</f>
        <v>0.17771084337349397</v>
      </c>
      <c r="R140" s="265">
        <v>1</v>
      </c>
      <c r="S140" s="266">
        <v>0.25</v>
      </c>
      <c r="T140" s="266">
        <v>0.5</v>
      </c>
      <c r="U140" s="266">
        <v>0.75</v>
      </c>
      <c r="V140" s="266">
        <v>1</v>
      </c>
      <c r="W140" s="266">
        <v>0.5</v>
      </c>
      <c r="X140" s="266" t="s">
        <v>623</v>
      </c>
      <c r="Y140" s="331" t="s">
        <v>624</v>
      </c>
      <c r="Z140" s="306">
        <v>0</v>
      </c>
      <c r="AA140" s="462">
        <v>0.5</v>
      </c>
      <c r="AB140" s="268" t="s">
        <v>1970</v>
      </c>
      <c r="AC140" s="453" t="s">
        <v>1971</v>
      </c>
      <c r="AD140" s="306">
        <v>0</v>
      </c>
      <c r="AE140" s="522">
        <v>65</v>
      </c>
      <c r="AF140" s="268" t="s">
        <v>2556</v>
      </c>
      <c r="AG140" s="268" t="s">
        <v>2524</v>
      </c>
      <c r="AH140" s="267"/>
      <c r="AI140" s="268"/>
      <c r="AJ140" s="268"/>
      <c r="AK140" s="269"/>
    </row>
    <row r="141" spans="1:37" ht="96" hidden="1" customHeight="1" outlineLevel="1" x14ac:dyDescent="0.2">
      <c r="A141" s="835"/>
      <c r="B141" s="581"/>
      <c r="C141" s="581"/>
      <c r="D141" s="842"/>
      <c r="E141" s="701"/>
      <c r="F141" s="701"/>
      <c r="G141" s="12" t="s">
        <v>341</v>
      </c>
      <c r="H141" s="196" t="s">
        <v>625</v>
      </c>
      <c r="I141" s="838"/>
      <c r="J141" s="271" t="s">
        <v>626</v>
      </c>
      <c r="K141" s="306">
        <v>5000000</v>
      </c>
      <c r="L141" s="306">
        <v>0</v>
      </c>
      <c r="M141" s="263">
        <v>44593</v>
      </c>
      <c r="N141" s="263">
        <v>44925</v>
      </c>
      <c r="O141" s="263">
        <v>44652</v>
      </c>
      <c r="P141" s="264">
        <f t="shared" si="4"/>
        <v>0.17771084337349397</v>
      </c>
      <c r="Q141" s="264">
        <f>+IF(P141&gt;=100,100,IF(P141&lt;=0,0,P141))</f>
        <v>0.17771084337349397</v>
      </c>
      <c r="R141" s="265">
        <v>1</v>
      </c>
      <c r="S141" s="266">
        <v>0.25</v>
      </c>
      <c r="T141" s="266">
        <v>0.5</v>
      </c>
      <c r="U141" s="266">
        <v>0.75</v>
      </c>
      <c r="V141" s="266">
        <v>1</v>
      </c>
      <c r="W141" s="266">
        <v>0.25</v>
      </c>
      <c r="X141" s="266" t="s">
        <v>627</v>
      </c>
      <c r="Y141" s="331" t="s">
        <v>52</v>
      </c>
      <c r="Z141" s="306">
        <v>4155004</v>
      </c>
      <c r="AA141" s="462">
        <v>1</v>
      </c>
      <c r="AB141" s="268" t="s">
        <v>1972</v>
      </c>
      <c r="AC141" s="268" t="s">
        <v>1973</v>
      </c>
      <c r="AD141" s="306">
        <v>0</v>
      </c>
      <c r="AE141" s="522">
        <v>100</v>
      </c>
      <c r="AF141" s="268" t="s">
        <v>2555</v>
      </c>
      <c r="AG141" s="268" t="s">
        <v>52</v>
      </c>
      <c r="AH141" s="267"/>
      <c r="AI141" s="268"/>
      <c r="AJ141" s="268"/>
      <c r="AK141" s="269"/>
    </row>
    <row r="142" spans="1:37" ht="118.5" hidden="1" customHeight="1" outlineLevel="1" x14ac:dyDescent="0.2">
      <c r="A142" s="835"/>
      <c r="B142" s="400" t="s">
        <v>39</v>
      </c>
      <c r="C142" s="398" t="s">
        <v>628</v>
      </c>
      <c r="D142" s="405" t="s">
        <v>629</v>
      </c>
      <c r="E142" s="10" t="s">
        <v>630</v>
      </c>
      <c r="F142" s="10" t="s">
        <v>631</v>
      </c>
      <c r="G142" s="11" t="s">
        <v>213</v>
      </c>
      <c r="H142" s="565" t="s">
        <v>632</v>
      </c>
      <c r="I142" s="11" t="s">
        <v>633</v>
      </c>
      <c r="J142" s="256" t="s">
        <v>117</v>
      </c>
      <c r="K142" s="256" t="s">
        <v>117</v>
      </c>
      <c r="L142" s="306">
        <v>0</v>
      </c>
      <c r="M142" s="263">
        <v>44593</v>
      </c>
      <c r="N142" s="263">
        <v>44925</v>
      </c>
      <c r="O142" s="263">
        <v>44652</v>
      </c>
      <c r="P142" s="264">
        <f t="shared" si="4"/>
        <v>0.17771084337349397</v>
      </c>
      <c r="Q142" s="264">
        <f t="shared" si="3"/>
        <v>0.17771084337349397</v>
      </c>
      <c r="R142" s="265">
        <v>0.4</v>
      </c>
      <c r="S142" s="266">
        <v>0.25</v>
      </c>
      <c r="T142" s="266">
        <v>0.3</v>
      </c>
      <c r="U142" s="266">
        <v>0.35</v>
      </c>
      <c r="V142" s="266">
        <v>0.4</v>
      </c>
      <c r="W142" s="266">
        <v>0</v>
      </c>
      <c r="X142" s="335" t="s">
        <v>1974</v>
      </c>
      <c r="Y142" s="268" t="s">
        <v>52</v>
      </c>
      <c r="Z142" s="306">
        <v>0</v>
      </c>
      <c r="AA142" s="266">
        <v>0</v>
      </c>
      <c r="AB142" s="335" t="s">
        <v>1974</v>
      </c>
      <c r="AC142" s="268" t="s">
        <v>52</v>
      </c>
      <c r="AD142" s="306">
        <v>0</v>
      </c>
      <c r="AE142" s="522">
        <v>0</v>
      </c>
      <c r="AF142" s="268" t="s">
        <v>2557</v>
      </c>
      <c r="AG142" s="268" t="s">
        <v>52</v>
      </c>
      <c r="AH142" s="267"/>
      <c r="AI142" s="268"/>
      <c r="AJ142" s="268"/>
      <c r="AK142" s="269"/>
    </row>
    <row r="143" spans="1:37" ht="101.25" hidden="1" customHeight="1" outlineLevel="1" x14ac:dyDescent="0.2">
      <c r="A143" s="835"/>
      <c r="B143" s="579" t="s">
        <v>39</v>
      </c>
      <c r="C143" s="579" t="s">
        <v>96</v>
      </c>
      <c r="D143" s="660" t="s">
        <v>634</v>
      </c>
      <c r="E143" s="635" t="s">
        <v>635</v>
      </c>
      <c r="F143" s="635" t="s">
        <v>636</v>
      </c>
      <c r="G143" s="702" t="s">
        <v>637</v>
      </c>
      <c r="H143" s="196" t="s">
        <v>638</v>
      </c>
      <c r="I143" s="702" t="s">
        <v>639</v>
      </c>
      <c r="J143" s="256" t="s">
        <v>189</v>
      </c>
      <c r="K143" s="306"/>
      <c r="L143" s="306">
        <v>0</v>
      </c>
      <c r="M143" s="263">
        <v>44593</v>
      </c>
      <c r="N143" s="263">
        <v>44925</v>
      </c>
      <c r="O143" s="263">
        <v>44652</v>
      </c>
      <c r="P143" s="264">
        <f t="shared" si="4"/>
        <v>0.17771084337349397</v>
      </c>
      <c r="Q143" s="264">
        <f t="shared" si="3"/>
        <v>0.17771084337349397</v>
      </c>
      <c r="R143" s="265">
        <v>0.09</v>
      </c>
      <c r="S143" s="266">
        <v>0.06</v>
      </c>
      <c r="T143" s="266">
        <v>7.0000000000000007E-2</v>
      </c>
      <c r="U143" s="266">
        <v>0.08</v>
      </c>
      <c r="V143" s="266">
        <v>0.09</v>
      </c>
      <c r="W143" s="266">
        <v>0.25</v>
      </c>
      <c r="X143" s="266" t="s">
        <v>640</v>
      </c>
      <c r="Y143" s="331" t="s">
        <v>280</v>
      </c>
      <c r="Z143" s="306"/>
      <c r="AA143" s="266">
        <v>0.51</v>
      </c>
      <c r="AB143" s="268" t="s">
        <v>641</v>
      </c>
      <c r="AC143" s="268" t="s">
        <v>620</v>
      </c>
      <c r="AD143" s="268">
        <v>79513000</v>
      </c>
      <c r="AE143" s="522">
        <v>75</v>
      </c>
      <c r="AF143" s="268" t="s">
        <v>641</v>
      </c>
      <c r="AG143" s="268" t="s">
        <v>2524</v>
      </c>
      <c r="AH143" s="267"/>
      <c r="AI143" s="268"/>
      <c r="AJ143" s="268"/>
      <c r="AK143" s="269"/>
    </row>
    <row r="144" spans="1:37" ht="93.75" hidden="1" customHeight="1" outlineLevel="1" x14ac:dyDescent="0.2">
      <c r="A144" s="835"/>
      <c r="B144" s="580"/>
      <c r="C144" s="580"/>
      <c r="D144" s="661"/>
      <c r="E144" s="636"/>
      <c r="F144" s="636"/>
      <c r="G144" s="703"/>
      <c r="H144" s="568" t="s">
        <v>642</v>
      </c>
      <c r="I144" s="703"/>
      <c r="J144" s="256" t="s">
        <v>643</v>
      </c>
      <c r="K144" s="306">
        <v>42000000</v>
      </c>
      <c r="L144" s="306">
        <v>0</v>
      </c>
      <c r="M144" s="263">
        <v>44593</v>
      </c>
      <c r="N144" s="263">
        <v>44925</v>
      </c>
      <c r="O144" s="263">
        <v>44652</v>
      </c>
      <c r="P144" s="264">
        <f t="shared" si="4"/>
        <v>0.17771084337349397</v>
      </c>
      <c r="Q144" s="264">
        <f t="shared" si="3"/>
        <v>0.17771084337349397</v>
      </c>
      <c r="R144" s="265">
        <v>1</v>
      </c>
      <c r="S144" s="266">
        <v>0.25</v>
      </c>
      <c r="T144" s="266">
        <v>0.5</v>
      </c>
      <c r="U144" s="266">
        <v>0.75</v>
      </c>
      <c r="V144" s="266">
        <v>1</v>
      </c>
      <c r="W144" s="266">
        <v>0.1</v>
      </c>
      <c r="X144" s="266" t="s">
        <v>644</v>
      </c>
      <c r="Y144" s="331" t="s">
        <v>352</v>
      </c>
      <c r="Z144" s="306">
        <v>0</v>
      </c>
      <c r="AA144" s="266">
        <v>0.25</v>
      </c>
      <c r="AB144" s="268" t="s">
        <v>645</v>
      </c>
      <c r="AC144" s="268" t="s">
        <v>352</v>
      </c>
      <c r="AD144" s="306">
        <v>0</v>
      </c>
      <c r="AE144" s="522">
        <v>25</v>
      </c>
      <c r="AF144" s="268" t="s">
        <v>2195</v>
      </c>
      <c r="AG144" s="268" t="s">
        <v>2524</v>
      </c>
      <c r="AH144" s="267"/>
      <c r="AI144" s="268"/>
      <c r="AJ144" s="268"/>
      <c r="AK144" s="269"/>
    </row>
    <row r="145" spans="1:37" ht="112.5" hidden="1" customHeight="1" outlineLevel="1" x14ac:dyDescent="0.2">
      <c r="A145" s="835"/>
      <c r="B145" s="580"/>
      <c r="C145" s="580"/>
      <c r="D145" s="661"/>
      <c r="E145" s="636"/>
      <c r="F145" s="636"/>
      <c r="G145" s="703"/>
      <c r="H145" s="565" t="s">
        <v>646</v>
      </c>
      <c r="I145" s="703"/>
      <c r="J145" s="256" t="s">
        <v>647</v>
      </c>
      <c r="K145" s="307" t="s">
        <v>648</v>
      </c>
      <c r="L145" s="306">
        <v>0</v>
      </c>
      <c r="M145" s="263">
        <v>44593</v>
      </c>
      <c r="N145" s="263">
        <v>44925</v>
      </c>
      <c r="O145" s="263">
        <v>44652</v>
      </c>
      <c r="P145" s="264">
        <f t="shared" si="4"/>
        <v>0.17771084337349397</v>
      </c>
      <c r="Q145" s="264">
        <f t="shared" si="3"/>
        <v>0.17771084337349397</v>
      </c>
      <c r="R145" s="265">
        <v>1</v>
      </c>
      <c r="S145" s="266">
        <v>0.25</v>
      </c>
      <c r="T145" s="266">
        <v>0.5</v>
      </c>
      <c r="U145" s="266">
        <v>0.75</v>
      </c>
      <c r="V145" s="266">
        <v>1</v>
      </c>
      <c r="W145" s="266">
        <v>0.05</v>
      </c>
      <c r="X145" s="266" t="s">
        <v>649</v>
      </c>
      <c r="Y145" s="331" t="s">
        <v>52</v>
      </c>
      <c r="Z145" s="306">
        <v>0</v>
      </c>
      <c r="AA145" s="266">
        <v>0.05</v>
      </c>
      <c r="AB145" s="268" t="s">
        <v>650</v>
      </c>
      <c r="AC145" s="268" t="s">
        <v>52</v>
      </c>
      <c r="AD145" s="306">
        <v>0</v>
      </c>
      <c r="AE145" s="522">
        <v>25</v>
      </c>
      <c r="AF145" s="268" t="s">
        <v>2196</v>
      </c>
      <c r="AG145" s="268" t="s">
        <v>2524</v>
      </c>
      <c r="AH145" s="267"/>
      <c r="AI145" s="268"/>
      <c r="AJ145" s="268"/>
      <c r="AK145" s="269"/>
    </row>
    <row r="146" spans="1:37" ht="120.75" hidden="1" customHeight="1" outlineLevel="1" x14ac:dyDescent="0.2">
      <c r="A146" s="835"/>
      <c r="B146" s="580"/>
      <c r="C146" s="580"/>
      <c r="D146" s="661"/>
      <c r="E146" s="636"/>
      <c r="F146" s="636"/>
      <c r="G146" s="703"/>
      <c r="H146" s="565" t="s">
        <v>651</v>
      </c>
      <c r="I146" s="703"/>
      <c r="J146" s="256" t="s">
        <v>652</v>
      </c>
      <c r="K146" s="256" t="s">
        <v>117</v>
      </c>
      <c r="L146" s="306">
        <v>0</v>
      </c>
      <c r="M146" s="263">
        <v>44593</v>
      </c>
      <c r="N146" s="263">
        <v>44925</v>
      </c>
      <c r="O146" s="263">
        <v>44652</v>
      </c>
      <c r="P146" s="264">
        <f t="shared" si="4"/>
        <v>0.17771084337349397</v>
      </c>
      <c r="Q146" s="264">
        <f t="shared" si="3"/>
        <v>0.17771084337349397</v>
      </c>
      <c r="R146" s="265">
        <v>1</v>
      </c>
      <c r="S146" s="266">
        <v>0.25</v>
      </c>
      <c r="T146" s="266">
        <v>0.5</v>
      </c>
      <c r="U146" s="266">
        <v>0.75</v>
      </c>
      <c r="V146" s="266">
        <v>1</v>
      </c>
      <c r="W146" s="266">
        <v>0.1</v>
      </c>
      <c r="X146" s="266" t="s">
        <v>653</v>
      </c>
      <c r="Y146" s="331" t="s">
        <v>52</v>
      </c>
      <c r="Z146" s="306">
        <v>0</v>
      </c>
      <c r="AA146" s="266">
        <v>0.2</v>
      </c>
      <c r="AB146" s="268" t="s">
        <v>654</v>
      </c>
      <c r="AC146" s="268" t="s">
        <v>52</v>
      </c>
      <c r="AD146" s="306">
        <v>0</v>
      </c>
      <c r="AE146" s="522">
        <v>25</v>
      </c>
      <c r="AF146" s="268" t="s">
        <v>2197</v>
      </c>
      <c r="AG146" s="268" t="s">
        <v>2524</v>
      </c>
      <c r="AH146" s="267"/>
      <c r="AI146" s="268"/>
      <c r="AJ146" s="268"/>
      <c r="AK146" s="269"/>
    </row>
    <row r="147" spans="1:37" ht="107.25" hidden="1" customHeight="1" outlineLevel="1" x14ac:dyDescent="0.2">
      <c r="A147" s="835"/>
      <c r="B147" s="581"/>
      <c r="C147" s="581"/>
      <c r="D147" s="662"/>
      <c r="E147" s="637"/>
      <c r="F147" s="637"/>
      <c r="G147" s="704"/>
      <c r="H147" s="565" t="s">
        <v>655</v>
      </c>
      <c r="I147" s="704"/>
      <c r="J147" s="256" t="s">
        <v>656</v>
      </c>
      <c r="K147" s="256" t="s">
        <v>117</v>
      </c>
      <c r="L147" s="306">
        <v>0</v>
      </c>
      <c r="M147" s="263">
        <v>44593</v>
      </c>
      <c r="N147" s="263">
        <v>44925</v>
      </c>
      <c r="O147" s="263">
        <v>44652</v>
      </c>
      <c r="P147" s="264">
        <f t="shared" si="4"/>
        <v>0.17771084337349397</v>
      </c>
      <c r="Q147" s="264">
        <f t="shared" si="3"/>
        <v>0.17771084337349397</v>
      </c>
      <c r="R147" s="265">
        <v>1</v>
      </c>
      <c r="S147" s="266">
        <v>0.25</v>
      </c>
      <c r="T147" s="266">
        <v>0.5</v>
      </c>
      <c r="U147" s="266">
        <v>0.75</v>
      </c>
      <c r="V147" s="266">
        <v>1</v>
      </c>
      <c r="W147" s="266">
        <v>0.25</v>
      </c>
      <c r="X147" s="266" t="s">
        <v>657</v>
      </c>
      <c r="Y147" s="331" t="s">
        <v>52</v>
      </c>
      <c r="Z147" s="306">
        <v>0</v>
      </c>
      <c r="AA147" s="266">
        <v>0.5</v>
      </c>
      <c r="AB147" s="268" t="s">
        <v>2198</v>
      </c>
      <c r="AC147" s="268" t="s">
        <v>52</v>
      </c>
      <c r="AD147" s="306">
        <v>0</v>
      </c>
      <c r="AE147" s="522">
        <v>50</v>
      </c>
      <c r="AF147" s="268" t="s">
        <v>2199</v>
      </c>
      <c r="AG147" s="268" t="s">
        <v>52</v>
      </c>
      <c r="AH147" s="267"/>
      <c r="AI147" s="268"/>
      <c r="AJ147" s="268"/>
      <c r="AK147" s="269"/>
    </row>
    <row r="148" spans="1:37" ht="96.75" hidden="1" customHeight="1" outlineLevel="1" x14ac:dyDescent="0.2">
      <c r="A148" s="835"/>
      <c r="B148" s="579" t="s">
        <v>39</v>
      </c>
      <c r="C148" s="459" t="s">
        <v>628</v>
      </c>
      <c r="D148" s="594" t="s">
        <v>658</v>
      </c>
      <c r="E148" s="415" t="s">
        <v>42</v>
      </c>
      <c r="F148" s="3" t="s">
        <v>43</v>
      </c>
      <c r="G148" s="4" t="s">
        <v>659</v>
      </c>
      <c r="H148" s="196" t="s">
        <v>660</v>
      </c>
      <c r="I148" s="4" t="s">
        <v>46</v>
      </c>
      <c r="J148" s="256" t="s">
        <v>661</v>
      </c>
      <c r="K148" s="256" t="s">
        <v>52</v>
      </c>
      <c r="L148" s="306">
        <v>0</v>
      </c>
      <c r="M148" s="263">
        <v>44593</v>
      </c>
      <c r="N148" s="263">
        <v>44925</v>
      </c>
      <c r="O148" s="263">
        <v>44652</v>
      </c>
      <c r="P148" s="264">
        <f t="shared" si="4"/>
        <v>0.17771084337349397</v>
      </c>
      <c r="Q148" s="264">
        <f t="shared" si="3"/>
        <v>0.17771084337349397</v>
      </c>
      <c r="R148" s="265">
        <v>1</v>
      </c>
      <c r="S148" s="266">
        <v>0.25</v>
      </c>
      <c r="T148" s="266">
        <v>0.5</v>
      </c>
      <c r="U148" s="266">
        <v>0.75</v>
      </c>
      <c r="V148" s="266">
        <v>1</v>
      </c>
      <c r="W148" s="266">
        <v>0.25</v>
      </c>
      <c r="X148" s="266" t="s">
        <v>662</v>
      </c>
      <c r="Y148" s="331" t="s">
        <v>663</v>
      </c>
      <c r="Z148" s="306">
        <v>0</v>
      </c>
      <c r="AA148" s="462">
        <v>0.5</v>
      </c>
      <c r="AB148" s="268" t="s">
        <v>1975</v>
      </c>
      <c r="AC148" s="453" t="s">
        <v>1976</v>
      </c>
      <c r="AD148" s="306">
        <v>0</v>
      </c>
      <c r="AE148" s="522">
        <v>75</v>
      </c>
      <c r="AF148" s="268" t="s">
        <v>2558</v>
      </c>
      <c r="AG148" s="268" t="s">
        <v>52</v>
      </c>
      <c r="AH148" s="267"/>
      <c r="AI148" s="268"/>
      <c r="AJ148" s="268"/>
      <c r="AK148" s="269"/>
    </row>
    <row r="149" spans="1:37" ht="77.25" hidden="1" customHeight="1" outlineLevel="1" x14ac:dyDescent="0.2">
      <c r="A149" s="835"/>
      <c r="B149" s="581"/>
      <c r="C149" s="459" t="s">
        <v>96</v>
      </c>
      <c r="D149" s="627"/>
      <c r="E149" s="406" t="s">
        <v>635</v>
      </c>
      <c r="F149" s="397" t="s">
        <v>408</v>
      </c>
      <c r="G149" s="408" t="s">
        <v>664</v>
      </c>
      <c r="H149" s="196" t="s">
        <v>665</v>
      </c>
      <c r="I149" s="460" t="s">
        <v>411</v>
      </c>
      <c r="J149" s="256" t="s">
        <v>666</v>
      </c>
      <c r="K149" s="256" t="s">
        <v>52</v>
      </c>
      <c r="L149" s="306">
        <v>0</v>
      </c>
      <c r="M149" s="263">
        <v>44593</v>
      </c>
      <c r="N149" s="263">
        <v>44925</v>
      </c>
      <c r="O149" s="263">
        <v>44652</v>
      </c>
      <c r="P149" s="264">
        <f t="shared" si="4"/>
        <v>0.17771084337349397</v>
      </c>
      <c r="Q149" s="264">
        <f t="shared" si="3"/>
        <v>0.17771084337349397</v>
      </c>
      <c r="R149" s="265">
        <v>1</v>
      </c>
      <c r="S149" s="266">
        <v>0.25</v>
      </c>
      <c r="T149" s="266">
        <v>0.5</v>
      </c>
      <c r="U149" s="266">
        <v>0.75</v>
      </c>
      <c r="V149" s="266">
        <v>1</v>
      </c>
      <c r="W149" s="266">
        <v>0.25</v>
      </c>
      <c r="X149" s="266" t="s">
        <v>667</v>
      </c>
      <c r="Y149" s="331" t="s">
        <v>668</v>
      </c>
      <c r="Z149" s="306">
        <v>0</v>
      </c>
      <c r="AA149" s="462">
        <v>0.5</v>
      </c>
      <c r="AB149" s="268" t="s">
        <v>1977</v>
      </c>
      <c r="AC149" s="268" t="s">
        <v>52</v>
      </c>
      <c r="AD149" s="306">
        <v>0</v>
      </c>
      <c r="AE149" s="522">
        <v>60</v>
      </c>
      <c r="AF149" s="268" t="s">
        <v>2319</v>
      </c>
      <c r="AG149" s="268" t="s">
        <v>52</v>
      </c>
      <c r="AH149" s="267"/>
      <c r="AI149" s="268"/>
      <c r="AJ149" s="268"/>
      <c r="AK149" s="269"/>
    </row>
    <row r="150" spans="1:37" ht="135.75" hidden="1" customHeight="1" outlineLevel="1" x14ac:dyDescent="0.2">
      <c r="A150" s="835"/>
      <c r="B150" s="579" t="s">
        <v>39</v>
      </c>
      <c r="C150" s="579" t="s">
        <v>669</v>
      </c>
      <c r="D150" s="667" t="s">
        <v>670</v>
      </c>
      <c r="E150" s="641" t="s">
        <v>671</v>
      </c>
      <c r="F150" s="431" t="s">
        <v>672</v>
      </c>
      <c r="G150" s="239" t="s">
        <v>169</v>
      </c>
      <c r="H150" s="196" t="s">
        <v>673</v>
      </c>
      <c r="I150" s="239" t="s">
        <v>674</v>
      </c>
      <c r="J150" s="256" t="s">
        <v>675</v>
      </c>
      <c r="K150" s="256" t="s">
        <v>52</v>
      </c>
      <c r="L150" s="306">
        <v>0</v>
      </c>
      <c r="M150" s="263">
        <v>44593</v>
      </c>
      <c r="N150" s="263">
        <v>44925</v>
      </c>
      <c r="O150" s="263">
        <v>44652</v>
      </c>
      <c r="P150" s="264">
        <f t="shared" si="4"/>
        <v>0.17771084337349397</v>
      </c>
      <c r="Q150" s="264">
        <f t="shared" si="3"/>
        <v>0.17771084337349397</v>
      </c>
      <c r="R150" s="273">
        <v>7.0000000000000001E-3</v>
      </c>
      <c r="S150" s="274">
        <v>5.0000000000000001E-3</v>
      </c>
      <c r="T150" s="274">
        <v>6.0000000000000001E-3</v>
      </c>
      <c r="U150" s="274">
        <v>6.0000000000000001E-3</v>
      </c>
      <c r="V150" s="274">
        <v>7.0000000000000001E-3</v>
      </c>
      <c r="W150" s="266">
        <v>0.2</v>
      </c>
      <c r="X150" s="266" t="s">
        <v>2504</v>
      </c>
      <c r="Y150" s="331" t="s">
        <v>676</v>
      </c>
      <c r="Z150" s="306">
        <v>0</v>
      </c>
      <c r="AA150" s="266">
        <v>0.2</v>
      </c>
      <c r="AB150" s="268" t="s">
        <v>2210</v>
      </c>
      <c r="AC150" s="268" t="s">
        <v>52</v>
      </c>
      <c r="AD150" s="306">
        <v>0</v>
      </c>
      <c r="AE150" s="522">
        <v>30</v>
      </c>
      <c r="AF150" s="268" t="s">
        <v>2209</v>
      </c>
      <c r="AG150" s="268" t="s">
        <v>2524</v>
      </c>
      <c r="AH150" s="267"/>
      <c r="AI150" s="268"/>
      <c r="AJ150" s="268"/>
      <c r="AK150" s="269"/>
    </row>
    <row r="151" spans="1:37" ht="211.5" hidden="1" customHeight="1" outlineLevel="1" x14ac:dyDescent="0.2">
      <c r="A151" s="835"/>
      <c r="B151" s="580"/>
      <c r="C151" s="580"/>
      <c r="D151" s="667"/>
      <c r="E151" s="642"/>
      <c r="F151" s="641" t="s">
        <v>677</v>
      </c>
      <c r="G151" s="708" t="s">
        <v>169</v>
      </c>
      <c r="H151" s="196" t="s">
        <v>678</v>
      </c>
      <c r="I151" s="708" t="s">
        <v>679</v>
      </c>
      <c r="J151" s="256" t="s">
        <v>680</v>
      </c>
      <c r="K151" s="256" t="s">
        <v>52</v>
      </c>
      <c r="L151" s="306">
        <v>0</v>
      </c>
      <c r="M151" s="263">
        <v>44593</v>
      </c>
      <c r="N151" s="263">
        <v>44925</v>
      </c>
      <c r="O151" s="263">
        <v>44652</v>
      </c>
      <c r="P151" s="264">
        <f t="shared" si="4"/>
        <v>0.17771084337349397</v>
      </c>
      <c r="Q151" s="264">
        <f t="shared" si="3"/>
        <v>0.17771084337349397</v>
      </c>
      <c r="R151" s="273">
        <v>7.4999999999999997E-2</v>
      </c>
      <c r="S151" s="274">
        <v>7.4999999999999997E-2</v>
      </c>
      <c r="T151" s="274">
        <v>7.4999999999999997E-2</v>
      </c>
      <c r="U151" s="274">
        <v>7.4999999999999997E-2</v>
      </c>
      <c r="V151" s="274">
        <v>7.4999999999999997E-2</v>
      </c>
      <c r="W151" s="266">
        <v>0.25</v>
      </c>
      <c r="X151" s="266" t="s">
        <v>681</v>
      </c>
      <c r="Y151" s="331" t="s">
        <v>249</v>
      </c>
      <c r="Z151" s="306">
        <v>0</v>
      </c>
      <c r="AA151" s="266">
        <v>0.5</v>
      </c>
      <c r="AB151" s="268" t="s">
        <v>682</v>
      </c>
      <c r="AC151" s="268" t="s">
        <v>1981</v>
      </c>
      <c r="AD151" s="306">
        <v>0</v>
      </c>
      <c r="AE151" s="522">
        <v>75</v>
      </c>
      <c r="AF151" s="268" t="s">
        <v>2211</v>
      </c>
      <c r="AG151" s="268" t="s">
        <v>2524</v>
      </c>
      <c r="AH151" s="267"/>
      <c r="AI151" s="268"/>
      <c r="AJ151" s="268"/>
      <c r="AK151" s="269"/>
    </row>
    <row r="152" spans="1:37" ht="168" hidden="1" customHeight="1" outlineLevel="1" x14ac:dyDescent="0.2">
      <c r="A152" s="835"/>
      <c r="B152" s="580"/>
      <c r="C152" s="580"/>
      <c r="D152" s="667"/>
      <c r="E152" s="642"/>
      <c r="F152" s="642"/>
      <c r="G152" s="713"/>
      <c r="H152" s="196" t="s">
        <v>683</v>
      </c>
      <c r="I152" s="713"/>
      <c r="J152" s="256" t="s">
        <v>684</v>
      </c>
      <c r="K152" s="256" t="s">
        <v>52</v>
      </c>
      <c r="L152" s="306">
        <v>0</v>
      </c>
      <c r="M152" s="263">
        <v>44593</v>
      </c>
      <c r="N152" s="263">
        <v>44925</v>
      </c>
      <c r="O152" s="263">
        <v>44652</v>
      </c>
      <c r="P152" s="264">
        <f t="shared" si="4"/>
        <v>0.17771084337349397</v>
      </c>
      <c r="Q152" s="264">
        <f t="shared" si="3"/>
        <v>0.17771084337349397</v>
      </c>
      <c r="R152" s="265">
        <v>1</v>
      </c>
      <c r="S152" s="266">
        <v>0.25</v>
      </c>
      <c r="T152" s="266">
        <v>0.5</v>
      </c>
      <c r="U152" s="266">
        <v>0.75</v>
      </c>
      <c r="V152" s="266">
        <v>1</v>
      </c>
      <c r="W152" s="266">
        <v>0.25</v>
      </c>
      <c r="X152" s="266" t="s">
        <v>685</v>
      </c>
      <c r="Y152" s="331" t="s">
        <v>686</v>
      </c>
      <c r="Z152" s="306">
        <v>0</v>
      </c>
      <c r="AA152" s="266">
        <v>0.5</v>
      </c>
      <c r="AB152" s="268" t="s">
        <v>687</v>
      </c>
      <c r="AC152" s="268" t="s">
        <v>1980</v>
      </c>
      <c r="AD152" s="306">
        <v>0</v>
      </c>
      <c r="AE152" s="522">
        <v>75</v>
      </c>
      <c r="AF152" s="268" t="s">
        <v>2212</v>
      </c>
      <c r="AG152" s="268" t="s">
        <v>2524</v>
      </c>
      <c r="AH152" s="267"/>
      <c r="AI152" s="268"/>
      <c r="AJ152" s="268"/>
      <c r="AK152" s="269"/>
    </row>
    <row r="153" spans="1:37" ht="90" hidden="1" customHeight="1" outlineLevel="1" x14ac:dyDescent="0.2">
      <c r="A153" s="835"/>
      <c r="B153" s="581"/>
      <c r="C153" s="581"/>
      <c r="D153" s="667"/>
      <c r="E153" s="643"/>
      <c r="F153" s="643"/>
      <c r="G153" s="709"/>
      <c r="H153" s="196" t="s">
        <v>688</v>
      </c>
      <c r="I153" s="709"/>
      <c r="J153" s="256" t="s">
        <v>689</v>
      </c>
      <c r="K153" s="256" t="s">
        <v>52</v>
      </c>
      <c r="L153" s="306">
        <v>0</v>
      </c>
      <c r="M153" s="263">
        <v>44593</v>
      </c>
      <c r="N153" s="263">
        <v>44925</v>
      </c>
      <c r="O153" s="263">
        <v>44652</v>
      </c>
      <c r="P153" s="264">
        <f t="shared" si="4"/>
        <v>0.17771084337349397</v>
      </c>
      <c r="Q153" s="264">
        <f t="shared" si="3"/>
        <v>0.17771084337349397</v>
      </c>
      <c r="R153" s="265">
        <v>1</v>
      </c>
      <c r="S153" s="266">
        <v>0.25</v>
      </c>
      <c r="T153" s="266">
        <v>0.5</v>
      </c>
      <c r="U153" s="266">
        <v>0.75</v>
      </c>
      <c r="V153" s="266">
        <v>1</v>
      </c>
      <c r="W153" s="266">
        <v>0.25</v>
      </c>
      <c r="X153" s="266" t="s">
        <v>690</v>
      </c>
      <c r="Y153" s="331" t="s">
        <v>691</v>
      </c>
      <c r="Z153" s="306">
        <v>0</v>
      </c>
      <c r="AA153" s="266">
        <v>0.5</v>
      </c>
      <c r="AB153" s="268" t="s">
        <v>2213</v>
      </c>
      <c r="AC153" s="268" t="s">
        <v>1979</v>
      </c>
      <c r="AD153" s="306">
        <v>0</v>
      </c>
      <c r="AE153" s="522">
        <v>75</v>
      </c>
      <c r="AF153" s="268" t="s">
        <v>2512</v>
      </c>
      <c r="AG153" s="268" t="s">
        <v>2524</v>
      </c>
      <c r="AH153" s="267"/>
      <c r="AI153" s="268"/>
      <c r="AJ153" s="268"/>
      <c r="AK153" s="269"/>
    </row>
    <row r="154" spans="1:37" ht="90" hidden="1" customHeight="1" outlineLevel="1" x14ac:dyDescent="0.2">
      <c r="A154" s="835"/>
      <c r="B154" s="579" t="s">
        <v>39</v>
      </c>
      <c r="C154" s="579" t="s">
        <v>692</v>
      </c>
      <c r="D154" s="667"/>
      <c r="E154" s="710" t="s">
        <v>693</v>
      </c>
      <c r="F154" s="432" t="s">
        <v>694</v>
      </c>
      <c r="G154" s="239" t="s">
        <v>695</v>
      </c>
      <c r="H154" s="196" t="s">
        <v>696</v>
      </c>
      <c r="I154" s="239" t="s">
        <v>679</v>
      </c>
      <c r="J154" s="9" t="s">
        <v>697</v>
      </c>
      <c r="K154" s="256" t="s">
        <v>52</v>
      </c>
      <c r="L154" s="306">
        <v>0</v>
      </c>
      <c r="M154" s="263">
        <v>44593</v>
      </c>
      <c r="N154" s="263">
        <v>44925</v>
      </c>
      <c r="O154" s="263">
        <v>44652</v>
      </c>
      <c r="P154" s="264">
        <f t="shared" si="4"/>
        <v>0.17771084337349397</v>
      </c>
      <c r="Q154" s="264">
        <f t="shared" si="3"/>
        <v>0.17771084337349397</v>
      </c>
      <c r="R154" s="265">
        <v>1</v>
      </c>
      <c r="S154" s="266">
        <v>1</v>
      </c>
      <c r="T154" s="266">
        <v>1</v>
      </c>
      <c r="U154" s="266">
        <v>1</v>
      </c>
      <c r="V154" s="266">
        <v>1</v>
      </c>
      <c r="W154" s="266">
        <v>0.25</v>
      </c>
      <c r="X154" s="266" t="s">
        <v>698</v>
      </c>
      <c r="Y154" s="331" t="s">
        <v>699</v>
      </c>
      <c r="Z154" s="306">
        <v>0</v>
      </c>
      <c r="AA154" s="266">
        <v>0.5</v>
      </c>
      <c r="AB154" s="266" t="s">
        <v>2214</v>
      </c>
      <c r="AC154" s="268" t="s">
        <v>1160</v>
      </c>
      <c r="AD154" s="306">
        <v>0</v>
      </c>
      <c r="AE154" s="522">
        <v>75</v>
      </c>
      <c r="AF154" s="268" t="s">
        <v>2215</v>
      </c>
      <c r="AG154" s="268" t="s">
        <v>2524</v>
      </c>
      <c r="AH154" s="267"/>
      <c r="AI154" s="268"/>
      <c r="AJ154" s="268"/>
      <c r="AK154" s="269"/>
    </row>
    <row r="155" spans="1:37" ht="90" hidden="1" customHeight="1" outlineLevel="1" x14ac:dyDescent="0.2">
      <c r="A155" s="835"/>
      <c r="B155" s="580"/>
      <c r="C155" s="580"/>
      <c r="D155" s="667"/>
      <c r="E155" s="710"/>
      <c r="F155" s="431" t="s">
        <v>700</v>
      </c>
      <c r="G155" s="708" t="s">
        <v>695</v>
      </c>
      <c r="H155" s="558" t="s">
        <v>701</v>
      </c>
      <c r="I155" s="461" t="s">
        <v>702</v>
      </c>
      <c r="J155" s="256" t="s">
        <v>606</v>
      </c>
      <c r="K155" s="256" t="s">
        <v>52</v>
      </c>
      <c r="L155" s="306">
        <v>0</v>
      </c>
      <c r="M155" s="263">
        <v>44593</v>
      </c>
      <c r="N155" s="263">
        <v>44925</v>
      </c>
      <c r="O155" s="263">
        <v>44652</v>
      </c>
      <c r="P155" s="264">
        <f t="shared" si="4"/>
        <v>0.17771084337349397</v>
      </c>
      <c r="Q155" s="264">
        <f t="shared" si="3"/>
        <v>0.17771084337349397</v>
      </c>
      <c r="R155" s="265">
        <v>1</v>
      </c>
      <c r="S155" s="266">
        <v>1</v>
      </c>
      <c r="T155" s="266">
        <v>1</v>
      </c>
      <c r="U155" s="266">
        <v>1</v>
      </c>
      <c r="V155" s="266">
        <v>1</v>
      </c>
      <c r="W155" s="266">
        <v>0.25</v>
      </c>
      <c r="X155" s="266" t="s">
        <v>703</v>
      </c>
      <c r="Y155" s="331" t="s">
        <v>676</v>
      </c>
      <c r="Z155" s="306">
        <v>0</v>
      </c>
      <c r="AA155" s="266">
        <v>0.5</v>
      </c>
      <c r="AB155" s="268" t="s">
        <v>704</v>
      </c>
      <c r="AC155" s="268" t="s">
        <v>1978</v>
      </c>
      <c r="AD155" s="306">
        <v>0</v>
      </c>
      <c r="AE155" s="522">
        <v>60</v>
      </c>
      <c r="AF155" s="268" t="s">
        <v>2216</v>
      </c>
      <c r="AG155" s="268" t="s">
        <v>2524</v>
      </c>
      <c r="AH155" s="267"/>
      <c r="AI155" s="268"/>
      <c r="AJ155" s="268"/>
      <c r="AK155" s="269"/>
    </row>
    <row r="156" spans="1:37" ht="118.5" hidden="1" customHeight="1" outlineLevel="1" x14ac:dyDescent="0.2">
      <c r="A156" s="835"/>
      <c r="B156" s="580"/>
      <c r="C156" s="580"/>
      <c r="D156" s="667"/>
      <c r="E156" s="710"/>
      <c r="F156" s="431" t="s">
        <v>705</v>
      </c>
      <c r="G156" s="709"/>
      <c r="H156" s="196" t="s">
        <v>706</v>
      </c>
      <c r="I156" s="239" t="s">
        <v>707</v>
      </c>
      <c r="J156" s="256" t="s">
        <v>708</v>
      </c>
      <c r="K156" s="256" t="s">
        <v>52</v>
      </c>
      <c r="L156" s="306">
        <v>0</v>
      </c>
      <c r="M156" s="263">
        <v>44593</v>
      </c>
      <c r="N156" s="263">
        <v>44925</v>
      </c>
      <c r="O156" s="263">
        <v>44652</v>
      </c>
      <c r="P156" s="264">
        <f t="shared" si="4"/>
        <v>0.17771084337349397</v>
      </c>
      <c r="Q156" s="264">
        <f t="shared" si="3"/>
        <v>0.17771084337349397</v>
      </c>
      <c r="R156" s="265">
        <v>1</v>
      </c>
      <c r="S156" s="266">
        <v>1</v>
      </c>
      <c r="T156" s="266">
        <v>1</v>
      </c>
      <c r="U156" s="266">
        <v>1</v>
      </c>
      <c r="V156" s="266">
        <v>1</v>
      </c>
      <c r="W156" s="266">
        <v>0.25</v>
      </c>
      <c r="X156" s="266" t="s">
        <v>709</v>
      </c>
      <c r="Y156" s="331" t="s">
        <v>710</v>
      </c>
      <c r="Z156" s="306">
        <v>0</v>
      </c>
      <c r="AA156" s="266">
        <v>1</v>
      </c>
      <c r="AB156" s="268" t="s">
        <v>711</v>
      </c>
      <c r="AC156" s="268" t="s">
        <v>712</v>
      </c>
      <c r="AD156" s="306">
        <v>0</v>
      </c>
      <c r="AE156" s="522">
        <v>100</v>
      </c>
      <c r="AF156" s="268" t="s">
        <v>2205</v>
      </c>
      <c r="AG156" s="268" t="s">
        <v>2524</v>
      </c>
      <c r="AH156" s="267"/>
      <c r="AI156" s="268"/>
      <c r="AJ156" s="268"/>
      <c r="AK156" s="269"/>
    </row>
    <row r="157" spans="1:37" ht="93.75" hidden="1" customHeight="1" outlineLevel="1" x14ac:dyDescent="0.2">
      <c r="A157" s="835"/>
      <c r="B157" s="579" t="s">
        <v>39</v>
      </c>
      <c r="C157" s="579" t="s">
        <v>719</v>
      </c>
      <c r="D157" s="667"/>
      <c r="E157" s="638" t="s">
        <v>91</v>
      </c>
      <c r="F157" s="638" t="s">
        <v>720</v>
      </c>
      <c r="G157" s="705" t="s">
        <v>721</v>
      </c>
      <c r="H157" s="196" t="s">
        <v>722</v>
      </c>
      <c r="I157" s="705" t="s">
        <v>679</v>
      </c>
      <c r="J157" s="256" t="s">
        <v>723</v>
      </c>
      <c r="K157" s="338">
        <v>18000000</v>
      </c>
      <c r="L157" s="308">
        <v>0</v>
      </c>
      <c r="M157" s="263">
        <v>44593</v>
      </c>
      <c r="N157" s="263">
        <v>44925</v>
      </c>
      <c r="O157" s="263">
        <v>44652</v>
      </c>
      <c r="P157" s="264">
        <f t="shared" si="4"/>
        <v>0.17771084337349397</v>
      </c>
      <c r="Q157" s="264">
        <f t="shared" si="3"/>
        <v>0.17771084337349397</v>
      </c>
      <c r="R157" s="265">
        <v>1</v>
      </c>
      <c r="S157" s="266">
        <v>0.25</v>
      </c>
      <c r="T157" s="266">
        <v>0.5</v>
      </c>
      <c r="U157" s="266">
        <v>0.75</v>
      </c>
      <c r="V157" s="266">
        <v>1</v>
      </c>
      <c r="W157" s="266">
        <v>0.25</v>
      </c>
      <c r="X157" s="266" t="s">
        <v>724</v>
      </c>
      <c r="Y157" s="331" t="s">
        <v>725</v>
      </c>
      <c r="Z157" s="306">
        <v>15276000</v>
      </c>
      <c r="AA157" s="266">
        <v>0.5</v>
      </c>
      <c r="AB157" s="268" t="s">
        <v>726</v>
      </c>
      <c r="AC157" s="268" t="s">
        <v>303</v>
      </c>
      <c r="AD157" s="306">
        <v>0</v>
      </c>
      <c r="AE157" s="522">
        <v>100</v>
      </c>
      <c r="AF157" s="268" t="s">
        <v>2187</v>
      </c>
      <c r="AG157" s="268" t="s">
        <v>2524</v>
      </c>
      <c r="AH157" s="267"/>
      <c r="AI157" s="268"/>
      <c r="AJ157" s="268"/>
      <c r="AK157" s="269"/>
    </row>
    <row r="158" spans="1:37" ht="75" hidden="1" customHeight="1" outlineLevel="1" x14ac:dyDescent="0.2">
      <c r="A158" s="835"/>
      <c r="B158" s="580"/>
      <c r="C158" s="580"/>
      <c r="D158" s="667"/>
      <c r="E158" s="639"/>
      <c r="F158" s="639"/>
      <c r="G158" s="706"/>
      <c r="H158" s="196" t="s">
        <v>727</v>
      </c>
      <c r="I158" s="706"/>
      <c r="J158" s="256" t="s">
        <v>728</v>
      </c>
      <c r="K158" s="338" t="s">
        <v>729</v>
      </c>
      <c r="L158" s="308">
        <v>0</v>
      </c>
      <c r="M158" s="263">
        <v>44593</v>
      </c>
      <c r="N158" s="263">
        <v>44925</v>
      </c>
      <c r="O158" s="263">
        <v>44652</v>
      </c>
      <c r="P158" s="264">
        <f t="shared" si="4"/>
        <v>0.17771084337349397</v>
      </c>
      <c r="Q158" s="264">
        <f t="shared" si="3"/>
        <v>0.17771084337349397</v>
      </c>
      <c r="R158" s="265">
        <v>1</v>
      </c>
      <c r="S158" s="266">
        <v>0.25</v>
      </c>
      <c r="T158" s="266">
        <v>0.5</v>
      </c>
      <c r="U158" s="266">
        <v>0.75</v>
      </c>
      <c r="V158" s="266">
        <v>1</v>
      </c>
      <c r="W158" s="266">
        <v>0.25</v>
      </c>
      <c r="X158" s="266" t="s">
        <v>730</v>
      </c>
      <c r="Y158" s="331" t="s">
        <v>725</v>
      </c>
      <c r="Z158" s="306">
        <v>0</v>
      </c>
      <c r="AA158" s="266">
        <v>0.3</v>
      </c>
      <c r="AB158" s="268" t="s">
        <v>731</v>
      </c>
      <c r="AC158" s="268" t="s">
        <v>303</v>
      </c>
      <c r="AD158" s="306">
        <v>0</v>
      </c>
      <c r="AE158" s="522">
        <v>30</v>
      </c>
      <c r="AF158" s="268" t="s">
        <v>2188</v>
      </c>
      <c r="AG158" s="268" t="s">
        <v>2524</v>
      </c>
      <c r="AH158" s="267"/>
      <c r="AI158" s="268"/>
      <c r="AJ158" s="268"/>
      <c r="AK158" s="269"/>
    </row>
    <row r="159" spans="1:37" ht="75" hidden="1" customHeight="1" outlineLevel="1" x14ac:dyDescent="0.2">
      <c r="A159" s="835"/>
      <c r="B159" s="580"/>
      <c r="C159" s="580"/>
      <c r="D159" s="667"/>
      <c r="E159" s="639"/>
      <c r="F159" s="639"/>
      <c r="G159" s="707"/>
      <c r="H159" s="196" t="s">
        <v>732</v>
      </c>
      <c r="I159" s="706"/>
      <c r="J159" s="256" t="s">
        <v>733</v>
      </c>
      <c r="K159" s="338" t="s">
        <v>729</v>
      </c>
      <c r="L159" s="308">
        <v>0</v>
      </c>
      <c r="M159" s="263">
        <v>44593</v>
      </c>
      <c r="N159" s="263">
        <v>44925</v>
      </c>
      <c r="O159" s="263">
        <v>44652</v>
      </c>
      <c r="P159" s="264">
        <f t="shared" si="4"/>
        <v>0.17771084337349397</v>
      </c>
      <c r="Q159" s="264">
        <f t="shared" si="3"/>
        <v>0.17771084337349397</v>
      </c>
      <c r="R159" s="265">
        <v>1</v>
      </c>
      <c r="S159" s="266">
        <v>0.25</v>
      </c>
      <c r="T159" s="266">
        <v>0.5</v>
      </c>
      <c r="U159" s="266">
        <v>0.75</v>
      </c>
      <c r="V159" s="266">
        <v>1</v>
      </c>
      <c r="W159" s="266">
        <v>0.25</v>
      </c>
      <c r="X159" s="266" t="s">
        <v>730</v>
      </c>
      <c r="Y159" s="331" t="s">
        <v>725</v>
      </c>
      <c r="Z159" s="306">
        <v>0</v>
      </c>
      <c r="AA159" s="266">
        <v>0.3</v>
      </c>
      <c r="AB159" s="268" t="s">
        <v>731</v>
      </c>
      <c r="AC159" s="268" t="s">
        <v>303</v>
      </c>
      <c r="AD159" s="306">
        <v>0</v>
      </c>
      <c r="AE159" s="522">
        <v>100</v>
      </c>
      <c r="AF159" s="268" t="s">
        <v>2189</v>
      </c>
      <c r="AG159" s="268" t="s">
        <v>2524</v>
      </c>
      <c r="AH159" s="267"/>
      <c r="AI159" s="268"/>
      <c r="AJ159" s="268"/>
      <c r="AK159" s="269"/>
    </row>
    <row r="160" spans="1:37" ht="72" hidden="1" customHeight="1" outlineLevel="1" x14ac:dyDescent="0.2">
      <c r="A160" s="835"/>
      <c r="B160" s="580"/>
      <c r="C160" s="580"/>
      <c r="D160" s="667"/>
      <c r="E160" s="639"/>
      <c r="F160" s="639"/>
      <c r="G160" s="401"/>
      <c r="H160" s="196" t="s">
        <v>734</v>
      </c>
      <c r="I160" s="706"/>
      <c r="J160" s="256" t="s">
        <v>735</v>
      </c>
      <c r="K160" s="308" t="s">
        <v>117</v>
      </c>
      <c r="L160" s="308">
        <v>0</v>
      </c>
      <c r="M160" s="263">
        <v>44593</v>
      </c>
      <c r="N160" s="263">
        <v>44925</v>
      </c>
      <c r="O160" s="263">
        <v>44652</v>
      </c>
      <c r="P160" s="264">
        <f t="shared" si="4"/>
        <v>0.17771084337349397</v>
      </c>
      <c r="Q160" s="264">
        <f t="shared" si="3"/>
        <v>0.17771084337349397</v>
      </c>
      <c r="R160" s="265">
        <v>1</v>
      </c>
      <c r="S160" s="266">
        <v>0.25</v>
      </c>
      <c r="T160" s="266">
        <v>0.5</v>
      </c>
      <c r="U160" s="266">
        <v>0.75</v>
      </c>
      <c r="V160" s="266">
        <v>1</v>
      </c>
      <c r="W160" s="266">
        <v>0</v>
      </c>
      <c r="X160" s="266" t="s">
        <v>736</v>
      </c>
      <c r="Y160" s="331" t="s">
        <v>52</v>
      </c>
      <c r="Z160" s="306">
        <v>0</v>
      </c>
      <c r="AA160" s="266">
        <v>0</v>
      </c>
      <c r="AB160" s="268" t="s">
        <v>737</v>
      </c>
      <c r="AC160" s="331" t="s">
        <v>52</v>
      </c>
      <c r="AD160" s="306">
        <v>0</v>
      </c>
      <c r="AE160" s="522">
        <v>50</v>
      </c>
      <c r="AF160" s="268" t="s">
        <v>2190</v>
      </c>
      <c r="AG160" s="268" t="s">
        <v>2524</v>
      </c>
      <c r="AH160" s="267"/>
      <c r="AI160" s="268"/>
      <c r="AJ160" s="268"/>
      <c r="AK160" s="269"/>
    </row>
    <row r="161" spans="1:37" ht="56.25" hidden="1" customHeight="1" outlineLevel="1" x14ac:dyDescent="0.2">
      <c r="A161" s="835"/>
      <c r="B161" s="580"/>
      <c r="C161" s="580"/>
      <c r="D161" s="667"/>
      <c r="E161" s="639"/>
      <c r="F161" s="639"/>
      <c r="G161" s="401"/>
      <c r="H161" s="196" t="s">
        <v>738</v>
      </c>
      <c r="I161" s="706"/>
      <c r="J161" s="256" t="s">
        <v>739</v>
      </c>
      <c r="K161" s="308">
        <v>25000000</v>
      </c>
      <c r="L161" s="308">
        <v>0</v>
      </c>
      <c r="M161" s="263">
        <v>44593</v>
      </c>
      <c r="N161" s="263">
        <v>44925</v>
      </c>
      <c r="O161" s="263">
        <v>44652</v>
      </c>
      <c r="P161" s="264">
        <f t="shared" si="4"/>
        <v>0.17771084337349397</v>
      </c>
      <c r="Q161" s="264">
        <f t="shared" ref="Q161:Q189" si="5">+IF(P161&gt;=100,100,IF(P161&lt;=0,0,P161))</f>
        <v>0.17771084337349397</v>
      </c>
      <c r="R161" s="265">
        <v>1</v>
      </c>
      <c r="S161" s="266">
        <v>0.25</v>
      </c>
      <c r="T161" s="266">
        <v>0.5</v>
      </c>
      <c r="U161" s="266">
        <v>0.75</v>
      </c>
      <c r="V161" s="266">
        <v>1</v>
      </c>
      <c r="W161" s="266">
        <v>0</v>
      </c>
      <c r="X161" s="266" t="s">
        <v>736</v>
      </c>
      <c r="Y161" s="331" t="s">
        <v>52</v>
      </c>
      <c r="Z161" s="306">
        <v>0</v>
      </c>
      <c r="AA161" s="266">
        <v>0</v>
      </c>
      <c r="AB161" s="268" t="s">
        <v>737</v>
      </c>
      <c r="AC161" s="331" t="s">
        <v>52</v>
      </c>
      <c r="AD161" s="306">
        <v>0</v>
      </c>
      <c r="AE161" s="522">
        <v>100</v>
      </c>
      <c r="AF161" s="268" t="s">
        <v>2191</v>
      </c>
      <c r="AG161" s="268" t="s">
        <v>2524</v>
      </c>
      <c r="AH161" s="267"/>
      <c r="AI161" s="268"/>
      <c r="AJ161" s="268"/>
      <c r="AK161" s="269"/>
    </row>
    <row r="162" spans="1:37" ht="56.25" hidden="1" customHeight="1" outlineLevel="1" x14ac:dyDescent="0.2">
      <c r="A162" s="835"/>
      <c r="B162" s="581"/>
      <c r="C162" s="581"/>
      <c r="D162" s="667"/>
      <c r="E162" s="640"/>
      <c r="F162" s="640"/>
      <c r="G162" s="402"/>
      <c r="H162" s="196" t="s">
        <v>740</v>
      </c>
      <c r="I162" s="707"/>
      <c r="J162" s="256" t="s">
        <v>741</v>
      </c>
      <c r="K162" s="308">
        <v>0</v>
      </c>
      <c r="L162" s="308">
        <v>0</v>
      </c>
      <c r="M162" s="263">
        <v>44593</v>
      </c>
      <c r="N162" s="263">
        <v>44925</v>
      </c>
      <c r="O162" s="263">
        <v>44652</v>
      </c>
      <c r="P162" s="264">
        <f t="shared" si="4"/>
        <v>0.17771084337349397</v>
      </c>
      <c r="Q162" s="264">
        <f t="shared" si="5"/>
        <v>0.17771084337349397</v>
      </c>
      <c r="R162" s="265">
        <v>1</v>
      </c>
      <c r="S162" s="266">
        <v>0.25</v>
      </c>
      <c r="T162" s="266">
        <v>0.5</v>
      </c>
      <c r="U162" s="266">
        <v>0.75</v>
      </c>
      <c r="V162" s="266">
        <v>1</v>
      </c>
      <c r="W162" s="266">
        <v>0</v>
      </c>
      <c r="X162" s="266" t="s">
        <v>736</v>
      </c>
      <c r="Y162" s="331" t="s">
        <v>52</v>
      </c>
      <c r="Z162" s="306">
        <v>0</v>
      </c>
      <c r="AA162" s="266">
        <v>0</v>
      </c>
      <c r="AB162" s="268" t="s">
        <v>742</v>
      </c>
      <c r="AC162" s="331" t="s">
        <v>52</v>
      </c>
      <c r="AD162" s="306">
        <v>0</v>
      </c>
      <c r="AE162" s="522">
        <v>100</v>
      </c>
      <c r="AF162" s="268" t="s">
        <v>2192</v>
      </c>
      <c r="AG162" s="268" t="s">
        <v>2524</v>
      </c>
      <c r="AH162" s="267"/>
      <c r="AI162" s="268"/>
      <c r="AJ162" s="268"/>
      <c r="AK162" s="269"/>
    </row>
    <row r="163" spans="1:37" ht="63" hidden="1" customHeight="1" outlineLevel="1" x14ac:dyDescent="0.2">
      <c r="A163" s="835"/>
      <c r="B163" s="579" t="s">
        <v>743</v>
      </c>
      <c r="C163" s="579" t="s">
        <v>744</v>
      </c>
      <c r="D163" s="667"/>
      <c r="E163" s="638" t="s">
        <v>745</v>
      </c>
      <c r="F163" s="638" t="s">
        <v>746</v>
      </c>
      <c r="G163" s="705" t="s">
        <v>747</v>
      </c>
      <c r="H163" s="196" t="s">
        <v>748</v>
      </c>
      <c r="I163" s="705" t="s">
        <v>749</v>
      </c>
      <c r="J163" s="256" t="s">
        <v>750</v>
      </c>
      <c r="K163" s="308">
        <v>7500000</v>
      </c>
      <c r="L163" s="308">
        <v>0</v>
      </c>
      <c r="M163" s="263">
        <v>44593</v>
      </c>
      <c r="N163" s="263">
        <v>44925</v>
      </c>
      <c r="O163" s="263">
        <v>44652</v>
      </c>
      <c r="P163" s="264">
        <f t="shared" si="4"/>
        <v>0.17771084337349397</v>
      </c>
      <c r="Q163" s="264">
        <f t="shared" si="5"/>
        <v>0.17771084337349397</v>
      </c>
      <c r="R163" s="265">
        <v>1</v>
      </c>
      <c r="S163" s="266">
        <v>0.25</v>
      </c>
      <c r="T163" s="266">
        <v>0.5</v>
      </c>
      <c r="U163" s="266">
        <v>0.75</v>
      </c>
      <c r="V163" s="266">
        <v>1</v>
      </c>
      <c r="W163" s="266">
        <v>0</v>
      </c>
      <c r="X163" s="266" t="s">
        <v>736</v>
      </c>
      <c r="Y163" s="331" t="s">
        <v>52</v>
      </c>
      <c r="Z163" s="306">
        <v>0</v>
      </c>
      <c r="AA163" s="266">
        <v>0</v>
      </c>
      <c r="AB163" s="268" t="s">
        <v>737</v>
      </c>
      <c r="AC163" s="331" t="s">
        <v>52</v>
      </c>
      <c r="AD163" s="306">
        <v>0</v>
      </c>
      <c r="AE163" s="266">
        <v>0</v>
      </c>
      <c r="AF163" s="268" t="s">
        <v>2193</v>
      </c>
      <c r="AG163" s="331" t="s">
        <v>52</v>
      </c>
      <c r="AH163" s="267"/>
      <c r="AI163" s="268"/>
      <c r="AJ163" s="268"/>
      <c r="AK163" s="269"/>
    </row>
    <row r="164" spans="1:37" ht="46.5" hidden="1" customHeight="1" outlineLevel="1" x14ac:dyDescent="0.2">
      <c r="A164" s="835"/>
      <c r="B164" s="580"/>
      <c r="C164" s="580"/>
      <c r="D164" s="667"/>
      <c r="E164" s="639"/>
      <c r="F164" s="639"/>
      <c r="G164" s="706"/>
      <c r="H164" s="196" t="s">
        <v>751</v>
      </c>
      <c r="I164" s="706"/>
      <c r="J164" s="256" t="s">
        <v>752</v>
      </c>
      <c r="K164" s="308">
        <v>10256910</v>
      </c>
      <c r="L164" s="308">
        <v>0</v>
      </c>
      <c r="M164" s="263">
        <v>44593</v>
      </c>
      <c r="N164" s="263">
        <v>44925</v>
      </c>
      <c r="O164" s="263">
        <v>44652</v>
      </c>
      <c r="P164" s="264">
        <f t="shared" si="4"/>
        <v>0.17771084337349397</v>
      </c>
      <c r="Q164" s="264">
        <f t="shared" si="5"/>
        <v>0.17771084337349397</v>
      </c>
      <c r="R164" s="265">
        <v>1</v>
      </c>
      <c r="S164" s="266">
        <v>0.25</v>
      </c>
      <c r="T164" s="266">
        <v>0.5</v>
      </c>
      <c r="U164" s="266">
        <v>0.75</v>
      </c>
      <c r="V164" s="266">
        <v>1</v>
      </c>
      <c r="W164" s="266">
        <v>0</v>
      </c>
      <c r="X164" s="266" t="s">
        <v>736</v>
      </c>
      <c r="Y164" s="331" t="s">
        <v>52</v>
      </c>
      <c r="Z164" s="306">
        <v>0</v>
      </c>
      <c r="AA164" s="266">
        <v>0</v>
      </c>
      <c r="AB164" s="268" t="s">
        <v>737</v>
      </c>
      <c r="AC164" s="331" t="s">
        <v>52</v>
      </c>
      <c r="AD164" s="306">
        <v>0</v>
      </c>
      <c r="AE164" s="266">
        <v>0</v>
      </c>
      <c r="AF164" s="268" t="s">
        <v>2193</v>
      </c>
      <c r="AG164" s="331" t="s">
        <v>52</v>
      </c>
      <c r="AH164" s="267"/>
      <c r="AI164" s="268"/>
      <c r="AJ164" s="268"/>
      <c r="AK164" s="269"/>
    </row>
    <row r="165" spans="1:37" ht="56.25" hidden="1" customHeight="1" outlineLevel="1" x14ac:dyDescent="0.2">
      <c r="A165" s="835"/>
      <c r="B165" s="580"/>
      <c r="C165" s="580"/>
      <c r="D165" s="667"/>
      <c r="E165" s="639"/>
      <c r="F165" s="639"/>
      <c r="G165" s="706"/>
      <c r="H165" s="196" t="s">
        <v>753</v>
      </c>
      <c r="I165" s="706"/>
      <c r="J165" s="256" t="s">
        <v>754</v>
      </c>
      <c r="K165" s="308">
        <v>1188000</v>
      </c>
      <c r="L165" s="308">
        <v>0</v>
      </c>
      <c r="M165" s="263">
        <v>44593</v>
      </c>
      <c r="N165" s="263">
        <v>44925</v>
      </c>
      <c r="O165" s="263">
        <v>44652</v>
      </c>
      <c r="P165" s="264">
        <f t="shared" si="4"/>
        <v>0.17771084337349397</v>
      </c>
      <c r="Q165" s="264">
        <f t="shared" si="5"/>
        <v>0.17771084337349397</v>
      </c>
      <c r="R165" s="265">
        <v>1</v>
      </c>
      <c r="S165" s="266">
        <v>0.25</v>
      </c>
      <c r="T165" s="266">
        <v>0.5</v>
      </c>
      <c r="U165" s="266">
        <v>0.75</v>
      </c>
      <c r="V165" s="266">
        <v>1</v>
      </c>
      <c r="W165" s="266">
        <v>0</v>
      </c>
      <c r="X165" s="266" t="s">
        <v>736</v>
      </c>
      <c r="Y165" s="331" t="s">
        <v>52</v>
      </c>
      <c r="Z165" s="306">
        <v>0</v>
      </c>
      <c r="AA165" s="266">
        <v>0</v>
      </c>
      <c r="AB165" s="268" t="s">
        <v>737</v>
      </c>
      <c r="AC165" s="331" t="s">
        <v>52</v>
      </c>
      <c r="AD165" s="306">
        <v>0</v>
      </c>
      <c r="AE165" s="522">
        <v>0</v>
      </c>
      <c r="AF165" s="268" t="s">
        <v>2193</v>
      </c>
      <c r="AG165" s="268" t="s">
        <v>2524</v>
      </c>
      <c r="AH165" s="267"/>
      <c r="AI165" s="268"/>
      <c r="AJ165" s="268"/>
      <c r="AK165" s="269"/>
    </row>
    <row r="166" spans="1:37" ht="111.75" hidden="1" customHeight="1" outlineLevel="1" x14ac:dyDescent="0.2">
      <c r="A166" s="835"/>
      <c r="B166" s="580"/>
      <c r="C166" s="580"/>
      <c r="D166" s="667"/>
      <c r="E166" s="639"/>
      <c r="F166" s="639"/>
      <c r="G166" s="706"/>
      <c r="H166" s="196" t="s">
        <v>756</v>
      </c>
      <c r="I166" s="706"/>
      <c r="J166" s="256" t="s">
        <v>757</v>
      </c>
      <c r="K166" s="308">
        <v>14896000</v>
      </c>
      <c r="L166" s="308">
        <v>0</v>
      </c>
      <c r="M166" s="263">
        <v>44593</v>
      </c>
      <c r="N166" s="263">
        <v>44925</v>
      </c>
      <c r="O166" s="263">
        <v>44652</v>
      </c>
      <c r="P166" s="264">
        <f t="shared" si="4"/>
        <v>0.17771084337349397</v>
      </c>
      <c r="Q166" s="264">
        <f t="shared" si="5"/>
        <v>0.17771084337349397</v>
      </c>
      <c r="R166" s="265">
        <v>1</v>
      </c>
      <c r="S166" s="266">
        <v>0.25</v>
      </c>
      <c r="T166" s="266">
        <v>0.5</v>
      </c>
      <c r="U166" s="266">
        <v>0.75</v>
      </c>
      <c r="V166" s="266">
        <v>1</v>
      </c>
      <c r="W166" s="266">
        <v>0.25</v>
      </c>
      <c r="X166" s="266" t="s">
        <v>755</v>
      </c>
      <c r="Y166" s="331" t="s">
        <v>352</v>
      </c>
      <c r="Z166" s="306">
        <v>0</v>
      </c>
      <c r="AA166" s="266">
        <v>0.25</v>
      </c>
      <c r="AB166" s="268" t="s">
        <v>737</v>
      </c>
      <c r="AC166" s="331" t="s">
        <v>52</v>
      </c>
      <c r="AD166" s="306">
        <v>0</v>
      </c>
      <c r="AE166" s="522">
        <v>50</v>
      </c>
      <c r="AF166" s="268" t="s">
        <v>2194</v>
      </c>
      <c r="AG166" s="268" t="s">
        <v>2524</v>
      </c>
      <c r="AH166" s="267"/>
      <c r="AI166" s="268"/>
      <c r="AJ166" s="268"/>
      <c r="AK166" s="269"/>
    </row>
    <row r="167" spans="1:37" ht="59.25" hidden="1" customHeight="1" outlineLevel="1" x14ac:dyDescent="0.2">
      <c r="A167" s="835"/>
      <c r="B167" s="632" t="s">
        <v>39</v>
      </c>
      <c r="C167" s="632" t="s">
        <v>758</v>
      </c>
      <c r="D167" s="843" t="s">
        <v>759</v>
      </c>
      <c r="E167" s="716" t="s">
        <v>760</v>
      </c>
      <c r="F167" s="714" t="s">
        <v>761</v>
      </c>
      <c r="G167" s="287" t="s">
        <v>472</v>
      </c>
      <c r="H167" s="196" t="s">
        <v>762</v>
      </c>
      <c r="I167" s="518" t="s">
        <v>763</v>
      </c>
      <c r="J167" s="257" t="s">
        <v>189</v>
      </c>
      <c r="K167" s="302">
        <v>244313413</v>
      </c>
      <c r="L167" s="308">
        <v>72500000</v>
      </c>
      <c r="M167" s="263">
        <v>44593</v>
      </c>
      <c r="N167" s="263">
        <v>44925</v>
      </c>
      <c r="O167" s="263">
        <v>44652</v>
      </c>
      <c r="P167" s="264">
        <f t="shared" si="4"/>
        <v>0.17771084337349397</v>
      </c>
      <c r="Q167" s="264">
        <f t="shared" si="5"/>
        <v>0.17771084337349397</v>
      </c>
      <c r="R167" s="265">
        <v>1</v>
      </c>
      <c r="S167" s="266">
        <v>0.25</v>
      </c>
      <c r="T167" s="266">
        <v>0.5</v>
      </c>
      <c r="U167" s="266">
        <v>0.75</v>
      </c>
      <c r="V167" s="266">
        <v>1</v>
      </c>
      <c r="W167" s="266">
        <v>0.25</v>
      </c>
      <c r="X167" s="266" t="s">
        <v>764</v>
      </c>
      <c r="Y167" s="331" t="s">
        <v>765</v>
      </c>
      <c r="Z167" s="308">
        <v>125000000</v>
      </c>
      <c r="AA167" s="266">
        <v>0.5</v>
      </c>
      <c r="AB167" s="268" t="s">
        <v>766</v>
      </c>
      <c r="AC167" s="268" t="s">
        <v>767</v>
      </c>
      <c r="AD167" s="306">
        <v>0</v>
      </c>
      <c r="AE167" s="522">
        <v>89</v>
      </c>
      <c r="AF167" s="268" t="s">
        <v>2434</v>
      </c>
      <c r="AG167" s="268" t="s">
        <v>2524</v>
      </c>
      <c r="AH167" s="267"/>
      <c r="AI167" s="268"/>
      <c r="AJ167" s="268"/>
      <c r="AK167" s="269"/>
    </row>
    <row r="168" spans="1:37" ht="72" hidden="1" customHeight="1" outlineLevel="1" x14ac:dyDescent="0.2">
      <c r="A168" s="835"/>
      <c r="B168" s="632"/>
      <c r="C168" s="632"/>
      <c r="D168" s="843"/>
      <c r="E168" s="717"/>
      <c r="F168" s="715"/>
      <c r="G168" s="287" t="s">
        <v>472</v>
      </c>
      <c r="H168" s="196" t="s">
        <v>768</v>
      </c>
      <c r="I168" s="519"/>
      <c r="J168" s="256" t="s">
        <v>769</v>
      </c>
      <c r="K168" s="302">
        <v>16000000</v>
      </c>
      <c r="L168" s="306">
        <v>0</v>
      </c>
      <c r="M168" s="263">
        <v>44593</v>
      </c>
      <c r="N168" s="263">
        <v>44925</v>
      </c>
      <c r="O168" s="263">
        <v>44652</v>
      </c>
      <c r="P168" s="264">
        <f t="shared" si="4"/>
        <v>0.17771084337349397</v>
      </c>
      <c r="Q168" s="264">
        <f t="shared" si="5"/>
        <v>0.17771084337349397</v>
      </c>
      <c r="R168" s="265">
        <v>1</v>
      </c>
      <c r="S168" s="266">
        <v>0.25</v>
      </c>
      <c r="T168" s="266">
        <v>0.5</v>
      </c>
      <c r="U168" s="266">
        <v>0.75</v>
      </c>
      <c r="V168" s="266">
        <v>1</v>
      </c>
      <c r="W168" s="266">
        <v>0</v>
      </c>
      <c r="X168" s="266" t="s">
        <v>770</v>
      </c>
      <c r="Y168" s="331" t="s">
        <v>52</v>
      </c>
      <c r="Z168" s="306">
        <v>0</v>
      </c>
      <c r="AA168" s="266">
        <v>0</v>
      </c>
      <c r="AB168" s="266" t="s">
        <v>770</v>
      </c>
      <c r="AC168" s="268" t="s">
        <v>52</v>
      </c>
      <c r="AD168" s="268">
        <v>12089448</v>
      </c>
      <c r="AE168" s="522">
        <v>50</v>
      </c>
      <c r="AF168" s="268" t="s">
        <v>2305</v>
      </c>
      <c r="AG168" s="268" t="s">
        <v>2524</v>
      </c>
      <c r="AH168" s="267"/>
      <c r="AI168" s="268"/>
      <c r="AJ168" s="268"/>
      <c r="AK168" s="269"/>
    </row>
    <row r="169" spans="1:37" ht="99.75" hidden="1" customHeight="1" outlineLevel="1" x14ac:dyDescent="0.2">
      <c r="A169" s="835"/>
      <c r="B169" s="632"/>
      <c r="C169" s="632"/>
      <c r="D169" s="843"/>
      <c r="E169" s="717"/>
      <c r="F169" s="715"/>
      <c r="G169" s="287" t="s">
        <v>472</v>
      </c>
      <c r="H169" s="196" t="s">
        <v>771</v>
      </c>
      <c r="I169" s="519"/>
      <c r="J169" s="256" t="s">
        <v>769</v>
      </c>
      <c r="K169" s="302">
        <v>19000000</v>
      </c>
      <c r="L169" s="306">
        <v>0</v>
      </c>
      <c r="M169" s="263">
        <v>44593</v>
      </c>
      <c r="N169" s="263">
        <v>44925</v>
      </c>
      <c r="O169" s="263">
        <v>44652</v>
      </c>
      <c r="P169" s="264">
        <f t="shared" si="4"/>
        <v>0.17771084337349397</v>
      </c>
      <c r="Q169" s="264">
        <f t="shared" si="5"/>
        <v>0.17771084337349397</v>
      </c>
      <c r="R169" s="265">
        <v>1</v>
      </c>
      <c r="S169" s="266">
        <v>0.25</v>
      </c>
      <c r="T169" s="266">
        <v>0.5</v>
      </c>
      <c r="U169" s="266">
        <v>0.75</v>
      </c>
      <c r="V169" s="266">
        <v>1</v>
      </c>
      <c r="W169" s="266">
        <v>0</v>
      </c>
      <c r="X169" s="335" t="s">
        <v>772</v>
      </c>
      <c r="Y169" s="331" t="s">
        <v>52</v>
      </c>
      <c r="Z169" s="306">
        <v>0</v>
      </c>
      <c r="AA169" s="266">
        <v>0.3</v>
      </c>
      <c r="AB169" s="268" t="s">
        <v>773</v>
      </c>
      <c r="AC169" s="268" t="s">
        <v>352</v>
      </c>
      <c r="AD169" s="268">
        <v>23000000</v>
      </c>
      <c r="AE169" s="522">
        <v>100</v>
      </c>
      <c r="AF169" s="268" t="s">
        <v>2308</v>
      </c>
      <c r="AG169" s="268" t="s">
        <v>2524</v>
      </c>
      <c r="AH169" s="267"/>
      <c r="AI169" s="268"/>
      <c r="AJ169" s="268"/>
      <c r="AK169" s="269"/>
    </row>
    <row r="170" spans="1:37" ht="56.25" hidden="1" customHeight="1" outlineLevel="1" x14ac:dyDescent="0.2">
      <c r="A170" s="835"/>
      <c r="B170" s="632"/>
      <c r="C170" s="632"/>
      <c r="D170" s="843"/>
      <c r="E170" s="717"/>
      <c r="F170" s="715"/>
      <c r="G170" s="287" t="s">
        <v>472</v>
      </c>
      <c r="H170" s="196" t="s">
        <v>774</v>
      </c>
      <c r="I170" s="519"/>
      <c r="J170" s="256" t="s">
        <v>769</v>
      </c>
      <c r="K170" s="302">
        <v>19000000</v>
      </c>
      <c r="L170" s="306">
        <v>0</v>
      </c>
      <c r="M170" s="263">
        <v>44593</v>
      </c>
      <c r="N170" s="263">
        <v>44925</v>
      </c>
      <c r="O170" s="263">
        <v>44652</v>
      </c>
      <c r="P170" s="264">
        <f t="shared" si="4"/>
        <v>0.17771084337349397</v>
      </c>
      <c r="Q170" s="264">
        <f t="shared" si="5"/>
        <v>0.17771084337349397</v>
      </c>
      <c r="R170" s="265">
        <v>1</v>
      </c>
      <c r="S170" s="266">
        <v>0.25</v>
      </c>
      <c r="T170" s="266">
        <v>0.5</v>
      </c>
      <c r="U170" s="266">
        <v>0.75</v>
      </c>
      <c r="V170" s="266">
        <v>1</v>
      </c>
      <c r="W170" s="266">
        <v>0.25</v>
      </c>
      <c r="X170" s="266" t="s">
        <v>775</v>
      </c>
      <c r="Y170" s="331" t="s">
        <v>352</v>
      </c>
      <c r="Z170" s="306">
        <v>13939669</v>
      </c>
      <c r="AA170" s="266">
        <v>1</v>
      </c>
      <c r="AB170" s="268" t="s">
        <v>2559</v>
      </c>
      <c r="AC170" s="268" t="s">
        <v>189</v>
      </c>
      <c r="AD170" s="306">
        <v>0</v>
      </c>
      <c r="AE170" s="522">
        <v>100</v>
      </c>
      <c r="AF170" s="268" t="s">
        <v>2306</v>
      </c>
      <c r="AG170" s="268" t="s">
        <v>2524</v>
      </c>
      <c r="AH170" s="267"/>
      <c r="AI170" s="268"/>
      <c r="AJ170" s="268"/>
      <c r="AK170" s="269"/>
    </row>
    <row r="171" spans="1:37" ht="84" hidden="1" customHeight="1" outlineLevel="1" x14ac:dyDescent="0.2">
      <c r="A171" s="835"/>
      <c r="B171" s="632"/>
      <c r="C171" s="632"/>
      <c r="D171" s="843"/>
      <c r="E171" s="717"/>
      <c r="F171" s="715"/>
      <c r="G171" s="287" t="s">
        <v>472</v>
      </c>
      <c r="H171" s="196" t="s">
        <v>776</v>
      </c>
      <c r="I171" s="519"/>
      <c r="J171" s="256" t="s">
        <v>769</v>
      </c>
      <c r="K171" s="302">
        <v>21000000</v>
      </c>
      <c r="L171" s="306">
        <v>0</v>
      </c>
      <c r="M171" s="263">
        <v>44593</v>
      </c>
      <c r="N171" s="263">
        <v>44925</v>
      </c>
      <c r="O171" s="263">
        <v>44652</v>
      </c>
      <c r="P171" s="264">
        <f t="shared" si="4"/>
        <v>0.17771084337349397</v>
      </c>
      <c r="Q171" s="264">
        <f t="shared" si="5"/>
        <v>0.17771084337349397</v>
      </c>
      <c r="R171" s="265">
        <v>1</v>
      </c>
      <c r="S171" s="266">
        <v>0.25</v>
      </c>
      <c r="T171" s="266">
        <v>0.5</v>
      </c>
      <c r="U171" s="266">
        <v>0.75</v>
      </c>
      <c r="V171" s="266">
        <v>1</v>
      </c>
      <c r="W171" s="266">
        <v>0</v>
      </c>
      <c r="X171" s="335" t="s">
        <v>772</v>
      </c>
      <c r="Y171" s="331" t="s">
        <v>52</v>
      </c>
      <c r="Z171" s="306">
        <v>0</v>
      </c>
      <c r="AA171" s="266">
        <v>0</v>
      </c>
      <c r="AB171" s="268" t="s">
        <v>773</v>
      </c>
      <c r="AC171" s="268" t="s">
        <v>352</v>
      </c>
      <c r="AD171" s="268">
        <v>25343422</v>
      </c>
      <c r="AE171" s="522">
        <v>100</v>
      </c>
      <c r="AF171" s="268" t="s">
        <v>2307</v>
      </c>
      <c r="AG171" s="268" t="s">
        <v>2524</v>
      </c>
      <c r="AH171" s="267"/>
      <c r="AI171" s="268"/>
      <c r="AJ171" s="268"/>
      <c r="AK171" s="269"/>
    </row>
    <row r="172" spans="1:37" ht="75.75" hidden="1" customHeight="1" outlineLevel="1" x14ac:dyDescent="0.2">
      <c r="A172" s="835"/>
      <c r="B172" s="632"/>
      <c r="C172" s="632"/>
      <c r="D172" s="843"/>
      <c r="E172" s="717"/>
      <c r="F172" s="715"/>
      <c r="G172" s="287" t="s">
        <v>472</v>
      </c>
      <c r="H172" s="196" t="s">
        <v>777</v>
      </c>
      <c r="I172" s="519"/>
      <c r="J172" s="256" t="s">
        <v>769</v>
      </c>
      <c r="K172" s="302">
        <v>53000000</v>
      </c>
      <c r="L172" s="306">
        <v>0</v>
      </c>
      <c r="M172" s="263">
        <v>44593</v>
      </c>
      <c r="N172" s="263">
        <v>44925</v>
      </c>
      <c r="O172" s="263">
        <v>44652</v>
      </c>
      <c r="P172" s="264">
        <f t="shared" si="4"/>
        <v>0.17771084337349397</v>
      </c>
      <c r="Q172" s="264">
        <f t="shared" si="5"/>
        <v>0.17771084337349397</v>
      </c>
      <c r="R172" s="265">
        <v>1</v>
      </c>
      <c r="S172" s="266">
        <v>0.25</v>
      </c>
      <c r="T172" s="266">
        <v>0.5</v>
      </c>
      <c r="U172" s="266">
        <v>0.75</v>
      </c>
      <c r="V172" s="266">
        <v>1</v>
      </c>
      <c r="W172" s="266">
        <v>0</v>
      </c>
      <c r="X172" s="266" t="s">
        <v>770</v>
      </c>
      <c r="Y172" s="331" t="s">
        <v>52</v>
      </c>
      <c r="Z172" s="306">
        <v>0</v>
      </c>
      <c r="AA172" s="266">
        <v>0</v>
      </c>
      <c r="AB172" s="268" t="s">
        <v>778</v>
      </c>
      <c r="AC172" s="268" t="s">
        <v>52</v>
      </c>
      <c r="AD172" s="306">
        <v>0</v>
      </c>
      <c r="AE172" s="522">
        <v>100</v>
      </c>
      <c r="AF172" s="268" t="s">
        <v>2310</v>
      </c>
      <c r="AG172" s="268" t="s">
        <v>2524</v>
      </c>
      <c r="AH172" s="267"/>
      <c r="AI172" s="268"/>
      <c r="AJ172" s="268"/>
      <c r="AK172" s="269"/>
    </row>
    <row r="173" spans="1:37" ht="67.5" hidden="1" customHeight="1" outlineLevel="1" x14ac:dyDescent="0.2">
      <c r="A173" s="835"/>
      <c r="B173" s="632"/>
      <c r="C173" s="632"/>
      <c r="D173" s="843"/>
      <c r="E173" s="717"/>
      <c r="F173" s="715"/>
      <c r="G173" s="287" t="s">
        <v>472</v>
      </c>
      <c r="H173" s="196" t="s">
        <v>779</v>
      </c>
      <c r="I173" s="519"/>
      <c r="J173" s="256" t="s">
        <v>769</v>
      </c>
      <c r="K173" s="302">
        <v>35000000</v>
      </c>
      <c r="L173" s="306">
        <v>0</v>
      </c>
      <c r="M173" s="263">
        <v>44593</v>
      </c>
      <c r="N173" s="263">
        <v>44925</v>
      </c>
      <c r="O173" s="263">
        <v>44652</v>
      </c>
      <c r="P173" s="264">
        <f t="shared" si="4"/>
        <v>0.17771084337349397</v>
      </c>
      <c r="Q173" s="264">
        <f t="shared" si="5"/>
        <v>0.17771084337349397</v>
      </c>
      <c r="R173" s="265">
        <v>1</v>
      </c>
      <c r="S173" s="266">
        <v>0.25</v>
      </c>
      <c r="T173" s="266">
        <v>0.5</v>
      </c>
      <c r="U173" s="266">
        <v>0.75</v>
      </c>
      <c r="V173" s="266">
        <v>1</v>
      </c>
      <c r="W173" s="266">
        <v>0</v>
      </c>
      <c r="X173" s="266" t="s">
        <v>770</v>
      </c>
      <c r="Y173" s="331" t="s">
        <v>52</v>
      </c>
      <c r="Z173" s="306">
        <v>0</v>
      </c>
      <c r="AA173" s="266">
        <v>0</v>
      </c>
      <c r="AB173" s="268" t="s">
        <v>778</v>
      </c>
      <c r="AC173" s="268" t="s">
        <v>52</v>
      </c>
      <c r="AD173" s="268">
        <v>43911000</v>
      </c>
      <c r="AE173" s="522">
        <v>100</v>
      </c>
      <c r="AF173" s="268" t="s">
        <v>2309</v>
      </c>
      <c r="AG173" s="268" t="s">
        <v>2524</v>
      </c>
      <c r="AH173" s="267"/>
      <c r="AI173" s="268"/>
      <c r="AJ173" s="268"/>
      <c r="AK173" s="269"/>
    </row>
    <row r="174" spans="1:37" ht="129" hidden="1" customHeight="1" outlineLevel="1" x14ac:dyDescent="0.2">
      <c r="A174" s="835"/>
      <c r="B174" s="632"/>
      <c r="C174" s="632"/>
      <c r="D174" s="843"/>
      <c r="E174" s="717"/>
      <c r="F174" s="715"/>
      <c r="G174" s="287" t="s">
        <v>472</v>
      </c>
      <c r="H174" s="196" t="s">
        <v>2312</v>
      </c>
      <c r="I174" s="519"/>
      <c r="J174" s="256" t="s">
        <v>769</v>
      </c>
      <c r="K174" s="302">
        <v>58000000</v>
      </c>
      <c r="L174" s="306">
        <v>0</v>
      </c>
      <c r="M174" s="263">
        <v>44593</v>
      </c>
      <c r="N174" s="263">
        <v>44925</v>
      </c>
      <c r="O174" s="263">
        <v>44652</v>
      </c>
      <c r="P174" s="264">
        <f t="shared" si="4"/>
        <v>0.17771084337349397</v>
      </c>
      <c r="Q174" s="264">
        <f t="shared" si="5"/>
        <v>0.17771084337349397</v>
      </c>
      <c r="R174" s="265">
        <v>1</v>
      </c>
      <c r="S174" s="266">
        <v>0.25</v>
      </c>
      <c r="T174" s="266">
        <v>0.5</v>
      </c>
      <c r="U174" s="266">
        <v>0.75</v>
      </c>
      <c r="V174" s="266">
        <v>1</v>
      </c>
      <c r="W174" s="266">
        <v>0</v>
      </c>
      <c r="X174" s="266" t="s">
        <v>770</v>
      </c>
      <c r="Y174" s="331" t="s">
        <v>52</v>
      </c>
      <c r="Z174" s="306">
        <v>0</v>
      </c>
      <c r="AA174" s="266">
        <v>0</v>
      </c>
      <c r="AB174" s="268" t="s">
        <v>781</v>
      </c>
      <c r="AC174" s="268" t="s">
        <v>52</v>
      </c>
      <c r="AD174" s="306">
        <v>0</v>
      </c>
      <c r="AE174" s="522">
        <v>40</v>
      </c>
      <c r="AF174" s="268" t="s">
        <v>2311</v>
      </c>
      <c r="AG174" s="268" t="s">
        <v>2524</v>
      </c>
      <c r="AH174" s="267"/>
      <c r="AI174" s="268"/>
      <c r="AJ174" s="268"/>
      <c r="AK174" s="269"/>
    </row>
    <row r="175" spans="1:37" ht="72.75" hidden="1" customHeight="1" outlineLevel="1" x14ac:dyDescent="0.2">
      <c r="A175" s="835"/>
      <c r="B175" s="632"/>
      <c r="C175" s="632"/>
      <c r="D175" s="843"/>
      <c r="E175" s="717"/>
      <c r="F175" s="715"/>
      <c r="G175" s="287" t="s">
        <v>472</v>
      </c>
      <c r="H175" s="196" t="s">
        <v>782</v>
      </c>
      <c r="I175" s="519"/>
      <c r="J175" s="256" t="s">
        <v>769</v>
      </c>
      <c r="K175" s="302">
        <v>17000000</v>
      </c>
      <c r="L175" s="306">
        <v>0</v>
      </c>
      <c r="M175" s="263">
        <v>44593</v>
      </c>
      <c r="N175" s="263">
        <v>44925</v>
      </c>
      <c r="O175" s="263">
        <v>44652</v>
      </c>
      <c r="P175" s="264">
        <f t="shared" si="4"/>
        <v>0.17771084337349397</v>
      </c>
      <c r="Q175" s="264">
        <f t="shared" si="5"/>
        <v>0.17771084337349397</v>
      </c>
      <c r="R175" s="265">
        <v>1</v>
      </c>
      <c r="S175" s="266">
        <v>0.25</v>
      </c>
      <c r="T175" s="266">
        <v>0.5</v>
      </c>
      <c r="U175" s="266">
        <v>0.75</v>
      </c>
      <c r="V175" s="266">
        <v>1</v>
      </c>
      <c r="W175" s="266">
        <v>0</v>
      </c>
      <c r="X175" s="266" t="s">
        <v>770</v>
      </c>
      <c r="Y175" s="331" t="s">
        <v>52</v>
      </c>
      <c r="Z175" s="306">
        <v>0</v>
      </c>
      <c r="AA175" s="266">
        <v>0.4</v>
      </c>
      <c r="AB175" s="268" t="s">
        <v>783</v>
      </c>
      <c r="AC175" s="268" t="s">
        <v>784</v>
      </c>
      <c r="AD175" s="268">
        <v>26720260</v>
      </c>
      <c r="AE175" s="522">
        <v>100</v>
      </c>
      <c r="AF175" s="268" t="s">
        <v>2313</v>
      </c>
      <c r="AG175" s="268" t="s">
        <v>2524</v>
      </c>
      <c r="AH175" s="267"/>
      <c r="AI175" s="268"/>
      <c r="AJ175" s="268"/>
      <c r="AK175" s="269"/>
    </row>
    <row r="176" spans="1:37" ht="56.25" hidden="1" customHeight="1" outlineLevel="1" x14ac:dyDescent="0.2">
      <c r="A176" s="835"/>
      <c r="B176" s="632"/>
      <c r="C176" s="632"/>
      <c r="D176" s="843"/>
      <c r="E176" s="717"/>
      <c r="F176" s="715"/>
      <c r="G176" s="287" t="s">
        <v>472</v>
      </c>
      <c r="H176" s="196" t="s">
        <v>785</v>
      </c>
      <c r="I176" s="519"/>
      <c r="J176" s="256" t="s">
        <v>769</v>
      </c>
      <c r="K176" s="302">
        <v>29000000</v>
      </c>
      <c r="L176" s="306">
        <v>0</v>
      </c>
      <c r="M176" s="263">
        <v>44593</v>
      </c>
      <c r="N176" s="263">
        <v>44925</v>
      </c>
      <c r="O176" s="263">
        <v>44652</v>
      </c>
      <c r="P176" s="264">
        <f t="shared" si="4"/>
        <v>0.17771084337349397</v>
      </c>
      <c r="Q176" s="264">
        <f t="shared" si="5"/>
        <v>0.17771084337349397</v>
      </c>
      <c r="R176" s="265">
        <v>1</v>
      </c>
      <c r="S176" s="266">
        <v>0.25</v>
      </c>
      <c r="T176" s="266">
        <v>0.5</v>
      </c>
      <c r="U176" s="266">
        <v>0.75</v>
      </c>
      <c r="V176" s="266">
        <v>1</v>
      </c>
      <c r="W176" s="266">
        <v>0</v>
      </c>
      <c r="X176" s="266" t="s">
        <v>770</v>
      </c>
      <c r="Y176" s="331" t="s">
        <v>52</v>
      </c>
      <c r="Z176" s="306">
        <v>0</v>
      </c>
      <c r="AA176" s="266">
        <v>0</v>
      </c>
      <c r="AB176" s="268" t="s">
        <v>781</v>
      </c>
      <c r="AC176" s="268" t="s">
        <v>52</v>
      </c>
      <c r="AD176" s="268">
        <v>15000000</v>
      </c>
      <c r="AE176" s="522">
        <v>100</v>
      </c>
      <c r="AF176" s="268" t="s">
        <v>2314</v>
      </c>
      <c r="AG176" s="268" t="s">
        <v>2524</v>
      </c>
      <c r="AH176" s="267"/>
      <c r="AI176" s="268"/>
      <c r="AJ176" s="268"/>
      <c r="AK176" s="269"/>
    </row>
    <row r="177" spans="1:37" ht="56.25" hidden="1" customHeight="1" outlineLevel="1" x14ac:dyDescent="0.2">
      <c r="A177" s="835"/>
      <c r="B177" s="632"/>
      <c r="C177" s="632"/>
      <c r="D177" s="843"/>
      <c r="E177" s="717"/>
      <c r="F177" s="715"/>
      <c r="G177" s="287" t="s">
        <v>472</v>
      </c>
      <c r="H177" s="196" t="s">
        <v>786</v>
      </c>
      <c r="I177" s="519"/>
      <c r="J177" s="256" t="s">
        <v>769</v>
      </c>
      <c r="K177" s="302">
        <v>39998000</v>
      </c>
      <c r="L177" s="306">
        <v>0</v>
      </c>
      <c r="M177" s="263">
        <v>44593</v>
      </c>
      <c r="N177" s="263">
        <v>44925</v>
      </c>
      <c r="O177" s="263">
        <v>44652</v>
      </c>
      <c r="P177" s="264">
        <f t="shared" ref="P177:P245" si="6">+(+_xlfn.DAYS(M177,O177))/(+_xlfn.DAYS(M177,N177))</f>
        <v>0.17771084337349397</v>
      </c>
      <c r="Q177" s="264">
        <f t="shared" si="5"/>
        <v>0.17771084337349397</v>
      </c>
      <c r="R177" s="265">
        <v>1</v>
      </c>
      <c r="S177" s="266">
        <v>0.25</v>
      </c>
      <c r="T177" s="266">
        <v>0.5</v>
      </c>
      <c r="U177" s="266">
        <v>0.75</v>
      </c>
      <c r="V177" s="266">
        <v>1</v>
      </c>
      <c r="W177" s="266">
        <v>0</v>
      </c>
      <c r="X177" s="266" t="s">
        <v>770</v>
      </c>
      <c r="Y177" s="331" t="s">
        <v>52</v>
      </c>
      <c r="Z177" s="306">
        <v>0</v>
      </c>
      <c r="AA177" s="266">
        <v>0</v>
      </c>
      <c r="AB177" s="268" t="s">
        <v>781</v>
      </c>
      <c r="AC177" s="268" t="s">
        <v>52</v>
      </c>
      <c r="AD177" s="306">
        <v>0</v>
      </c>
      <c r="AE177" s="522">
        <v>0</v>
      </c>
      <c r="AF177" s="268" t="s">
        <v>2315</v>
      </c>
      <c r="AG177" s="268" t="s">
        <v>2524</v>
      </c>
      <c r="AH177" s="267"/>
      <c r="AI177" s="268"/>
      <c r="AJ177" s="268"/>
      <c r="AK177" s="269"/>
    </row>
    <row r="178" spans="1:37" ht="100.5" hidden="1" customHeight="1" outlineLevel="1" x14ac:dyDescent="0.2">
      <c r="A178" s="835"/>
      <c r="B178" s="632"/>
      <c r="C178" s="632"/>
      <c r="D178" s="843"/>
      <c r="E178" s="717"/>
      <c r="F178" s="715"/>
      <c r="G178" s="287" t="s">
        <v>472</v>
      </c>
      <c r="H178" s="196" t="s">
        <v>787</v>
      </c>
      <c r="I178" s="519"/>
      <c r="J178" s="256" t="s">
        <v>769</v>
      </c>
      <c r="K178" s="302">
        <v>13000000</v>
      </c>
      <c r="L178" s="306">
        <v>0</v>
      </c>
      <c r="M178" s="263">
        <v>44593</v>
      </c>
      <c r="N178" s="263">
        <v>44925</v>
      </c>
      <c r="O178" s="263">
        <v>44652</v>
      </c>
      <c r="P178" s="264">
        <f t="shared" si="6"/>
        <v>0.17771084337349397</v>
      </c>
      <c r="Q178" s="264">
        <f t="shared" si="5"/>
        <v>0.17771084337349397</v>
      </c>
      <c r="R178" s="265">
        <v>1</v>
      </c>
      <c r="S178" s="266">
        <v>0.25</v>
      </c>
      <c r="T178" s="266">
        <v>0.5</v>
      </c>
      <c r="U178" s="266">
        <v>0.75</v>
      </c>
      <c r="V178" s="266">
        <v>1</v>
      </c>
      <c r="W178" s="266">
        <v>0.25</v>
      </c>
      <c r="X178" s="266" t="s">
        <v>788</v>
      </c>
      <c r="Y178" s="331" t="s">
        <v>352</v>
      </c>
      <c r="Z178" s="306">
        <v>12887700</v>
      </c>
      <c r="AA178" s="266">
        <v>1</v>
      </c>
      <c r="AB178" s="268" t="s">
        <v>789</v>
      </c>
      <c r="AC178" s="268" t="s">
        <v>790</v>
      </c>
      <c r="AD178" s="306">
        <v>0</v>
      </c>
      <c r="AE178" s="522">
        <v>100</v>
      </c>
      <c r="AF178" s="268" t="s">
        <v>2316</v>
      </c>
      <c r="AG178" s="268" t="s">
        <v>2524</v>
      </c>
      <c r="AH178" s="267"/>
      <c r="AI178" s="268"/>
      <c r="AJ178" s="268"/>
      <c r="AK178" s="269"/>
    </row>
    <row r="179" spans="1:37" ht="112.5" hidden="1" customHeight="1" outlineLevel="1" x14ac:dyDescent="0.2">
      <c r="A179" s="835"/>
      <c r="B179" s="632"/>
      <c r="C179" s="632"/>
      <c r="D179" s="843"/>
      <c r="E179" s="717"/>
      <c r="F179" s="715"/>
      <c r="G179" s="287" t="s">
        <v>472</v>
      </c>
      <c r="H179" s="196" t="s">
        <v>791</v>
      </c>
      <c r="I179" s="519"/>
      <c r="J179" s="256" t="s">
        <v>769</v>
      </c>
      <c r="K179" s="302">
        <v>3900000</v>
      </c>
      <c r="L179" s="306">
        <v>0</v>
      </c>
      <c r="M179" s="263">
        <v>44593</v>
      </c>
      <c r="N179" s="263">
        <v>44925</v>
      </c>
      <c r="O179" s="263">
        <v>44652</v>
      </c>
      <c r="P179" s="264">
        <f t="shared" si="6"/>
        <v>0.17771084337349397</v>
      </c>
      <c r="Q179" s="264">
        <f t="shared" si="5"/>
        <v>0.17771084337349397</v>
      </c>
      <c r="R179" s="265">
        <v>1</v>
      </c>
      <c r="S179" s="266">
        <v>0.25</v>
      </c>
      <c r="T179" s="266">
        <v>0.5</v>
      </c>
      <c r="U179" s="266">
        <v>0.75</v>
      </c>
      <c r="V179" s="266">
        <v>1</v>
      </c>
      <c r="W179" s="266">
        <v>0</v>
      </c>
      <c r="X179" s="266" t="s">
        <v>770</v>
      </c>
      <c r="Y179" s="331" t="s">
        <v>52</v>
      </c>
      <c r="Z179" s="306">
        <v>0</v>
      </c>
      <c r="AA179" s="266">
        <v>0</v>
      </c>
      <c r="AB179" s="268" t="s">
        <v>781</v>
      </c>
      <c r="AC179" s="268" t="s">
        <v>52</v>
      </c>
      <c r="AD179" s="268">
        <v>4837424</v>
      </c>
      <c r="AE179" s="522">
        <v>100</v>
      </c>
      <c r="AF179" s="268" t="s">
        <v>2317</v>
      </c>
      <c r="AG179" s="268" t="s">
        <v>2524</v>
      </c>
      <c r="AH179" s="267"/>
      <c r="AI179" s="268"/>
      <c r="AJ179" s="268"/>
      <c r="AK179" s="269"/>
    </row>
    <row r="180" spans="1:37" ht="84.75" hidden="1" customHeight="1" outlineLevel="1" x14ac:dyDescent="0.2">
      <c r="A180" s="835"/>
      <c r="B180" s="632"/>
      <c r="C180" s="632"/>
      <c r="D180" s="843"/>
      <c r="E180" s="717"/>
      <c r="F180" s="715"/>
      <c r="G180" s="287" t="s">
        <v>472</v>
      </c>
      <c r="H180" s="196" t="s">
        <v>792</v>
      </c>
      <c r="I180" s="519"/>
      <c r="J180" s="256" t="s">
        <v>793</v>
      </c>
      <c r="K180" s="302">
        <v>32000000</v>
      </c>
      <c r="L180" s="306">
        <v>0</v>
      </c>
      <c r="M180" s="263">
        <v>44593</v>
      </c>
      <c r="N180" s="263">
        <v>44925</v>
      </c>
      <c r="O180" s="263">
        <v>44652</v>
      </c>
      <c r="P180" s="264">
        <f t="shared" si="6"/>
        <v>0.17771084337349397</v>
      </c>
      <c r="Q180" s="264">
        <f t="shared" si="5"/>
        <v>0.17771084337349397</v>
      </c>
      <c r="R180" s="265">
        <v>1</v>
      </c>
      <c r="S180" s="266">
        <v>0.25</v>
      </c>
      <c r="T180" s="266">
        <v>0.5</v>
      </c>
      <c r="U180" s="266">
        <v>0.75</v>
      </c>
      <c r="V180" s="266">
        <v>1</v>
      </c>
      <c r="W180" s="266">
        <v>0</v>
      </c>
      <c r="X180" s="266" t="s">
        <v>770</v>
      </c>
      <c r="Y180" s="331" t="s">
        <v>52</v>
      </c>
      <c r="Z180" s="306">
        <v>0</v>
      </c>
      <c r="AA180" s="266">
        <v>0.3</v>
      </c>
      <c r="AB180" s="268" t="s">
        <v>794</v>
      </c>
      <c r="AC180" s="268" t="s">
        <v>95</v>
      </c>
      <c r="AD180" s="268">
        <v>51170000</v>
      </c>
      <c r="AE180" s="522">
        <v>100</v>
      </c>
      <c r="AF180" s="268" t="s">
        <v>2318</v>
      </c>
      <c r="AG180" s="268" t="s">
        <v>2524</v>
      </c>
      <c r="AH180" s="267"/>
      <c r="AI180" s="268"/>
      <c r="AJ180" s="268"/>
      <c r="AK180" s="269"/>
    </row>
    <row r="181" spans="1:37" ht="86.25" hidden="1" customHeight="1" outlineLevel="1" x14ac:dyDescent="0.2">
      <c r="A181" s="835"/>
      <c r="B181" s="632"/>
      <c r="C181" s="632"/>
      <c r="D181" s="843"/>
      <c r="E181" s="717"/>
      <c r="F181" s="715"/>
      <c r="G181" s="287" t="s">
        <v>472</v>
      </c>
      <c r="H181" s="196" t="s">
        <v>796</v>
      </c>
      <c r="I181" s="519"/>
      <c r="J181" s="256" t="s">
        <v>795</v>
      </c>
      <c r="K181" s="302">
        <v>30000000</v>
      </c>
      <c r="L181" s="306">
        <v>0</v>
      </c>
      <c r="M181" s="263">
        <v>44593</v>
      </c>
      <c r="N181" s="263">
        <v>44925</v>
      </c>
      <c r="O181" s="263">
        <v>44652</v>
      </c>
      <c r="P181" s="264">
        <f t="shared" si="6"/>
        <v>0.17771084337349397</v>
      </c>
      <c r="Q181" s="264">
        <f t="shared" si="5"/>
        <v>0.17771084337349397</v>
      </c>
      <c r="R181" s="265">
        <v>1</v>
      </c>
      <c r="S181" s="266">
        <v>0.25</v>
      </c>
      <c r="T181" s="266">
        <v>0.5</v>
      </c>
      <c r="U181" s="266">
        <v>0.75</v>
      </c>
      <c r="V181" s="266">
        <v>1</v>
      </c>
      <c r="W181" s="266">
        <v>0</v>
      </c>
      <c r="X181" s="266" t="s">
        <v>780</v>
      </c>
      <c r="Y181" s="331" t="s">
        <v>52</v>
      </c>
      <c r="Z181" s="306">
        <v>0</v>
      </c>
      <c r="AA181" s="266">
        <v>0.25</v>
      </c>
      <c r="AB181" s="268" t="s">
        <v>797</v>
      </c>
      <c r="AC181" s="268" t="s">
        <v>798</v>
      </c>
      <c r="AD181" s="306">
        <v>0</v>
      </c>
      <c r="AE181" s="522">
        <v>30</v>
      </c>
      <c r="AF181" s="268" t="s">
        <v>2320</v>
      </c>
      <c r="AG181" s="268" t="s">
        <v>2524</v>
      </c>
      <c r="AH181" s="267"/>
      <c r="AI181" s="268"/>
      <c r="AJ181" s="268"/>
      <c r="AK181" s="269"/>
    </row>
    <row r="182" spans="1:37" ht="56.25" hidden="1" customHeight="1" outlineLevel="1" x14ac:dyDescent="0.2">
      <c r="A182" s="835"/>
      <c r="B182" s="632"/>
      <c r="C182" s="632"/>
      <c r="D182" s="843"/>
      <c r="E182" s="717"/>
      <c r="F182" s="715"/>
      <c r="G182" s="287"/>
      <c r="H182" s="196" t="s">
        <v>823</v>
      </c>
      <c r="I182" s="416"/>
      <c r="J182" s="256" t="s">
        <v>1982</v>
      </c>
      <c r="K182" s="302">
        <v>3818115</v>
      </c>
      <c r="L182" s="306">
        <v>0</v>
      </c>
      <c r="M182" s="263">
        <v>44593</v>
      </c>
      <c r="N182" s="263">
        <v>44925</v>
      </c>
      <c r="O182" s="263">
        <v>44652</v>
      </c>
      <c r="P182" s="264">
        <f>+(+_xlfn.DAYS(M182,O182))/(+_xlfn.DAYS(M182,N182))</f>
        <v>0.17771084337349397</v>
      </c>
      <c r="Q182" s="264">
        <f>+IF(P182&gt;=100,100,IF(P182&lt;=0,0,P182))</f>
        <v>0.17771084337349397</v>
      </c>
      <c r="R182" s="265">
        <v>0.6</v>
      </c>
      <c r="S182" s="266">
        <v>0.52</v>
      </c>
      <c r="T182" s="266">
        <v>0.54</v>
      </c>
      <c r="U182" s="266">
        <v>0.56999999999999995</v>
      </c>
      <c r="V182" s="266">
        <v>0.6</v>
      </c>
      <c r="W182" s="266">
        <v>0.2</v>
      </c>
      <c r="X182" s="266" t="s">
        <v>824</v>
      </c>
      <c r="Y182" s="331" t="s">
        <v>352</v>
      </c>
      <c r="Z182" s="306">
        <v>3818115</v>
      </c>
      <c r="AA182" s="266">
        <v>1</v>
      </c>
      <c r="AB182" s="268" t="s">
        <v>2321</v>
      </c>
      <c r="AC182" s="268" t="s">
        <v>52</v>
      </c>
      <c r="AD182" s="306">
        <v>0</v>
      </c>
      <c r="AE182" s="522">
        <v>100</v>
      </c>
      <c r="AF182" s="268" t="s">
        <v>2325</v>
      </c>
      <c r="AG182" s="268" t="s">
        <v>2524</v>
      </c>
      <c r="AH182" s="267"/>
      <c r="AI182" s="268"/>
      <c r="AJ182" s="268"/>
      <c r="AK182" s="269"/>
    </row>
    <row r="183" spans="1:37" ht="75" hidden="1" customHeight="1" outlineLevel="1" x14ac:dyDescent="0.2">
      <c r="A183" s="835"/>
      <c r="B183" s="632"/>
      <c r="C183" s="632"/>
      <c r="D183" s="843"/>
      <c r="E183" s="717"/>
      <c r="F183" s="715"/>
      <c r="G183" s="287" t="s">
        <v>472</v>
      </c>
      <c r="H183" s="196" t="s">
        <v>799</v>
      </c>
      <c r="I183" s="520"/>
      <c r="J183" s="256" t="s">
        <v>800</v>
      </c>
      <c r="K183" s="302">
        <v>250000000</v>
      </c>
      <c r="L183" s="306">
        <v>0</v>
      </c>
      <c r="M183" s="263">
        <v>44593</v>
      </c>
      <c r="N183" s="263">
        <v>44925</v>
      </c>
      <c r="O183" s="263">
        <v>44652</v>
      </c>
      <c r="P183" s="264">
        <f t="shared" si="6"/>
        <v>0.17771084337349397</v>
      </c>
      <c r="Q183" s="264">
        <f t="shared" si="5"/>
        <v>0.17771084337349397</v>
      </c>
      <c r="R183" s="265">
        <v>1</v>
      </c>
      <c r="S183" s="266">
        <v>0.25</v>
      </c>
      <c r="T183" s="266">
        <v>0.5</v>
      </c>
      <c r="U183" s="266">
        <v>0.75</v>
      </c>
      <c r="V183" s="266">
        <v>1</v>
      </c>
      <c r="W183" s="266">
        <v>0</v>
      </c>
      <c r="X183" s="266" t="s">
        <v>801</v>
      </c>
      <c r="Y183" s="331" t="s">
        <v>52</v>
      </c>
      <c r="Z183" s="306">
        <v>0</v>
      </c>
      <c r="AA183" s="266">
        <v>0.4</v>
      </c>
      <c r="AB183" s="268" t="s">
        <v>802</v>
      </c>
      <c r="AC183" s="268" t="s">
        <v>803</v>
      </c>
      <c r="AD183" s="268">
        <v>141917281</v>
      </c>
      <c r="AE183" s="522">
        <v>100</v>
      </c>
      <c r="AF183" s="268" t="s">
        <v>2322</v>
      </c>
      <c r="AG183" s="268" t="s">
        <v>2524</v>
      </c>
      <c r="AH183" s="267"/>
      <c r="AI183" s="268"/>
      <c r="AJ183" s="268"/>
      <c r="AK183" s="269"/>
    </row>
    <row r="184" spans="1:37" ht="56.25" hidden="1" customHeight="1" outlineLevel="1" x14ac:dyDescent="0.2">
      <c r="A184" s="835"/>
      <c r="B184" s="632"/>
      <c r="C184" s="632"/>
      <c r="D184" s="843"/>
      <c r="E184" s="717"/>
      <c r="F184" s="716" t="s">
        <v>804</v>
      </c>
      <c r="G184" s="287" t="s">
        <v>472</v>
      </c>
      <c r="H184" s="196" t="s">
        <v>805</v>
      </c>
      <c r="I184" s="772" t="s">
        <v>430</v>
      </c>
      <c r="J184" s="256" t="s">
        <v>806</v>
      </c>
      <c r="K184" s="302">
        <v>1800000000</v>
      </c>
      <c r="L184" s="306">
        <v>0</v>
      </c>
      <c r="M184" s="263">
        <v>44593</v>
      </c>
      <c r="N184" s="263">
        <v>44925</v>
      </c>
      <c r="O184" s="263">
        <v>44652</v>
      </c>
      <c r="P184" s="264">
        <f t="shared" si="6"/>
        <v>0.17771084337349397</v>
      </c>
      <c r="Q184" s="264">
        <f t="shared" si="5"/>
        <v>0.17771084337349397</v>
      </c>
      <c r="R184" s="265">
        <v>1</v>
      </c>
      <c r="S184" s="266">
        <v>0.25</v>
      </c>
      <c r="T184" s="266">
        <v>0.5</v>
      </c>
      <c r="U184" s="266">
        <v>0.75</v>
      </c>
      <c r="V184" s="266">
        <v>1</v>
      </c>
      <c r="W184" s="266">
        <v>0</v>
      </c>
      <c r="X184" s="266" t="s">
        <v>807</v>
      </c>
      <c r="Y184" s="331" t="s">
        <v>52</v>
      </c>
      <c r="Z184" s="306">
        <v>0</v>
      </c>
      <c r="AA184" s="266">
        <v>0</v>
      </c>
      <c r="AB184" s="266" t="s">
        <v>807</v>
      </c>
      <c r="AC184" s="268" t="s">
        <v>52</v>
      </c>
      <c r="AD184" s="306">
        <v>0</v>
      </c>
      <c r="AE184" s="522">
        <v>0</v>
      </c>
      <c r="AF184" s="268" t="s">
        <v>2319</v>
      </c>
      <c r="AG184" s="268" t="s">
        <v>2524</v>
      </c>
      <c r="AH184" s="267"/>
      <c r="AI184" s="268"/>
      <c r="AJ184" s="268"/>
      <c r="AK184" s="269"/>
    </row>
    <row r="185" spans="1:37" ht="77.25" hidden="1" customHeight="1" outlineLevel="1" x14ac:dyDescent="0.2">
      <c r="A185" s="835"/>
      <c r="B185" s="632"/>
      <c r="C185" s="632"/>
      <c r="D185" s="843"/>
      <c r="E185" s="717"/>
      <c r="F185" s="717"/>
      <c r="G185" s="287" t="s">
        <v>472</v>
      </c>
      <c r="H185" s="196" t="s">
        <v>808</v>
      </c>
      <c r="I185" s="773"/>
      <c r="J185" s="256" t="s">
        <v>809</v>
      </c>
      <c r="K185" s="302">
        <v>80000000</v>
      </c>
      <c r="L185" s="306">
        <v>0</v>
      </c>
      <c r="M185" s="263">
        <v>44593</v>
      </c>
      <c r="N185" s="263">
        <v>44925</v>
      </c>
      <c r="O185" s="263">
        <v>44652</v>
      </c>
      <c r="P185" s="264">
        <f t="shared" si="6"/>
        <v>0.17771084337349397</v>
      </c>
      <c r="Q185" s="264">
        <f t="shared" si="5"/>
        <v>0.17771084337349397</v>
      </c>
      <c r="R185" s="265">
        <v>1</v>
      </c>
      <c r="S185" s="266">
        <v>0.25</v>
      </c>
      <c r="T185" s="266">
        <v>0.5</v>
      </c>
      <c r="U185" s="266">
        <v>0.75</v>
      </c>
      <c r="V185" s="266">
        <v>1</v>
      </c>
      <c r="W185" s="266">
        <v>0</v>
      </c>
      <c r="X185" s="266" t="s">
        <v>801</v>
      </c>
      <c r="Y185" s="331" t="s">
        <v>52</v>
      </c>
      <c r="Z185" s="306">
        <v>0</v>
      </c>
      <c r="AA185" s="266">
        <v>0.4</v>
      </c>
      <c r="AB185" s="268" t="s">
        <v>810</v>
      </c>
      <c r="AC185" s="268" t="s">
        <v>52</v>
      </c>
      <c r="AD185" s="268">
        <v>1157720960.1199999</v>
      </c>
      <c r="AE185" s="522">
        <v>80</v>
      </c>
      <c r="AF185" s="268" t="s">
        <v>2323</v>
      </c>
      <c r="AG185" s="268" t="s">
        <v>2524</v>
      </c>
      <c r="AH185" s="267"/>
      <c r="AI185" s="268"/>
      <c r="AJ185" s="268"/>
      <c r="AK185" s="269"/>
    </row>
    <row r="186" spans="1:37" ht="56.25" hidden="1" customHeight="1" outlineLevel="1" x14ac:dyDescent="0.2">
      <c r="A186" s="835"/>
      <c r="B186" s="632"/>
      <c r="C186" s="632"/>
      <c r="D186" s="843"/>
      <c r="E186" s="717"/>
      <c r="F186" s="717"/>
      <c r="G186" s="287" t="s">
        <v>472</v>
      </c>
      <c r="H186" s="196" t="s">
        <v>811</v>
      </c>
      <c r="I186" s="774"/>
      <c r="J186" s="256" t="s">
        <v>812</v>
      </c>
      <c r="K186" s="302" t="s">
        <v>117</v>
      </c>
      <c r="L186" s="306">
        <v>0</v>
      </c>
      <c r="M186" s="263">
        <v>44593</v>
      </c>
      <c r="N186" s="263">
        <v>44925</v>
      </c>
      <c r="O186" s="263">
        <v>44652</v>
      </c>
      <c r="P186" s="264">
        <f t="shared" si="6"/>
        <v>0.17771084337349397</v>
      </c>
      <c r="Q186" s="264">
        <f t="shared" si="5"/>
        <v>0.17771084337349397</v>
      </c>
      <c r="R186" s="265">
        <v>1</v>
      </c>
      <c r="S186" s="266">
        <v>0.25</v>
      </c>
      <c r="T186" s="266">
        <v>0.5</v>
      </c>
      <c r="U186" s="266">
        <v>0.75</v>
      </c>
      <c r="V186" s="266">
        <v>1</v>
      </c>
      <c r="W186" s="266">
        <v>0</v>
      </c>
      <c r="X186" s="266" t="s">
        <v>813</v>
      </c>
      <c r="Y186" s="331" t="s">
        <v>52</v>
      </c>
      <c r="Z186" s="306">
        <v>0</v>
      </c>
      <c r="AA186" s="266">
        <v>0.5</v>
      </c>
      <c r="AB186" s="268" t="s">
        <v>814</v>
      </c>
      <c r="AC186" s="268" t="s">
        <v>815</v>
      </c>
      <c r="AD186" s="268">
        <v>33813333</v>
      </c>
      <c r="AE186" s="522">
        <v>91</v>
      </c>
      <c r="AF186" s="268" t="s">
        <v>814</v>
      </c>
      <c r="AG186" s="268" t="s">
        <v>2524</v>
      </c>
      <c r="AH186" s="267"/>
      <c r="AI186" s="268"/>
      <c r="AJ186" s="268"/>
      <c r="AK186" s="269"/>
    </row>
    <row r="187" spans="1:37" ht="98.25" hidden="1" customHeight="1" outlineLevel="1" x14ac:dyDescent="0.2">
      <c r="A187" s="835"/>
      <c r="B187" s="632"/>
      <c r="C187" s="632"/>
      <c r="D187" s="843"/>
      <c r="E187" s="717"/>
      <c r="F187" s="717"/>
      <c r="G187" s="287" t="s">
        <v>233</v>
      </c>
      <c r="H187" s="196" t="s">
        <v>816</v>
      </c>
      <c r="I187" s="287" t="s">
        <v>430</v>
      </c>
      <c r="J187" s="256" t="s">
        <v>817</v>
      </c>
      <c r="K187" s="302" t="s">
        <v>818</v>
      </c>
      <c r="L187" s="306">
        <v>0</v>
      </c>
      <c r="M187" s="263">
        <v>44593</v>
      </c>
      <c r="N187" s="263">
        <v>44925</v>
      </c>
      <c r="O187" s="263">
        <v>44652</v>
      </c>
      <c r="P187" s="264">
        <f>+(+_xlfn.DAYS(M187,O187))/(+_xlfn.DAYS(M187,N187))</f>
        <v>0.17771084337349397</v>
      </c>
      <c r="Q187" s="264">
        <f>+IF(P187&gt;=100,100,IF(P187&lt;=0,0,P187))</f>
        <v>0.17771084337349397</v>
      </c>
      <c r="R187" s="265">
        <v>0.6</v>
      </c>
      <c r="S187" s="266">
        <v>0.52</v>
      </c>
      <c r="T187" s="266">
        <v>0.54</v>
      </c>
      <c r="U187" s="266">
        <v>0.56999999999999995</v>
      </c>
      <c r="V187" s="266">
        <v>0.6</v>
      </c>
      <c r="W187" s="266">
        <v>0.5</v>
      </c>
      <c r="X187" s="266" t="s">
        <v>819</v>
      </c>
      <c r="Y187" s="331" t="s">
        <v>820</v>
      </c>
      <c r="Z187" s="306" t="s">
        <v>821</v>
      </c>
      <c r="AA187" s="266">
        <v>0.9</v>
      </c>
      <c r="AB187" s="268" t="s">
        <v>2058</v>
      </c>
      <c r="AC187" s="268" t="s">
        <v>822</v>
      </c>
      <c r="AD187" s="306">
        <v>0</v>
      </c>
      <c r="AE187" s="522">
        <v>95</v>
      </c>
      <c r="AF187" s="268" t="s">
        <v>2431</v>
      </c>
      <c r="AG187" s="268" t="s">
        <v>2524</v>
      </c>
      <c r="AH187" s="267"/>
      <c r="AI187" s="268"/>
      <c r="AJ187" s="268"/>
      <c r="AK187" s="269"/>
    </row>
    <row r="188" spans="1:37" ht="168.75" hidden="1" customHeight="1" outlineLevel="1" x14ac:dyDescent="0.2">
      <c r="A188" s="835"/>
      <c r="B188" s="632"/>
      <c r="C188" s="632"/>
      <c r="D188" s="843"/>
      <c r="E188" s="714" t="s">
        <v>426</v>
      </c>
      <c r="F188" s="344" t="s">
        <v>825</v>
      </c>
      <c r="G188" s="287" t="s">
        <v>472</v>
      </c>
      <c r="H188" s="196" t="s">
        <v>826</v>
      </c>
      <c r="I188" s="416" t="s">
        <v>827</v>
      </c>
      <c r="J188" s="256" t="s">
        <v>828</v>
      </c>
      <c r="K188" s="302">
        <v>97206675</v>
      </c>
      <c r="L188" s="306">
        <v>0</v>
      </c>
      <c r="M188" s="263">
        <v>44593</v>
      </c>
      <c r="N188" s="263">
        <v>44925</v>
      </c>
      <c r="O188" s="263">
        <v>44652</v>
      </c>
      <c r="P188" s="264">
        <f t="shared" si="6"/>
        <v>0.17771084337349397</v>
      </c>
      <c r="Q188" s="264">
        <f t="shared" si="5"/>
        <v>0.17771084337349397</v>
      </c>
      <c r="R188" s="265">
        <v>0.9</v>
      </c>
      <c r="S188" s="266">
        <v>0.86</v>
      </c>
      <c r="T188" s="266">
        <v>0.87</v>
      </c>
      <c r="U188" s="266">
        <v>0.88</v>
      </c>
      <c r="V188" s="266">
        <v>1</v>
      </c>
      <c r="W188" s="266">
        <v>0.25</v>
      </c>
      <c r="X188" s="266" t="s">
        <v>829</v>
      </c>
      <c r="Y188" s="331" t="s">
        <v>352</v>
      </c>
      <c r="Z188" s="306">
        <v>0</v>
      </c>
      <c r="AA188" s="266">
        <v>0.35</v>
      </c>
      <c r="AB188" s="268" t="s">
        <v>830</v>
      </c>
      <c r="AC188" s="268" t="s">
        <v>831</v>
      </c>
      <c r="AD188" s="306">
        <v>0</v>
      </c>
      <c r="AE188" s="522">
        <v>40</v>
      </c>
      <c r="AF188" s="268" t="s">
        <v>2324</v>
      </c>
      <c r="AG188" s="268" t="s">
        <v>2524</v>
      </c>
      <c r="AH188" s="267"/>
      <c r="AI188" s="268"/>
      <c r="AJ188" s="268"/>
      <c r="AK188" s="269"/>
    </row>
    <row r="189" spans="1:37" ht="142.5" hidden="1" customHeight="1" outlineLevel="1" x14ac:dyDescent="0.2">
      <c r="A189" s="345"/>
      <c r="B189" s="632"/>
      <c r="C189" s="632"/>
      <c r="D189" s="843"/>
      <c r="E189" s="722"/>
      <c r="F189" s="247" t="s">
        <v>832</v>
      </c>
      <c r="G189" s="287" t="s">
        <v>233</v>
      </c>
      <c r="H189" s="196" t="s">
        <v>833</v>
      </c>
      <c r="I189" s="287" t="s">
        <v>834</v>
      </c>
      <c r="J189" s="256" t="s">
        <v>835</v>
      </c>
      <c r="K189" s="302" t="s">
        <v>52</v>
      </c>
      <c r="L189" s="306">
        <v>0</v>
      </c>
      <c r="M189" s="263">
        <v>44593</v>
      </c>
      <c r="N189" s="263">
        <v>44925</v>
      </c>
      <c r="O189" s="263">
        <v>44652</v>
      </c>
      <c r="P189" s="264">
        <f t="shared" si="6"/>
        <v>0.17771084337349397</v>
      </c>
      <c r="Q189" s="264">
        <f t="shared" si="5"/>
        <v>0.17771084337349397</v>
      </c>
      <c r="R189" s="265">
        <v>1</v>
      </c>
      <c r="S189" s="266">
        <v>1</v>
      </c>
      <c r="T189" s="266">
        <v>1</v>
      </c>
      <c r="U189" s="266">
        <v>1</v>
      </c>
      <c r="V189" s="266">
        <v>1</v>
      </c>
      <c r="W189" s="266">
        <v>0.25</v>
      </c>
      <c r="X189" s="266" t="s">
        <v>836</v>
      </c>
      <c r="Y189" s="331" t="s">
        <v>837</v>
      </c>
      <c r="Z189" s="306">
        <v>0</v>
      </c>
      <c r="AA189" s="266">
        <v>0.3</v>
      </c>
      <c r="AB189" s="268" t="s">
        <v>838</v>
      </c>
      <c r="AC189" s="268" t="s">
        <v>52</v>
      </c>
      <c r="AD189" s="306">
        <v>0</v>
      </c>
      <c r="AE189" s="522">
        <v>75</v>
      </c>
      <c r="AF189" s="268" t="s">
        <v>838</v>
      </c>
      <c r="AG189" s="268" t="s">
        <v>2524</v>
      </c>
      <c r="AH189" s="267"/>
      <c r="AI189" s="268"/>
      <c r="AJ189" s="268"/>
      <c r="AK189" s="269"/>
    </row>
    <row r="190" spans="1:37" ht="67.150000000000006" customHeight="1" collapsed="1" thickBot="1" x14ac:dyDescent="0.25">
      <c r="A190" s="718" t="s">
        <v>422</v>
      </c>
      <c r="B190" s="719"/>
      <c r="C190" s="719"/>
      <c r="D190" s="719"/>
      <c r="E190" s="719"/>
      <c r="F190" s="719"/>
      <c r="G190" s="719"/>
      <c r="H190" s="719"/>
      <c r="I190" s="719"/>
      <c r="J190" s="719"/>
      <c r="K190" s="719"/>
      <c r="L190" s="719"/>
      <c r="M190" s="719"/>
      <c r="N190" s="720"/>
      <c r="O190" s="309">
        <v>44652</v>
      </c>
      <c r="P190" s="264"/>
      <c r="Q190" s="366">
        <f>+AVERAGE(Q91:Q189)</f>
        <v>0.17771084337349352</v>
      </c>
      <c r="R190" s="276">
        <v>100</v>
      </c>
      <c r="S190" s="652"/>
      <c r="T190" s="653"/>
      <c r="U190" s="653"/>
      <c r="V190" s="654"/>
      <c r="W190" s="276">
        <v>17</v>
      </c>
      <c r="X190" s="266"/>
      <c r="Y190" s="331"/>
      <c r="Z190" s="306"/>
      <c r="AA190" s="276">
        <v>39</v>
      </c>
      <c r="AB190" s="268"/>
      <c r="AC190" s="268"/>
      <c r="AD190" s="268"/>
      <c r="AE190" s="276">
        <v>65</v>
      </c>
      <c r="AF190" s="268"/>
      <c r="AG190" s="268"/>
      <c r="AH190" s="267"/>
      <c r="AI190" s="268"/>
      <c r="AJ190" s="268"/>
      <c r="AK190" s="269"/>
    </row>
    <row r="191" spans="1:37" ht="114.75" hidden="1" customHeight="1" outlineLevel="1" x14ac:dyDescent="0.2">
      <c r="A191" s="650" t="s">
        <v>839</v>
      </c>
      <c r="B191" s="400" t="s">
        <v>39</v>
      </c>
      <c r="C191" s="400" t="s">
        <v>90</v>
      </c>
      <c r="D191" s="666" t="s">
        <v>840</v>
      </c>
      <c r="E191" s="242" t="s">
        <v>713</v>
      </c>
      <c r="F191" s="242" t="s">
        <v>841</v>
      </c>
      <c r="G191" s="8" t="s">
        <v>842</v>
      </c>
      <c r="H191" s="196" t="s">
        <v>843</v>
      </c>
      <c r="I191" s="8" t="s">
        <v>844</v>
      </c>
      <c r="J191" s="246" t="s">
        <v>845</v>
      </c>
      <c r="K191" s="246" t="s">
        <v>472</v>
      </c>
      <c r="L191" s="306">
        <v>0</v>
      </c>
      <c r="M191" s="263">
        <v>44593</v>
      </c>
      <c r="N191" s="263">
        <v>44925</v>
      </c>
      <c r="O191" s="263">
        <v>44652</v>
      </c>
      <c r="P191" s="264">
        <f t="shared" si="6"/>
        <v>0.17771084337349397</v>
      </c>
      <c r="Q191" s="264">
        <f t="shared" ref="Q191:Q266" si="7">+IF(P191&gt;=100,100,IF(P191&lt;=0,0,P191))</f>
        <v>0.17771084337349397</v>
      </c>
      <c r="R191" s="265">
        <v>0.2</v>
      </c>
      <c r="S191" s="266">
        <v>0.12</v>
      </c>
      <c r="T191" s="266">
        <v>0.14000000000000001</v>
      </c>
      <c r="U191" s="266">
        <v>0.17</v>
      </c>
      <c r="V191" s="266">
        <v>0.2</v>
      </c>
      <c r="W191" s="266">
        <v>0.25</v>
      </c>
      <c r="X191" s="266" t="s">
        <v>846</v>
      </c>
      <c r="Y191" s="331" t="s">
        <v>847</v>
      </c>
      <c r="Z191" s="306">
        <v>0</v>
      </c>
      <c r="AA191" s="266">
        <v>0.5</v>
      </c>
      <c r="AB191" s="268" t="s">
        <v>2487</v>
      </c>
      <c r="AC191" s="268" t="s">
        <v>1983</v>
      </c>
      <c r="AD191" s="306">
        <v>0</v>
      </c>
      <c r="AE191" s="522">
        <v>75</v>
      </c>
      <c r="AF191" s="268" t="s">
        <v>2560</v>
      </c>
      <c r="AG191" s="268" t="s">
        <v>2524</v>
      </c>
      <c r="AH191" s="267"/>
      <c r="AI191" s="268"/>
      <c r="AJ191" s="268"/>
      <c r="AK191" s="269"/>
    </row>
    <row r="192" spans="1:37" ht="75" hidden="1" customHeight="1" outlineLevel="1" x14ac:dyDescent="0.2">
      <c r="A192" s="651"/>
      <c r="B192" s="579" t="s">
        <v>849</v>
      </c>
      <c r="C192" s="579" t="s">
        <v>850</v>
      </c>
      <c r="D192" s="667"/>
      <c r="E192" s="592" t="s">
        <v>851</v>
      </c>
      <c r="F192" s="592" t="s">
        <v>852</v>
      </c>
      <c r="G192" s="606" t="s">
        <v>853</v>
      </c>
      <c r="H192" s="196" t="s">
        <v>854</v>
      </c>
      <c r="I192" s="606" t="s">
        <v>855</v>
      </c>
      <c r="J192" s="246" t="s">
        <v>856</v>
      </c>
      <c r="K192" s="302">
        <v>14000000</v>
      </c>
      <c r="L192" s="306">
        <v>0</v>
      </c>
      <c r="M192" s="263">
        <v>44593</v>
      </c>
      <c r="N192" s="263">
        <v>44925</v>
      </c>
      <c r="O192" s="263">
        <v>44652</v>
      </c>
      <c r="P192" s="264">
        <f t="shared" si="6"/>
        <v>0.17771084337349397</v>
      </c>
      <c r="Q192" s="264">
        <f t="shared" si="7"/>
        <v>0.17771084337349397</v>
      </c>
      <c r="R192" s="265">
        <v>0.33</v>
      </c>
      <c r="S192" s="652" t="s">
        <v>857</v>
      </c>
      <c r="T192" s="653"/>
      <c r="U192" s="653"/>
      <c r="V192" s="654"/>
      <c r="W192" s="266">
        <v>0.97</v>
      </c>
      <c r="X192" s="266" t="s">
        <v>858</v>
      </c>
      <c r="Y192" s="331" t="s">
        <v>859</v>
      </c>
      <c r="Z192" s="306">
        <v>0</v>
      </c>
      <c r="AA192" s="266">
        <v>0.5</v>
      </c>
      <c r="AB192" s="268" t="s">
        <v>2073</v>
      </c>
      <c r="AC192" s="453" t="s">
        <v>860</v>
      </c>
      <c r="AD192" s="306">
        <v>0</v>
      </c>
      <c r="AE192" s="522">
        <v>70</v>
      </c>
      <c r="AF192" s="268" t="s">
        <v>2499</v>
      </c>
      <c r="AG192" s="268" t="s">
        <v>2524</v>
      </c>
      <c r="AH192" s="267"/>
      <c r="AI192" s="268"/>
      <c r="AJ192" s="268"/>
      <c r="AK192" s="269"/>
    </row>
    <row r="193" spans="1:37" ht="97.5" hidden="1" customHeight="1" outlineLevel="1" x14ac:dyDescent="0.2">
      <c r="A193" s="651"/>
      <c r="B193" s="580"/>
      <c r="C193" s="580"/>
      <c r="D193" s="667"/>
      <c r="E193" s="626"/>
      <c r="F193" s="626"/>
      <c r="G193" s="607"/>
      <c r="H193" s="196" t="s">
        <v>861</v>
      </c>
      <c r="I193" s="607"/>
      <c r="J193" s="246" t="s">
        <v>862</v>
      </c>
      <c r="K193" s="246" t="s">
        <v>52</v>
      </c>
      <c r="L193" s="306">
        <v>0</v>
      </c>
      <c r="M193" s="263">
        <v>44593</v>
      </c>
      <c r="N193" s="263">
        <v>44925</v>
      </c>
      <c r="O193" s="263">
        <v>44652</v>
      </c>
      <c r="P193" s="264">
        <f t="shared" si="6"/>
        <v>0.17771084337349397</v>
      </c>
      <c r="Q193" s="264">
        <f t="shared" si="7"/>
        <v>0.17771084337349397</v>
      </c>
      <c r="R193" s="265">
        <v>1</v>
      </c>
      <c r="S193" s="266">
        <v>0.25</v>
      </c>
      <c r="T193" s="266">
        <v>0.5</v>
      </c>
      <c r="U193" s="266">
        <v>0.75</v>
      </c>
      <c r="V193" s="266">
        <v>1</v>
      </c>
      <c r="W193" s="266">
        <v>0.4</v>
      </c>
      <c r="X193" s="266" t="s">
        <v>863</v>
      </c>
      <c r="Y193" s="331" t="s">
        <v>52</v>
      </c>
      <c r="Z193" s="306">
        <v>0</v>
      </c>
      <c r="AA193" s="266">
        <v>0.6</v>
      </c>
      <c r="AB193" s="268" t="s">
        <v>864</v>
      </c>
      <c r="AC193" s="268" t="s">
        <v>52</v>
      </c>
      <c r="AD193" s="306">
        <v>0</v>
      </c>
      <c r="AE193" s="522">
        <v>85</v>
      </c>
      <c r="AF193" s="268" t="s">
        <v>2500</v>
      </c>
      <c r="AG193" s="268" t="s">
        <v>2524</v>
      </c>
      <c r="AH193" s="267"/>
      <c r="AI193" s="268"/>
      <c r="AJ193" s="268"/>
      <c r="AK193" s="269"/>
    </row>
    <row r="194" spans="1:37" ht="123" hidden="1" customHeight="1" outlineLevel="1" x14ac:dyDescent="0.2">
      <c r="A194" s="651"/>
      <c r="B194" s="580"/>
      <c r="C194" s="580"/>
      <c r="D194" s="667"/>
      <c r="E194" s="626"/>
      <c r="F194" s="593"/>
      <c r="G194" s="721"/>
      <c r="H194" s="196" t="s">
        <v>865</v>
      </c>
      <c r="I194" s="721"/>
      <c r="J194" s="246" t="s">
        <v>866</v>
      </c>
      <c r="K194" s="246" t="s">
        <v>52</v>
      </c>
      <c r="L194" s="306">
        <v>0</v>
      </c>
      <c r="M194" s="263">
        <v>44593</v>
      </c>
      <c r="N194" s="263">
        <v>44925</v>
      </c>
      <c r="O194" s="263">
        <v>44652</v>
      </c>
      <c r="P194" s="264">
        <f t="shared" si="6"/>
        <v>0.17771084337349397</v>
      </c>
      <c r="Q194" s="264">
        <f t="shared" si="7"/>
        <v>0.17771084337349397</v>
      </c>
      <c r="R194" s="265">
        <v>1</v>
      </c>
      <c r="S194" s="266">
        <v>0.25</v>
      </c>
      <c r="T194" s="266">
        <v>0.5</v>
      </c>
      <c r="U194" s="266">
        <v>0.75</v>
      </c>
      <c r="V194" s="266">
        <v>1</v>
      </c>
      <c r="W194" s="266">
        <v>0.25</v>
      </c>
      <c r="X194" s="266" t="s">
        <v>867</v>
      </c>
      <c r="Y194" s="331" t="s">
        <v>868</v>
      </c>
      <c r="Z194" s="306">
        <v>0</v>
      </c>
      <c r="AA194" s="266">
        <v>0.4</v>
      </c>
      <c r="AB194" s="266" t="s">
        <v>867</v>
      </c>
      <c r="AC194" s="268" t="s">
        <v>52</v>
      </c>
      <c r="AD194" s="306">
        <v>0</v>
      </c>
      <c r="AE194" s="522">
        <v>40</v>
      </c>
      <c r="AF194" s="268" t="s">
        <v>2501</v>
      </c>
      <c r="AG194" s="268" t="s">
        <v>2524</v>
      </c>
      <c r="AH194" s="267"/>
      <c r="AI194" s="268"/>
      <c r="AJ194" s="268"/>
      <c r="AK194" s="269"/>
    </row>
    <row r="195" spans="1:37" ht="93.75" hidden="1" customHeight="1" outlineLevel="1" x14ac:dyDescent="0.2">
      <c r="A195" s="651"/>
      <c r="B195" s="580"/>
      <c r="C195" s="580"/>
      <c r="D195" s="667"/>
      <c r="E195" s="626"/>
      <c r="F195" s="390" t="s">
        <v>869</v>
      </c>
      <c r="G195" s="8" t="s">
        <v>870</v>
      </c>
      <c r="H195" s="196" t="s">
        <v>2069</v>
      </c>
      <c r="I195" s="391" t="s">
        <v>871</v>
      </c>
      <c r="J195" s="246" t="s">
        <v>872</v>
      </c>
      <c r="K195" s="302">
        <v>36000000</v>
      </c>
      <c r="L195" s="306">
        <v>0</v>
      </c>
      <c r="M195" s="263">
        <v>44593</v>
      </c>
      <c r="N195" s="263">
        <v>44925</v>
      </c>
      <c r="O195" s="263">
        <v>44652</v>
      </c>
      <c r="P195" s="264">
        <f t="shared" si="6"/>
        <v>0.17771084337349397</v>
      </c>
      <c r="Q195" s="264">
        <f t="shared" si="7"/>
        <v>0.17771084337349397</v>
      </c>
      <c r="R195" s="277">
        <v>0.6</v>
      </c>
      <c r="S195" s="272">
        <v>0.4</v>
      </c>
      <c r="T195" s="272">
        <v>0.45</v>
      </c>
      <c r="U195" s="272">
        <v>0.54</v>
      </c>
      <c r="V195" s="272">
        <v>0.6</v>
      </c>
      <c r="W195" s="266">
        <v>0.25</v>
      </c>
      <c r="X195" s="266" t="s">
        <v>873</v>
      </c>
      <c r="Y195" s="331" t="s">
        <v>874</v>
      </c>
      <c r="Z195" s="306">
        <v>0</v>
      </c>
      <c r="AA195" s="266">
        <v>0.45</v>
      </c>
      <c r="AB195" s="268" t="s">
        <v>2070</v>
      </c>
      <c r="AC195" s="268" t="s">
        <v>1980</v>
      </c>
      <c r="AD195" s="306">
        <v>0</v>
      </c>
      <c r="AE195" s="522">
        <v>60</v>
      </c>
      <c r="AF195" s="268" t="s">
        <v>2502</v>
      </c>
      <c r="AG195" s="268" t="s">
        <v>2524</v>
      </c>
      <c r="AH195" s="267"/>
      <c r="AI195" s="268"/>
      <c r="AJ195" s="268"/>
      <c r="AK195" s="269"/>
    </row>
    <row r="196" spans="1:37" ht="78.599999999999994" hidden="1" customHeight="1" outlineLevel="1" x14ac:dyDescent="0.2">
      <c r="A196" s="651"/>
      <c r="B196" s="579" t="s">
        <v>849</v>
      </c>
      <c r="C196" s="579" t="s">
        <v>879</v>
      </c>
      <c r="D196" s="745" t="s">
        <v>880</v>
      </c>
      <c r="E196" s="671" t="s">
        <v>881</v>
      </c>
      <c r="F196" s="775" t="s">
        <v>882</v>
      </c>
      <c r="G196" s="575" t="s">
        <v>883</v>
      </c>
      <c r="H196" s="196" t="s">
        <v>884</v>
      </c>
      <c r="I196" s="575" t="s">
        <v>885</v>
      </c>
      <c r="J196" s="246" t="s">
        <v>886</v>
      </c>
      <c r="K196" s="302">
        <v>84000000</v>
      </c>
      <c r="L196" s="306">
        <v>0</v>
      </c>
      <c r="M196" s="263">
        <v>44593</v>
      </c>
      <c r="N196" s="263">
        <v>44925</v>
      </c>
      <c r="O196" s="263">
        <v>44652</v>
      </c>
      <c r="P196" s="264">
        <f t="shared" si="6"/>
        <v>0.17771084337349397</v>
      </c>
      <c r="Q196" s="264">
        <f t="shared" si="7"/>
        <v>0.17771084337349397</v>
      </c>
      <c r="R196" s="265">
        <v>0.1</v>
      </c>
      <c r="S196" s="266">
        <v>0.03</v>
      </c>
      <c r="T196" s="266">
        <v>0.03</v>
      </c>
      <c r="U196" s="266">
        <v>0.03</v>
      </c>
      <c r="V196" s="266">
        <v>0.03</v>
      </c>
      <c r="W196" s="266">
        <v>0.25</v>
      </c>
      <c r="X196" s="266" t="s">
        <v>887</v>
      </c>
      <c r="Y196" s="362" t="s">
        <v>888</v>
      </c>
      <c r="Z196" s="306">
        <v>0</v>
      </c>
      <c r="AA196" s="266">
        <v>0.5</v>
      </c>
      <c r="AB196" s="268" t="s">
        <v>2078</v>
      </c>
      <c r="AC196" s="453" t="s">
        <v>889</v>
      </c>
      <c r="AD196" s="306">
        <v>0</v>
      </c>
      <c r="AE196" s="539">
        <v>75</v>
      </c>
      <c r="AF196" s="268" t="s">
        <v>2444</v>
      </c>
      <c r="AG196" s="268" t="s">
        <v>2524</v>
      </c>
      <c r="AH196" s="267"/>
      <c r="AI196" s="268"/>
      <c r="AJ196" s="268"/>
      <c r="AK196" s="269"/>
    </row>
    <row r="197" spans="1:37" ht="75.599999999999994" hidden="1" customHeight="1" outlineLevel="1" x14ac:dyDescent="0.2">
      <c r="A197" s="651"/>
      <c r="B197" s="580"/>
      <c r="C197" s="580"/>
      <c r="D197" s="746"/>
      <c r="E197" s="672"/>
      <c r="F197" s="776"/>
      <c r="G197" s="576"/>
      <c r="H197" s="196" t="s">
        <v>890</v>
      </c>
      <c r="I197" s="576"/>
      <c r="J197" s="246" t="s">
        <v>891</v>
      </c>
      <c r="K197" s="246" t="s">
        <v>52</v>
      </c>
      <c r="L197" s="306">
        <v>0</v>
      </c>
      <c r="M197" s="263">
        <v>44593</v>
      </c>
      <c r="N197" s="263">
        <v>44925</v>
      </c>
      <c r="O197" s="263">
        <v>44652</v>
      </c>
      <c r="P197" s="264">
        <f t="shared" si="6"/>
        <v>0.17771084337349397</v>
      </c>
      <c r="Q197" s="264">
        <f t="shared" si="7"/>
        <v>0.17771084337349397</v>
      </c>
      <c r="R197" s="265">
        <v>1</v>
      </c>
      <c r="S197" s="266">
        <v>0.25</v>
      </c>
      <c r="T197" s="266">
        <v>0.5</v>
      </c>
      <c r="U197" s="266">
        <v>0.75</v>
      </c>
      <c r="V197" s="266">
        <v>1</v>
      </c>
      <c r="W197" s="266">
        <v>0.5</v>
      </c>
      <c r="X197" s="266" t="s">
        <v>892</v>
      </c>
      <c r="Y197" s="362" t="s">
        <v>888</v>
      </c>
      <c r="Z197" s="306">
        <v>0</v>
      </c>
      <c r="AA197" s="266">
        <v>0.5</v>
      </c>
      <c r="AB197" s="268" t="s">
        <v>893</v>
      </c>
      <c r="AC197" s="268" t="s">
        <v>52</v>
      </c>
      <c r="AD197" s="306">
        <v>0</v>
      </c>
      <c r="AE197" s="522">
        <v>75</v>
      </c>
      <c r="AF197" s="268" t="s">
        <v>2443</v>
      </c>
      <c r="AG197" s="268" t="s">
        <v>2524</v>
      </c>
      <c r="AH197" s="267"/>
      <c r="AI197" s="268"/>
      <c r="AJ197" s="268"/>
      <c r="AK197" s="269"/>
    </row>
    <row r="198" spans="1:37" ht="75.599999999999994" hidden="1" customHeight="1" outlineLevel="1" x14ac:dyDescent="0.2">
      <c r="A198" s="651"/>
      <c r="B198" s="580"/>
      <c r="C198" s="580"/>
      <c r="D198" s="746"/>
      <c r="E198" s="672"/>
      <c r="F198" s="776"/>
      <c r="G198" s="576"/>
      <c r="H198" s="196" t="s">
        <v>894</v>
      </c>
      <c r="I198" s="576"/>
      <c r="J198" s="246" t="s">
        <v>895</v>
      </c>
      <c r="K198" s="246" t="s">
        <v>52</v>
      </c>
      <c r="L198" s="306">
        <v>0</v>
      </c>
      <c r="M198" s="263">
        <v>44593</v>
      </c>
      <c r="N198" s="263">
        <v>44925</v>
      </c>
      <c r="O198" s="263">
        <v>44652</v>
      </c>
      <c r="P198" s="264">
        <f>+(+_xlfn.DAYS(M198,O198))/(+_xlfn.DAYS(M198,N198))</f>
        <v>0.17771084337349397</v>
      </c>
      <c r="Q198" s="264">
        <f>+IF(P198&gt;=100,100,IF(P198&lt;=0,0,P198))</f>
        <v>0.17771084337349397</v>
      </c>
      <c r="R198" s="265">
        <v>1</v>
      </c>
      <c r="S198" s="266">
        <v>0.25</v>
      </c>
      <c r="T198" s="266">
        <v>0.5</v>
      </c>
      <c r="U198" s="266">
        <v>0.75</v>
      </c>
      <c r="V198" s="266">
        <v>1</v>
      </c>
      <c r="W198" s="266">
        <v>0.35</v>
      </c>
      <c r="X198" s="266" t="s">
        <v>896</v>
      </c>
      <c r="Y198" s="355" t="s">
        <v>888</v>
      </c>
      <c r="Z198" s="306">
        <v>0</v>
      </c>
      <c r="AA198" s="266">
        <v>0.5</v>
      </c>
      <c r="AB198" s="268" t="s">
        <v>897</v>
      </c>
      <c r="AC198" s="453" t="s">
        <v>898</v>
      </c>
      <c r="AD198" s="306">
        <v>0</v>
      </c>
      <c r="AE198" s="522">
        <v>75</v>
      </c>
      <c r="AF198" s="268" t="s">
        <v>2445</v>
      </c>
      <c r="AG198" s="540" t="s">
        <v>2447</v>
      </c>
      <c r="AH198" s="267"/>
      <c r="AI198" s="268"/>
      <c r="AJ198" s="268"/>
      <c r="AK198" s="269"/>
    </row>
    <row r="199" spans="1:37" ht="75.599999999999994" hidden="1" customHeight="1" outlineLevel="1" x14ac:dyDescent="0.2">
      <c r="A199" s="651"/>
      <c r="B199" s="580"/>
      <c r="C199" s="580"/>
      <c r="D199" s="746"/>
      <c r="E199" s="672"/>
      <c r="F199" s="777"/>
      <c r="G199" s="577"/>
      <c r="H199" s="196" t="s">
        <v>899</v>
      </c>
      <c r="I199" s="577"/>
      <c r="J199" s="246" t="s">
        <v>900</v>
      </c>
      <c r="K199" s="246" t="s">
        <v>52</v>
      </c>
      <c r="L199" s="306">
        <v>0</v>
      </c>
      <c r="M199" s="263">
        <v>44593</v>
      </c>
      <c r="N199" s="263">
        <v>44925</v>
      </c>
      <c r="O199" s="263">
        <v>44652</v>
      </c>
      <c r="P199" s="264">
        <f>+(+_xlfn.DAYS(M199,O199))/(+_xlfn.DAYS(M199,N199))</f>
        <v>0.17771084337349397</v>
      </c>
      <c r="Q199" s="264">
        <f>+IF(P199&gt;=100,100,IF(P199&lt;=0,0,P199))</f>
        <v>0.17771084337349397</v>
      </c>
      <c r="R199" s="265">
        <v>1</v>
      </c>
      <c r="S199" s="266">
        <v>0.25</v>
      </c>
      <c r="T199" s="266">
        <v>0.5</v>
      </c>
      <c r="U199" s="266">
        <v>0.75</v>
      </c>
      <c r="V199" s="266">
        <v>1</v>
      </c>
      <c r="W199" s="266">
        <v>0.4</v>
      </c>
      <c r="X199" s="266" t="s">
        <v>901</v>
      </c>
      <c r="Y199" s="355" t="s">
        <v>888</v>
      </c>
      <c r="Z199" s="306">
        <v>0</v>
      </c>
      <c r="AA199" s="266">
        <v>0.6</v>
      </c>
      <c r="AB199" s="268" t="s">
        <v>2079</v>
      </c>
      <c r="AC199" s="453" t="s">
        <v>902</v>
      </c>
      <c r="AD199" s="306">
        <v>0</v>
      </c>
      <c r="AE199" s="522">
        <v>70</v>
      </c>
      <c r="AF199" s="268" t="s">
        <v>2446</v>
      </c>
      <c r="AG199" s="554" t="s">
        <v>2447</v>
      </c>
      <c r="AH199" s="267"/>
      <c r="AI199" s="268"/>
      <c r="AJ199" s="268"/>
      <c r="AK199" s="269"/>
    </row>
    <row r="200" spans="1:37" ht="93.6" hidden="1" customHeight="1" outlineLevel="1" x14ac:dyDescent="0.2">
      <c r="A200" s="651"/>
      <c r="B200" s="580"/>
      <c r="C200" s="580"/>
      <c r="D200" s="746"/>
      <c r="E200" s="672"/>
      <c r="F200" s="413" t="s">
        <v>903</v>
      </c>
      <c r="G200" s="398" t="s">
        <v>904</v>
      </c>
      <c r="H200" s="196" t="s">
        <v>2449</v>
      </c>
      <c r="I200" s="400" t="s">
        <v>905</v>
      </c>
      <c r="J200" s="246" t="s">
        <v>2490</v>
      </c>
      <c r="K200" s="302">
        <v>49200000</v>
      </c>
      <c r="L200" s="306">
        <v>0</v>
      </c>
      <c r="M200" s="263">
        <v>44593</v>
      </c>
      <c r="N200" s="263">
        <v>44925</v>
      </c>
      <c r="O200" s="263">
        <v>44652</v>
      </c>
      <c r="P200" s="264">
        <f>+(+_xlfn.DAYS(M200,O200))/(+_xlfn.DAYS(M200,N200))</f>
        <v>0.17771084337349397</v>
      </c>
      <c r="Q200" s="264">
        <f>+IF(P200&gt;=100,100,IF(P200&lt;=0,0,P200))</f>
        <v>0.17771084337349397</v>
      </c>
      <c r="R200" s="265">
        <v>0.66</v>
      </c>
      <c r="S200" s="266">
        <v>0.35</v>
      </c>
      <c r="T200" s="266">
        <v>0.45</v>
      </c>
      <c r="U200" s="266">
        <v>0.55000000000000004</v>
      </c>
      <c r="V200" s="266">
        <v>0.66</v>
      </c>
      <c r="W200" s="356">
        <v>0.35</v>
      </c>
      <c r="X200" s="266" t="s">
        <v>906</v>
      </c>
      <c r="Y200" s="355" t="s">
        <v>888</v>
      </c>
      <c r="Z200" s="306">
        <v>0</v>
      </c>
      <c r="AA200" s="266">
        <v>0.6</v>
      </c>
      <c r="AB200" s="268" t="s">
        <v>907</v>
      </c>
      <c r="AC200" s="453" t="s">
        <v>908</v>
      </c>
      <c r="AD200" s="306">
        <v>0</v>
      </c>
      <c r="AE200" s="522">
        <v>75</v>
      </c>
      <c r="AF200" s="541" t="s">
        <v>2448</v>
      </c>
      <c r="AG200" s="554" t="s">
        <v>908</v>
      </c>
      <c r="AH200" s="267"/>
      <c r="AI200" s="268"/>
      <c r="AJ200" s="268"/>
      <c r="AK200" s="269"/>
    </row>
    <row r="201" spans="1:37" ht="93.6" hidden="1" customHeight="1" outlineLevel="1" x14ac:dyDescent="0.2">
      <c r="A201" s="651"/>
      <c r="B201" s="580"/>
      <c r="C201" s="580"/>
      <c r="D201" s="746"/>
      <c r="E201" s="672"/>
      <c r="F201" s="671" t="s">
        <v>909</v>
      </c>
      <c r="G201" s="579" t="s">
        <v>910</v>
      </c>
      <c r="H201" s="196" t="s">
        <v>911</v>
      </c>
      <c r="I201" s="579" t="s">
        <v>912</v>
      </c>
      <c r="J201" s="246" t="s">
        <v>913</v>
      </c>
      <c r="K201" s="302">
        <v>40000000</v>
      </c>
      <c r="L201" s="306">
        <v>0</v>
      </c>
      <c r="M201" s="263">
        <v>44593</v>
      </c>
      <c r="N201" s="263">
        <v>44925</v>
      </c>
      <c r="O201" s="263">
        <v>44652</v>
      </c>
      <c r="P201" s="264">
        <f t="shared" si="6"/>
        <v>0.17771084337349397</v>
      </c>
      <c r="Q201" s="264">
        <f t="shared" si="7"/>
        <v>0.17771084337349397</v>
      </c>
      <c r="R201" s="265">
        <v>0.33</v>
      </c>
      <c r="S201" s="652" t="s">
        <v>914</v>
      </c>
      <c r="T201" s="653"/>
      <c r="U201" s="653"/>
      <c r="V201" s="654"/>
      <c r="W201" s="266">
        <v>0</v>
      </c>
      <c r="X201" s="266" t="s">
        <v>915</v>
      </c>
      <c r="Y201" s="358" t="s">
        <v>52</v>
      </c>
      <c r="Z201" s="306">
        <v>0</v>
      </c>
      <c r="AA201" s="266">
        <v>0.5</v>
      </c>
      <c r="AB201" s="825" t="s">
        <v>916</v>
      </c>
      <c r="AC201" s="828" t="s">
        <v>917</v>
      </c>
      <c r="AD201" s="306">
        <v>0</v>
      </c>
      <c r="AE201" s="522">
        <v>75</v>
      </c>
      <c r="AF201" s="541" t="s">
        <v>2451</v>
      </c>
      <c r="AG201" s="554" t="s">
        <v>2450</v>
      </c>
      <c r="AH201" s="267"/>
      <c r="AI201" s="268"/>
      <c r="AJ201" s="268"/>
      <c r="AK201" s="269"/>
    </row>
    <row r="202" spans="1:37" ht="43.15" hidden="1" customHeight="1" outlineLevel="1" x14ac:dyDescent="0.2">
      <c r="A202" s="651"/>
      <c r="B202" s="580"/>
      <c r="C202" s="580"/>
      <c r="D202" s="746"/>
      <c r="E202" s="672"/>
      <c r="F202" s="672"/>
      <c r="G202" s="580"/>
      <c r="H202" s="196" t="s">
        <v>918</v>
      </c>
      <c r="I202" s="580"/>
      <c r="J202" s="246" t="s">
        <v>919</v>
      </c>
      <c r="K202" s="246" t="s">
        <v>52</v>
      </c>
      <c r="L202" s="306">
        <v>0</v>
      </c>
      <c r="M202" s="263">
        <v>44593</v>
      </c>
      <c r="N202" s="263">
        <v>44925</v>
      </c>
      <c r="O202" s="263">
        <v>44652</v>
      </c>
      <c r="P202" s="264">
        <f>+(+_xlfn.DAYS(M202,O202))/(+_xlfn.DAYS(M202,N202))</f>
        <v>0.17771084337349397</v>
      </c>
      <c r="Q202" s="264">
        <f>+IF(P202&gt;=100,100,IF(P202&lt;=0,0,P202))</f>
        <v>0.17771084337349397</v>
      </c>
      <c r="R202" s="265">
        <v>1</v>
      </c>
      <c r="S202" s="266">
        <v>0.25</v>
      </c>
      <c r="T202" s="266">
        <v>0.5</v>
      </c>
      <c r="U202" s="266">
        <v>0.75</v>
      </c>
      <c r="V202" s="266">
        <v>1</v>
      </c>
      <c r="W202" s="266">
        <v>0</v>
      </c>
      <c r="X202" s="266"/>
      <c r="Y202" s="358" t="s">
        <v>52</v>
      </c>
      <c r="Z202" s="306">
        <v>0</v>
      </c>
      <c r="AA202" s="266">
        <v>0</v>
      </c>
      <c r="AB202" s="826"/>
      <c r="AC202" s="829"/>
      <c r="AD202" s="306">
        <v>0</v>
      </c>
      <c r="AE202" s="522">
        <v>0</v>
      </c>
      <c r="AF202" s="268" t="s">
        <v>2452</v>
      </c>
      <c r="AG202" s="268" t="s">
        <v>52</v>
      </c>
      <c r="AH202" s="267"/>
      <c r="AI202" s="268"/>
      <c r="AJ202" s="268"/>
      <c r="AK202" s="269"/>
    </row>
    <row r="203" spans="1:37" ht="46.5" hidden="1" customHeight="1" outlineLevel="1" x14ac:dyDescent="0.2">
      <c r="A203" s="651"/>
      <c r="B203" s="580"/>
      <c r="C203" s="580"/>
      <c r="D203" s="746"/>
      <c r="E203" s="672"/>
      <c r="F203" s="672"/>
      <c r="G203" s="580"/>
      <c r="H203" s="196" t="s">
        <v>920</v>
      </c>
      <c r="I203" s="580"/>
      <c r="J203" s="246" t="s">
        <v>921</v>
      </c>
      <c r="K203" s="246" t="s">
        <v>52</v>
      </c>
      <c r="L203" s="306">
        <v>0</v>
      </c>
      <c r="M203" s="263">
        <v>44593</v>
      </c>
      <c r="N203" s="263">
        <v>44925</v>
      </c>
      <c r="O203" s="263">
        <v>44652</v>
      </c>
      <c r="P203" s="264">
        <f>+(+_xlfn.DAYS(M203,O203))/(+_xlfn.DAYS(M203,N203))</f>
        <v>0.17771084337349397</v>
      </c>
      <c r="Q203" s="264">
        <f>+IF(P203&gt;=100,100,IF(P203&lt;=0,0,P203))</f>
        <v>0.17771084337349397</v>
      </c>
      <c r="R203" s="265">
        <v>1</v>
      </c>
      <c r="S203" s="266">
        <v>0.25</v>
      </c>
      <c r="T203" s="266">
        <v>0.5</v>
      </c>
      <c r="U203" s="266">
        <v>0.75</v>
      </c>
      <c r="V203" s="266">
        <v>1</v>
      </c>
      <c r="W203" s="266">
        <v>0</v>
      </c>
      <c r="X203" s="266"/>
      <c r="Y203" s="358" t="s">
        <v>52</v>
      </c>
      <c r="Z203" s="306">
        <v>0</v>
      </c>
      <c r="AA203" s="266">
        <v>0</v>
      </c>
      <c r="AB203" s="827"/>
      <c r="AC203" s="830"/>
      <c r="AD203" s="306">
        <v>0</v>
      </c>
      <c r="AE203" s="522">
        <v>0</v>
      </c>
      <c r="AF203" s="268" t="s">
        <v>2452</v>
      </c>
      <c r="AG203" s="268" t="s">
        <v>52</v>
      </c>
      <c r="AH203" s="267"/>
      <c r="AI203" s="268"/>
      <c r="AJ203" s="268"/>
      <c r="AK203" s="269"/>
    </row>
    <row r="204" spans="1:37" ht="93.6" hidden="1" customHeight="1" outlineLevel="1" x14ac:dyDescent="0.2">
      <c r="A204" s="651"/>
      <c r="B204" s="580"/>
      <c r="C204" s="580"/>
      <c r="D204" s="746"/>
      <c r="E204" s="672"/>
      <c r="F204" s="672"/>
      <c r="G204" s="580"/>
      <c r="H204" s="196" t="s">
        <v>922</v>
      </c>
      <c r="I204" s="580"/>
      <c r="J204" s="246" t="s">
        <v>923</v>
      </c>
      <c r="K204" s="302" t="s">
        <v>924</v>
      </c>
      <c r="L204" s="302" t="s">
        <v>924</v>
      </c>
      <c r="M204" s="263">
        <v>44593</v>
      </c>
      <c r="N204" s="263">
        <v>44925</v>
      </c>
      <c r="O204" s="263">
        <v>44652</v>
      </c>
      <c r="P204" s="264">
        <f t="shared" si="6"/>
        <v>0.17771084337349397</v>
      </c>
      <c r="Q204" s="265">
        <v>0.2636</v>
      </c>
      <c r="R204" s="831" t="s">
        <v>925</v>
      </c>
      <c r="S204" s="832"/>
      <c r="T204" s="831" t="s">
        <v>925</v>
      </c>
      <c r="U204" s="832"/>
      <c r="V204" s="394"/>
      <c r="W204" s="335">
        <v>1</v>
      </c>
      <c r="X204" s="266" t="s">
        <v>926</v>
      </c>
      <c r="Y204" s="363" t="s">
        <v>927</v>
      </c>
      <c r="Z204" s="306">
        <v>0</v>
      </c>
      <c r="AA204" s="266">
        <v>1</v>
      </c>
      <c r="AB204" s="268" t="s">
        <v>928</v>
      </c>
      <c r="AC204" s="453" t="s">
        <v>929</v>
      </c>
      <c r="AD204" s="306">
        <v>0</v>
      </c>
      <c r="AE204" s="522">
        <v>100</v>
      </c>
      <c r="AF204" s="541" t="s">
        <v>2454</v>
      </c>
      <c r="AG204" s="453" t="s">
        <v>2453</v>
      </c>
      <c r="AH204" s="267"/>
      <c r="AI204" s="268"/>
      <c r="AJ204" s="268"/>
      <c r="AK204" s="269"/>
    </row>
    <row r="205" spans="1:37" ht="93.6" hidden="1" customHeight="1" outlineLevel="1" x14ac:dyDescent="0.2">
      <c r="A205" s="651"/>
      <c r="B205" s="580"/>
      <c r="C205" s="580"/>
      <c r="D205" s="746"/>
      <c r="E205" s="672"/>
      <c r="F205" s="672"/>
      <c r="G205" s="580"/>
      <c r="H205" s="196" t="s">
        <v>930</v>
      </c>
      <c r="I205" s="580"/>
      <c r="J205" s="246" t="s">
        <v>931</v>
      </c>
      <c r="K205" s="302" t="s">
        <v>924</v>
      </c>
      <c r="L205" s="302" t="s">
        <v>924</v>
      </c>
      <c r="M205" s="263">
        <v>44593</v>
      </c>
      <c r="N205" s="263">
        <v>44925</v>
      </c>
      <c r="O205" s="263">
        <v>44652</v>
      </c>
      <c r="P205" s="264">
        <f t="shared" si="6"/>
        <v>0.17771084337349397</v>
      </c>
      <c r="Q205" s="264"/>
      <c r="R205" s="265"/>
      <c r="S205" s="392"/>
      <c r="T205" s="393"/>
      <c r="U205" s="393"/>
      <c r="V205" s="394"/>
      <c r="W205" s="357">
        <v>1</v>
      </c>
      <c r="X205" s="266" t="s">
        <v>932</v>
      </c>
      <c r="Y205" s="364" t="s">
        <v>933</v>
      </c>
      <c r="Z205" s="306">
        <v>0</v>
      </c>
      <c r="AA205" s="266">
        <v>1</v>
      </c>
      <c r="AB205" s="268" t="s">
        <v>934</v>
      </c>
      <c r="AC205" s="453" t="s">
        <v>935</v>
      </c>
      <c r="AD205" s="306">
        <v>0</v>
      </c>
      <c r="AE205" s="522">
        <v>100</v>
      </c>
      <c r="AF205" s="268" t="s">
        <v>2455</v>
      </c>
      <c r="AG205" s="453" t="s">
        <v>2456</v>
      </c>
      <c r="AH205" s="267"/>
      <c r="AI205" s="268"/>
      <c r="AJ205" s="268"/>
      <c r="AK205" s="269"/>
    </row>
    <row r="206" spans="1:37" ht="65.25" hidden="1" customHeight="1" outlineLevel="1" x14ac:dyDescent="0.2">
      <c r="A206" s="651"/>
      <c r="B206" s="580"/>
      <c r="C206" s="580"/>
      <c r="D206" s="746"/>
      <c r="E206" s="672"/>
      <c r="F206" s="672"/>
      <c r="G206" s="580"/>
      <c r="H206" s="196" t="s">
        <v>936</v>
      </c>
      <c r="I206" s="580"/>
      <c r="J206" s="246" t="s">
        <v>937</v>
      </c>
      <c r="K206" s="302" t="s">
        <v>938</v>
      </c>
      <c r="L206" s="302" t="s">
        <v>938</v>
      </c>
      <c r="M206" s="263">
        <v>44593</v>
      </c>
      <c r="N206" s="263">
        <v>44925</v>
      </c>
      <c r="O206" s="263">
        <v>44652</v>
      </c>
      <c r="P206" s="264">
        <f t="shared" si="6"/>
        <v>0.17771084337349397</v>
      </c>
      <c r="Q206" s="265">
        <v>1</v>
      </c>
      <c r="R206" s="392">
        <v>1</v>
      </c>
      <c r="S206" s="393">
        <v>0</v>
      </c>
      <c r="T206" s="393">
        <v>0</v>
      </c>
      <c r="U206" s="394">
        <v>0</v>
      </c>
      <c r="V206" s="394"/>
      <c r="W206" s="266">
        <v>1</v>
      </c>
      <c r="X206" s="266" t="s">
        <v>939</v>
      </c>
      <c r="Y206" s="363" t="s">
        <v>940</v>
      </c>
      <c r="Z206" s="306">
        <v>0</v>
      </c>
      <c r="AA206" s="266">
        <v>1</v>
      </c>
      <c r="AB206" s="268" t="s">
        <v>941</v>
      </c>
      <c r="AC206" s="268" t="s">
        <v>52</v>
      </c>
      <c r="AD206" s="306">
        <v>0</v>
      </c>
      <c r="AE206" s="522">
        <v>100</v>
      </c>
      <c r="AF206" s="268" t="s">
        <v>941</v>
      </c>
      <c r="AG206" s="268" t="s">
        <v>52</v>
      </c>
      <c r="AH206" s="267"/>
      <c r="AI206" s="268"/>
      <c r="AJ206" s="268"/>
      <c r="AK206" s="269"/>
    </row>
    <row r="207" spans="1:37" ht="93.6" hidden="1" customHeight="1" outlineLevel="1" x14ac:dyDescent="0.2">
      <c r="A207" s="651"/>
      <c r="B207" s="580"/>
      <c r="C207" s="580"/>
      <c r="D207" s="746"/>
      <c r="E207" s="672"/>
      <c r="F207" s="672"/>
      <c r="G207" s="580"/>
      <c r="H207" s="196" t="s">
        <v>2457</v>
      </c>
      <c r="I207" s="580"/>
      <c r="J207" s="246" t="s">
        <v>942</v>
      </c>
      <c r="K207" s="302" t="s">
        <v>938</v>
      </c>
      <c r="L207" s="302" t="s">
        <v>938</v>
      </c>
      <c r="M207" s="263">
        <v>44593</v>
      </c>
      <c r="N207" s="263">
        <v>44925</v>
      </c>
      <c r="O207" s="263">
        <v>44652</v>
      </c>
      <c r="P207" s="264">
        <f t="shared" si="6"/>
        <v>0.17771084337349397</v>
      </c>
      <c r="Q207" s="265">
        <v>1</v>
      </c>
      <c r="R207" s="831" t="s">
        <v>943</v>
      </c>
      <c r="S207" s="832"/>
      <c r="T207" s="831" t="s">
        <v>944</v>
      </c>
      <c r="U207" s="832"/>
      <c r="V207" s="394"/>
      <c r="W207" s="266">
        <v>0.25</v>
      </c>
      <c r="X207" s="266" t="s">
        <v>945</v>
      </c>
      <c r="Y207" s="456" t="s">
        <v>946</v>
      </c>
      <c r="Z207" s="306">
        <v>0</v>
      </c>
      <c r="AA207" s="266">
        <v>0.5</v>
      </c>
      <c r="AB207" s="268" t="s">
        <v>947</v>
      </c>
      <c r="AC207" s="268" t="s">
        <v>52</v>
      </c>
      <c r="AD207" s="306">
        <v>0</v>
      </c>
      <c r="AE207" s="522">
        <v>75</v>
      </c>
      <c r="AF207" s="268" t="s">
        <v>2458</v>
      </c>
      <c r="AG207" s="268" t="s">
        <v>2459</v>
      </c>
      <c r="AH207" s="267"/>
      <c r="AI207" s="268"/>
      <c r="AJ207" s="268"/>
      <c r="AK207" s="269"/>
    </row>
    <row r="208" spans="1:37" ht="56.25" hidden="1" customHeight="1" outlineLevel="1" x14ac:dyDescent="0.2">
      <c r="A208" s="651"/>
      <c r="B208" s="580"/>
      <c r="C208" s="580"/>
      <c r="D208" s="746"/>
      <c r="E208" s="672"/>
      <c r="F208" s="671" t="s">
        <v>948</v>
      </c>
      <c r="G208" s="399" t="s">
        <v>949</v>
      </c>
      <c r="H208" s="196" t="s">
        <v>950</v>
      </c>
      <c r="I208" s="400" t="s">
        <v>951</v>
      </c>
      <c r="J208" s="246" t="s">
        <v>952</v>
      </c>
      <c r="K208" s="246" t="s">
        <v>117</v>
      </c>
      <c r="L208" s="306">
        <v>0</v>
      </c>
      <c r="M208" s="263">
        <v>44593</v>
      </c>
      <c r="N208" s="263">
        <v>44925</v>
      </c>
      <c r="O208" s="263">
        <v>44652</v>
      </c>
      <c r="P208" s="264">
        <f t="shared" si="6"/>
        <v>0.17771084337349397</v>
      </c>
      <c r="Q208" s="264">
        <f t="shared" si="7"/>
        <v>0.17771084337349397</v>
      </c>
      <c r="R208" s="265">
        <v>0.1</v>
      </c>
      <c r="S208" s="266">
        <v>0.06</v>
      </c>
      <c r="T208" s="266">
        <v>7.0000000000000007E-2</v>
      </c>
      <c r="U208" s="266">
        <v>0.08</v>
      </c>
      <c r="V208" s="266">
        <v>0.1</v>
      </c>
      <c r="W208" s="266">
        <v>0</v>
      </c>
      <c r="X208" s="266" t="s">
        <v>953</v>
      </c>
      <c r="Y208" s="457" t="s">
        <v>954</v>
      </c>
      <c r="Z208" s="306">
        <v>0</v>
      </c>
      <c r="AA208" s="266">
        <v>0.5</v>
      </c>
      <c r="AB208" s="268" t="s">
        <v>955</v>
      </c>
      <c r="AC208" s="268" t="s">
        <v>52</v>
      </c>
      <c r="AD208" s="306">
        <v>0</v>
      </c>
      <c r="AE208" s="522">
        <v>75</v>
      </c>
      <c r="AF208" s="268" t="s">
        <v>2460</v>
      </c>
      <c r="AG208" s="268" t="s">
        <v>52</v>
      </c>
      <c r="AH208" s="267"/>
      <c r="AI208" s="268"/>
      <c r="AJ208" s="268"/>
      <c r="AK208" s="269"/>
    </row>
    <row r="209" spans="1:37" ht="99.75" hidden="1" customHeight="1" outlineLevel="1" x14ac:dyDescent="0.2">
      <c r="A209" s="651"/>
      <c r="B209" s="580"/>
      <c r="C209" s="580"/>
      <c r="D209" s="746"/>
      <c r="E209" s="672"/>
      <c r="F209" s="672"/>
      <c r="G209" s="579" t="s">
        <v>956</v>
      </c>
      <c r="H209" s="196" t="s">
        <v>957</v>
      </c>
      <c r="I209" s="579" t="s">
        <v>951</v>
      </c>
      <c r="J209" s="246" t="s">
        <v>958</v>
      </c>
      <c r="K209" s="302">
        <v>88250000</v>
      </c>
      <c r="L209" s="306">
        <v>0</v>
      </c>
      <c r="M209" s="263">
        <v>44593</v>
      </c>
      <c r="N209" s="263">
        <v>44925</v>
      </c>
      <c r="O209" s="263">
        <v>44652</v>
      </c>
      <c r="P209" s="264">
        <f t="shared" si="6"/>
        <v>0.17771084337349397</v>
      </c>
      <c r="Q209" s="264">
        <f t="shared" si="7"/>
        <v>0.17771084337349397</v>
      </c>
      <c r="R209" s="265">
        <v>1</v>
      </c>
      <c r="S209" s="266">
        <v>0.25</v>
      </c>
      <c r="T209" s="266">
        <v>0.5</v>
      </c>
      <c r="U209" s="266">
        <v>0.75</v>
      </c>
      <c r="V209" s="266">
        <v>1</v>
      </c>
      <c r="W209" s="266">
        <v>0.25</v>
      </c>
      <c r="X209" s="266" t="s">
        <v>959</v>
      </c>
      <c r="Y209" s="331" t="s">
        <v>104</v>
      </c>
      <c r="Z209" s="306">
        <v>0</v>
      </c>
      <c r="AA209" s="266">
        <v>0.5</v>
      </c>
      <c r="AB209" s="268" t="s">
        <v>960</v>
      </c>
      <c r="AC209" s="453" t="s">
        <v>961</v>
      </c>
      <c r="AD209" s="306">
        <v>0</v>
      </c>
      <c r="AE209" s="522">
        <v>75</v>
      </c>
      <c r="AF209" s="543" t="s">
        <v>2464</v>
      </c>
      <c r="AG209" s="542" t="s">
        <v>961</v>
      </c>
      <c r="AH209" s="267"/>
      <c r="AI209" s="268"/>
      <c r="AJ209" s="268"/>
      <c r="AK209" s="269"/>
    </row>
    <row r="210" spans="1:37" ht="93.75" hidden="1" customHeight="1" outlineLevel="1" x14ac:dyDescent="0.2">
      <c r="A210" s="651"/>
      <c r="B210" s="580"/>
      <c r="C210" s="580"/>
      <c r="D210" s="746"/>
      <c r="E210" s="672"/>
      <c r="F210" s="672"/>
      <c r="G210" s="581"/>
      <c r="H210" s="196" t="s">
        <v>962</v>
      </c>
      <c r="I210" s="580"/>
      <c r="J210" s="246" t="s">
        <v>958</v>
      </c>
      <c r="K210" s="246" t="s">
        <v>52</v>
      </c>
      <c r="L210" s="306">
        <v>0</v>
      </c>
      <c r="M210" s="263">
        <v>44593</v>
      </c>
      <c r="N210" s="263">
        <v>44925</v>
      </c>
      <c r="O210" s="263">
        <v>44652</v>
      </c>
      <c r="P210" s="264">
        <f t="shared" si="6"/>
        <v>0.17771084337349397</v>
      </c>
      <c r="Q210" s="264">
        <f t="shared" si="7"/>
        <v>0.17771084337349397</v>
      </c>
      <c r="R210" s="265">
        <v>1</v>
      </c>
      <c r="S210" s="266">
        <v>0.25</v>
      </c>
      <c r="T210" s="266">
        <v>0.5</v>
      </c>
      <c r="U210" s="266">
        <v>0.75</v>
      </c>
      <c r="V210" s="266">
        <v>1</v>
      </c>
      <c r="W210" s="266">
        <v>0.25</v>
      </c>
      <c r="X210" s="266" t="s">
        <v>963</v>
      </c>
      <c r="Y210" s="359" t="s">
        <v>961</v>
      </c>
      <c r="Z210" s="306">
        <v>0</v>
      </c>
      <c r="AA210" s="266">
        <v>0.5</v>
      </c>
      <c r="AB210" s="268" t="s">
        <v>964</v>
      </c>
      <c r="AC210" s="453" t="s">
        <v>961</v>
      </c>
      <c r="AD210" s="306">
        <v>0</v>
      </c>
      <c r="AE210" s="522">
        <v>75</v>
      </c>
      <c r="AF210" s="268" t="s">
        <v>2465</v>
      </c>
      <c r="AG210" s="453" t="s">
        <v>961</v>
      </c>
      <c r="AH210" s="267"/>
      <c r="AI210" s="268"/>
      <c r="AJ210" s="268"/>
      <c r="AK210" s="269"/>
    </row>
    <row r="211" spans="1:37" ht="118.5" hidden="1" customHeight="1" outlineLevel="1" x14ac:dyDescent="0.2">
      <c r="A211" s="651"/>
      <c r="B211" s="580"/>
      <c r="C211" s="580"/>
      <c r="D211" s="746"/>
      <c r="E211" s="672"/>
      <c r="F211" s="672"/>
      <c r="G211" s="579" t="s">
        <v>965</v>
      </c>
      <c r="H211" s="196" t="s">
        <v>966</v>
      </c>
      <c r="I211" s="580"/>
      <c r="J211" s="246" t="s">
        <v>2489</v>
      </c>
      <c r="K211" s="302">
        <v>49000000</v>
      </c>
      <c r="L211" s="306">
        <v>0</v>
      </c>
      <c r="M211" s="263">
        <v>44593</v>
      </c>
      <c r="N211" s="263">
        <v>44925</v>
      </c>
      <c r="O211" s="263">
        <v>44652</v>
      </c>
      <c r="P211" s="264">
        <f t="shared" si="6"/>
        <v>0.17771084337349397</v>
      </c>
      <c r="Q211" s="264">
        <f t="shared" si="7"/>
        <v>0.17771084337349397</v>
      </c>
      <c r="R211" s="265">
        <v>1</v>
      </c>
      <c r="S211" s="266">
        <v>0.25</v>
      </c>
      <c r="T211" s="266">
        <v>0.5</v>
      </c>
      <c r="U211" s="266">
        <v>0.75</v>
      </c>
      <c r="V211" s="266">
        <v>1</v>
      </c>
      <c r="W211" s="266">
        <v>0.25</v>
      </c>
      <c r="X211" s="266" t="s">
        <v>967</v>
      </c>
      <c r="Y211" s="333" t="s">
        <v>968</v>
      </c>
      <c r="Z211" s="306">
        <v>0</v>
      </c>
      <c r="AA211" s="266">
        <v>0.5</v>
      </c>
      <c r="AB211" s="268" t="s">
        <v>969</v>
      </c>
      <c r="AC211" s="453" t="s">
        <v>970</v>
      </c>
      <c r="AD211" s="306">
        <v>0</v>
      </c>
      <c r="AE211" s="522">
        <v>70</v>
      </c>
      <c r="AF211" s="268" t="s">
        <v>2466</v>
      </c>
      <c r="AG211" s="453" t="s">
        <v>2467</v>
      </c>
      <c r="AH211" s="267"/>
      <c r="AI211" s="268"/>
      <c r="AJ211" s="268"/>
      <c r="AK211" s="269"/>
    </row>
    <row r="212" spans="1:37" ht="75" hidden="1" customHeight="1" outlineLevel="1" x14ac:dyDescent="0.2">
      <c r="A212" s="651"/>
      <c r="B212" s="580"/>
      <c r="C212" s="580"/>
      <c r="D212" s="746"/>
      <c r="E212" s="672"/>
      <c r="F212" s="672"/>
      <c r="G212" s="581"/>
      <c r="H212" s="196" t="s">
        <v>971</v>
      </c>
      <c r="I212" s="580"/>
      <c r="J212" s="246" t="s">
        <v>972</v>
      </c>
      <c r="K212" s="246" t="s">
        <v>52</v>
      </c>
      <c r="L212" s="306">
        <v>0</v>
      </c>
      <c r="M212" s="263">
        <v>44593</v>
      </c>
      <c r="N212" s="263">
        <v>44925</v>
      </c>
      <c r="O212" s="263">
        <v>44652</v>
      </c>
      <c r="P212" s="264">
        <f t="shared" si="6"/>
        <v>0.17771084337349397</v>
      </c>
      <c r="Q212" s="264">
        <f t="shared" si="7"/>
        <v>0.17771084337349397</v>
      </c>
      <c r="R212" s="265">
        <v>1</v>
      </c>
      <c r="S212" s="266">
        <v>0.25</v>
      </c>
      <c r="T212" s="266">
        <v>0.5</v>
      </c>
      <c r="U212" s="266">
        <v>0.75</v>
      </c>
      <c r="V212" s="266">
        <v>1</v>
      </c>
      <c r="W212" s="266">
        <v>0.25</v>
      </c>
      <c r="X212" s="266" t="s">
        <v>973</v>
      </c>
      <c r="Y212" s="331" t="s">
        <v>974</v>
      </c>
      <c r="Z212" s="306">
        <v>0</v>
      </c>
      <c r="AA212" s="266">
        <v>0.5</v>
      </c>
      <c r="AB212" s="268" t="s">
        <v>975</v>
      </c>
      <c r="AC212" s="268" t="s">
        <v>52</v>
      </c>
      <c r="AD212" s="306">
        <v>0</v>
      </c>
      <c r="AE212" s="522">
        <v>75</v>
      </c>
      <c r="AF212" s="268" t="s">
        <v>2468</v>
      </c>
      <c r="AG212" s="268" t="s">
        <v>2524</v>
      </c>
      <c r="AH212" s="267"/>
      <c r="AI212" s="268"/>
      <c r="AJ212" s="268"/>
      <c r="AK212" s="269"/>
    </row>
    <row r="213" spans="1:37" ht="46.5" hidden="1" customHeight="1" outlineLevel="1" x14ac:dyDescent="0.2">
      <c r="A213" s="651"/>
      <c r="B213" s="580"/>
      <c r="C213" s="580"/>
      <c r="D213" s="746"/>
      <c r="E213" s="672"/>
      <c r="F213" s="672"/>
      <c r="G213" s="579" t="s">
        <v>976</v>
      </c>
      <c r="H213" s="196" t="s">
        <v>977</v>
      </c>
      <c r="I213" s="580"/>
      <c r="J213" s="246" t="s">
        <v>978</v>
      </c>
      <c r="K213" s="302">
        <v>62300000</v>
      </c>
      <c r="L213" s="306">
        <v>0</v>
      </c>
      <c r="M213" s="263">
        <v>44593</v>
      </c>
      <c r="N213" s="263">
        <v>44925</v>
      </c>
      <c r="O213" s="263">
        <v>44652</v>
      </c>
      <c r="P213" s="264">
        <f t="shared" si="6"/>
        <v>0.17771084337349397</v>
      </c>
      <c r="Q213" s="264">
        <f t="shared" si="7"/>
        <v>0.17771084337349397</v>
      </c>
      <c r="R213" s="265">
        <v>1</v>
      </c>
      <c r="S213" s="266">
        <v>0.25</v>
      </c>
      <c r="T213" s="266">
        <v>0.5</v>
      </c>
      <c r="U213" s="266">
        <v>0.75</v>
      </c>
      <c r="V213" s="266">
        <v>1</v>
      </c>
      <c r="W213" s="266">
        <v>0.25</v>
      </c>
      <c r="X213" s="266" t="s">
        <v>979</v>
      </c>
      <c r="Y213" s="331" t="s">
        <v>974</v>
      </c>
      <c r="Z213" s="306">
        <v>0</v>
      </c>
      <c r="AA213" s="266">
        <v>0.5</v>
      </c>
      <c r="AB213" s="268" t="s">
        <v>980</v>
      </c>
      <c r="AC213" s="453" t="s">
        <v>981</v>
      </c>
      <c r="AD213" s="306">
        <v>0</v>
      </c>
      <c r="AE213" s="522">
        <v>75</v>
      </c>
      <c r="AF213" s="9" t="s">
        <v>2469</v>
      </c>
      <c r="AG213" s="268" t="s">
        <v>2524</v>
      </c>
      <c r="AH213" s="267"/>
      <c r="AI213" s="268"/>
      <c r="AJ213" s="268"/>
      <c r="AK213" s="269"/>
    </row>
    <row r="214" spans="1:37" ht="46.5" hidden="1" customHeight="1" outlineLevel="1" x14ac:dyDescent="0.2">
      <c r="A214" s="651"/>
      <c r="B214" s="580"/>
      <c r="C214" s="580"/>
      <c r="D214" s="746"/>
      <c r="E214" s="672"/>
      <c r="F214" s="672"/>
      <c r="G214" s="580"/>
      <c r="H214" s="196" t="s">
        <v>982</v>
      </c>
      <c r="I214" s="580"/>
      <c r="J214" s="246" t="s">
        <v>978</v>
      </c>
      <c r="K214" s="246" t="s">
        <v>52</v>
      </c>
      <c r="L214" s="306">
        <v>0</v>
      </c>
      <c r="M214" s="263">
        <v>44593</v>
      </c>
      <c r="N214" s="263">
        <v>44925</v>
      </c>
      <c r="O214" s="263">
        <v>44652</v>
      </c>
      <c r="P214" s="264">
        <f t="shared" si="6"/>
        <v>0.17771084337349397</v>
      </c>
      <c r="Q214" s="264">
        <f t="shared" si="7"/>
        <v>0.17771084337349397</v>
      </c>
      <c r="R214" s="265">
        <v>1</v>
      </c>
      <c r="S214" s="266">
        <v>0.25</v>
      </c>
      <c r="T214" s="266">
        <v>0.5</v>
      </c>
      <c r="U214" s="266">
        <v>0.75</v>
      </c>
      <c r="V214" s="266">
        <v>1</v>
      </c>
      <c r="W214" s="266">
        <v>0.25</v>
      </c>
      <c r="X214" s="266" t="s">
        <v>983</v>
      </c>
      <c r="Y214" s="331" t="s">
        <v>974</v>
      </c>
      <c r="Z214" s="306">
        <v>0</v>
      </c>
      <c r="AA214" s="266">
        <v>0.5</v>
      </c>
      <c r="AB214" s="268" t="s">
        <v>984</v>
      </c>
      <c r="AC214" s="453" t="s">
        <v>985</v>
      </c>
      <c r="AD214" s="306">
        <v>0</v>
      </c>
      <c r="AE214" s="522">
        <v>75</v>
      </c>
      <c r="AF214" s="9" t="s">
        <v>2461</v>
      </c>
      <c r="AG214" s="268" t="s">
        <v>2524</v>
      </c>
      <c r="AH214" s="267"/>
      <c r="AI214" s="268"/>
      <c r="AJ214" s="268"/>
      <c r="AK214" s="269"/>
    </row>
    <row r="215" spans="1:37" ht="46.5" hidden="1" customHeight="1" outlineLevel="1" x14ac:dyDescent="0.2">
      <c r="A215" s="651"/>
      <c r="B215" s="580"/>
      <c r="C215" s="580"/>
      <c r="D215" s="746"/>
      <c r="E215" s="672"/>
      <c r="F215" s="672"/>
      <c r="G215" s="580"/>
      <c r="H215" s="196" t="s">
        <v>986</v>
      </c>
      <c r="I215" s="580"/>
      <c r="J215" s="246"/>
      <c r="K215" s="246" t="s">
        <v>52</v>
      </c>
      <c r="L215" s="306">
        <v>0</v>
      </c>
      <c r="M215" s="263"/>
      <c r="N215" s="263"/>
      <c r="O215" s="263"/>
      <c r="P215" s="264"/>
      <c r="Q215" s="264"/>
      <c r="R215" s="265"/>
      <c r="S215" s="266"/>
      <c r="T215" s="266"/>
      <c r="U215" s="266"/>
      <c r="V215" s="266"/>
      <c r="W215" s="266">
        <v>0</v>
      </c>
      <c r="X215" s="266" t="s">
        <v>52</v>
      </c>
      <c r="Y215" s="331"/>
      <c r="Z215" s="306">
        <v>0</v>
      </c>
      <c r="AA215" s="266">
        <v>1</v>
      </c>
      <c r="AB215" s="268" t="s">
        <v>987</v>
      </c>
      <c r="AC215" s="453" t="s">
        <v>988</v>
      </c>
      <c r="AD215" s="306">
        <v>0</v>
      </c>
      <c r="AE215" s="522">
        <v>100</v>
      </c>
      <c r="AF215" s="9" t="s">
        <v>2463</v>
      </c>
      <c r="AG215" s="268" t="s">
        <v>2524</v>
      </c>
      <c r="AH215" s="267"/>
      <c r="AI215" s="268"/>
      <c r="AJ215" s="268"/>
      <c r="AK215" s="269"/>
    </row>
    <row r="216" spans="1:37" ht="54.6" hidden="1" customHeight="1" outlineLevel="1" x14ac:dyDescent="0.2">
      <c r="A216" s="651"/>
      <c r="B216" s="580"/>
      <c r="C216" s="580"/>
      <c r="D216" s="746"/>
      <c r="E216" s="672"/>
      <c r="F216" s="672"/>
      <c r="G216" s="581"/>
      <c r="H216" s="196" t="s">
        <v>989</v>
      </c>
      <c r="I216" s="580"/>
      <c r="J216" s="246" t="s">
        <v>978</v>
      </c>
      <c r="K216" s="246" t="s">
        <v>52</v>
      </c>
      <c r="L216" s="306">
        <v>0</v>
      </c>
      <c r="M216" s="263">
        <v>44593</v>
      </c>
      <c r="N216" s="263">
        <v>44925</v>
      </c>
      <c r="O216" s="263">
        <v>44652</v>
      </c>
      <c r="P216" s="264">
        <f t="shared" si="6"/>
        <v>0.17771084337349397</v>
      </c>
      <c r="Q216" s="264">
        <f t="shared" si="7"/>
        <v>0.17771084337349397</v>
      </c>
      <c r="R216" s="265">
        <v>1</v>
      </c>
      <c r="S216" s="266">
        <v>0.25</v>
      </c>
      <c r="T216" s="266">
        <v>0.5</v>
      </c>
      <c r="U216" s="266">
        <v>0.75</v>
      </c>
      <c r="V216" s="266">
        <v>1</v>
      </c>
      <c r="W216" s="266">
        <v>0</v>
      </c>
      <c r="X216" s="266" t="s">
        <v>974</v>
      </c>
      <c r="Y216" s="331" t="s">
        <v>974</v>
      </c>
      <c r="Z216" s="306">
        <v>0</v>
      </c>
      <c r="AA216" s="266">
        <v>0.5</v>
      </c>
      <c r="AB216" s="268" t="s">
        <v>990</v>
      </c>
      <c r="AC216" s="453" t="s">
        <v>991</v>
      </c>
      <c r="AD216" s="306">
        <v>0</v>
      </c>
      <c r="AE216" s="522">
        <v>75</v>
      </c>
      <c r="AF216" s="9" t="s">
        <v>2462</v>
      </c>
      <c r="AG216" s="268" t="s">
        <v>2524</v>
      </c>
      <c r="AH216" s="267"/>
      <c r="AI216" s="268"/>
      <c r="AJ216" s="268"/>
      <c r="AK216" s="269"/>
    </row>
    <row r="217" spans="1:37" ht="171" hidden="1" customHeight="1" outlineLevel="1" x14ac:dyDescent="0.2">
      <c r="A217" s="651"/>
      <c r="B217" s="580"/>
      <c r="C217" s="580"/>
      <c r="D217" s="746"/>
      <c r="E217" s="672"/>
      <c r="F217" s="672"/>
      <c r="G217" s="575" t="s">
        <v>992</v>
      </c>
      <c r="H217" s="196" t="s">
        <v>993</v>
      </c>
      <c r="I217" s="580"/>
      <c r="J217" s="246"/>
      <c r="K217" s="246" t="s">
        <v>52</v>
      </c>
      <c r="L217" s="306">
        <v>0</v>
      </c>
      <c r="M217" s="263">
        <v>44593</v>
      </c>
      <c r="N217" s="263">
        <v>44925</v>
      </c>
      <c r="O217" s="263">
        <v>44652</v>
      </c>
      <c r="P217" s="264">
        <f t="shared" si="6"/>
        <v>0.17771084337349397</v>
      </c>
      <c r="Q217" s="264">
        <f t="shared" si="7"/>
        <v>0.17771084337349397</v>
      </c>
      <c r="R217" s="265">
        <v>1</v>
      </c>
      <c r="S217" s="266">
        <v>0.25</v>
      </c>
      <c r="T217" s="266">
        <v>0.5</v>
      </c>
      <c r="U217" s="266">
        <v>0.75</v>
      </c>
      <c r="V217" s="266">
        <v>1</v>
      </c>
      <c r="W217" s="266">
        <v>0.4</v>
      </c>
      <c r="X217" s="266" t="s">
        <v>994</v>
      </c>
      <c r="Y217" s="360" t="s">
        <v>888</v>
      </c>
      <c r="Z217" s="306">
        <v>0</v>
      </c>
      <c r="AA217" s="266">
        <v>0.6</v>
      </c>
      <c r="AB217" s="268" t="s">
        <v>995</v>
      </c>
      <c r="AC217" s="453" t="s">
        <v>996</v>
      </c>
      <c r="AD217" s="306">
        <v>0</v>
      </c>
      <c r="AE217" s="522">
        <v>75</v>
      </c>
      <c r="AF217" s="9" t="s">
        <v>2470</v>
      </c>
      <c r="AG217" s="453" t="s">
        <v>2471</v>
      </c>
      <c r="AH217" s="267"/>
      <c r="AI217" s="268"/>
      <c r="AJ217" s="268"/>
      <c r="AK217" s="269"/>
    </row>
    <row r="218" spans="1:37" ht="46.5" hidden="1" customHeight="1" outlineLevel="1" x14ac:dyDescent="0.2">
      <c r="A218" s="651"/>
      <c r="B218" s="580"/>
      <c r="C218" s="580"/>
      <c r="D218" s="746"/>
      <c r="E218" s="672"/>
      <c r="F218" s="672"/>
      <c r="G218" s="576"/>
      <c r="H218" s="196" t="s">
        <v>997</v>
      </c>
      <c r="I218" s="580"/>
      <c r="J218" s="246" t="s">
        <v>998</v>
      </c>
      <c r="K218" s="302">
        <v>14000000</v>
      </c>
      <c r="L218" s="306">
        <v>0</v>
      </c>
      <c r="M218" s="263">
        <v>44593</v>
      </c>
      <c r="N218" s="263">
        <v>44925</v>
      </c>
      <c r="O218" s="263">
        <v>44652</v>
      </c>
      <c r="P218" s="264">
        <f t="shared" si="6"/>
        <v>0.17771084337349397</v>
      </c>
      <c r="Q218" s="264">
        <f t="shared" si="7"/>
        <v>0.17771084337349397</v>
      </c>
      <c r="R218" s="265">
        <v>1</v>
      </c>
      <c r="S218" s="266">
        <v>0.25</v>
      </c>
      <c r="T218" s="266">
        <v>0.5</v>
      </c>
      <c r="U218" s="266">
        <v>0.75</v>
      </c>
      <c r="V218" s="266">
        <v>1</v>
      </c>
      <c r="W218" s="266">
        <v>0.1</v>
      </c>
      <c r="X218" s="266" t="s">
        <v>999</v>
      </c>
      <c r="Y218" s="360" t="s">
        <v>888</v>
      </c>
      <c r="Z218" s="306">
        <v>0</v>
      </c>
      <c r="AA218" s="266">
        <v>0.1</v>
      </c>
      <c r="AB218" s="268" t="s">
        <v>999</v>
      </c>
      <c r="AC218" s="268" t="s">
        <v>52</v>
      </c>
      <c r="AD218" s="306">
        <v>0</v>
      </c>
      <c r="AE218" s="522">
        <v>30</v>
      </c>
      <c r="AF218" s="9" t="s">
        <v>2472</v>
      </c>
      <c r="AG218" s="268" t="s">
        <v>52</v>
      </c>
      <c r="AH218" s="267"/>
      <c r="AI218" s="268"/>
      <c r="AJ218" s="268"/>
      <c r="AK218" s="269"/>
    </row>
    <row r="219" spans="1:37" ht="46.5" hidden="1" customHeight="1" outlineLevel="1" x14ac:dyDescent="0.2">
      <c r="A219" s="651"/>
      <c r="B219" s="580"/>
      <c r="C219" s="580"/>
      <c r="D219" s="746"/>
      <c r="E219" s="672"/>
      <c r="F219" s="672"/>
      <c r="G219" s="576"/>
      <c r="H219" s="196" t="s">
        <v>1000</v>
      </c>
      <c r="I219" s="580"/>
      <c r="J219" s="246"/>
      <c r="K219" s="302"/>
      <c r="L219" s="306">
        <v>0</v>
      </c>
      <c r="M219" s="263">
        <v>44593</v>
      </c>
      <c r="N219" s="263">
        <v>44925</v>
      </c>
      <c r="O219" s="263">
        <v>44652</v>
      </c>
      <c r="P219" s="264">
        <f>+(+_xlfn.DAYS(M219,O219))/(+_xlfn.DAYS(M219,N219))</f>
        <v>0.17771084337349397</v>
      </c>
      <c r="Q219" s="264">
        <f>+IF(P219&gt;=100,100,IF(P219&lt;=0,0,P219))</f>
        <v>0.17771084337349397</v>
      </c>
      <c r="R219" s="265">
        <v>1</v>
      </c>
      <c r="S219" s="266">
        <v>0.25</v>
      </c>
      <c r="T219" s="266">
        <v>0.5</v>
      </c>
      <c r="U219" s="266">
        <v>0.75</v>
      </c>
      <c r="V219" s="266">
        <v>1</v>
      </c>
      <c r="W219" s="266">
        <v>0.35</v>
      </c>
      <c r="X219" s="266" t="s">
        <v>1001</v>
      </c>
      <c r="Y219" s="360" t="s">
        <v>888</v>
      </c>
      <c r="Z219" s="306">
        <v>0</v>
      </c>
      <c r="AA219" s="266">
        <v>0.6</v>
      </c>
      <c r="AB219" s="268" t="s">
        <v>1002</v>
      </c>
      <c r="AC219" s="453" t="s">
        <v>1003</v>
      </c>
      <c r="AD219" s="306">
        <v>0</v>
      </c>
      <c r="AE219" s="522">
        <v>75</v>
      </c>
      <c r="AF219" s="268" t="s">
        <v>1002</v>
      </c>
      <c r="AG219" s="453" t="s">
        <v>1003</v>
      </c>
      <c r="AH219" s="267"/>
      <c r="AI219" s="268"/>
      <c r="AJ219" s="268"/>
      <c r="AK219" s="269"/>
    </row>
    <row r="220" spans="1:37" ht="46.5" hidden="1" customHeight="1" outlineLevel="1" x14ac:dyDescent="0.2">
      <c r="A220" s="651"/>
      <c r="B220" s="580"/>
      <c r="C220" s="580"/>
      <c r="D220" s="746"/>
      <c r="E220" s="672"/>
      <c r="F220" s="672"/>
      <c r="G220" s="577"/>
      <c r="H220" s="196" t="s">
        <v>1004</v>
      </c>
      <c r="I220" s="580"/>
      <c r="J220" s="246"/>
      <c r="K220" s="302"/>
      <c r="L220" s="306">
        <v>0</v>
      </c>
      <c r="M220" s="263">
        <v>44593</v>
      </c>
      <c r="N220" s="263">
        <v>44925</v>
      </c>
      <c r="O220" s="263">
        <v>44652</v>
      </c>
      <c r="P220" s="264">
        <f>+(+_xlfn.DAYS(M220,O220))/(+_xlfn.DAYS(M220,N220))</f>
        <v>0.17771084337349397</v>
      </c>
      <c r="Q220" s="264">
        <f>+IF(P220&gt;=100,100,IF(P220&lt;=0,0,P220))</f>
        <v>0.17771084337349397</v>
      </c>
      <c r="R220" s="265">
        <v>1</v>
      </c>
      <c r="S220" s="266">
        <v>0.25</v>
      </c>
      <c r="T220" s="266">
        <v>0.5</v>
      </c>
      <c r="U220" s="266">
        <v>0.75</v>
      </c>
      <c r="V220" s="266">
        <v>1</v>
      </c>
      <c r="W220" s="266">
        <v>0.25</v>
      </c>
      <c r="X220" s="266" t="s">
        <v>1005</v>
      </c>
      <c r="Y220" s="360" t="s">
        <v>888</v>
      </c>
      <c r="Z220" s="306">
        <v>0</v>
      </c>
      <c r="AA220" s="266">
        <v>0.5</v>
      </c>
      <c r="AB220" s="268" t="s">
        <v>1006</v>
      </c>
      <c r="AC220" s="268" t="s">
        <v>52</v>
      </c>
      <c r="AD220" s="306">
        <v>0</v>
      </c>
      <c r="AE220" s="522">
        <v>75</v>
      </c>
      <c r="AF220" s="268" t="s">
        <v>2473</v>
      </c>
      <c r="AG220" s="544" t="s">
        <v>2474</v>
      </c>
      <c r="AH220" s="267"/>
      <c r="AI220" s="268"/>
      <c r="AJ220" s="268"/>
      <c r="AK220" s="269"/>
    </row>
    <row r="221" spans="1:37" ht="43.15" hidden="1" customHeight="1" outlineLevel="1" x14ac:dyDescent="0.2">
      <c r="A221" s="651"/>
      <c r="B221" s="580"/>
      <c r="C221" s="580"/>
      <c r="D221" s="746"/>
      <c r="E221" s="672"/>
      <c r="F221" s="672"/>
      <c r="G221" s="575" t="s">
        <v>1007</v>
      </c>
      <c r="H221" s="196" t="s">
        <v>1008</v>
      </c>
      <c r="I221" s="580"/>
      <c r="J221" s="246"/>
      <c r="K221" s="302">
        <v>59000000</v>
      </c>
      <c r="L221" s="306">
        <v>0</v>
      </c>
      <c r="M221" s="263">
        <v>44593</v>
      </c>
      <c r="N221" s="263">
        <v>44925</v>
      </c>
      <c r="O221" s="263">
        <v>44652</v>
      </c>
      <c r="P221" s="264">
        <f t="shared" si="6"/>
        <v>0.17771084337349397</v>
      </c>
      <c r="Q221" s="264">
        <f t="shared" si="7"/>
        <v>0.17771084337349397</v>
      </c>
      <c r="R221" s="265">
        <v>1</v>
      </c>
      <c r="S221" s="266">
        <v>0.25</v>
      </c>
      <c r="T221" s="266">
        <v>0.5</v>
      </c>
      <c r="U221" s="266">
        <v>0.75</v>
      </c>
      <c r="V221" s="266">
        <v>1</v>
      </c>
      <c r="W221" s="266">
        <v>0.25</v>
      </c>
      <c r="X221" s="266" t="s">
        <v>1009</v>
      </c>
      <c r="Y221" s="359" t="s">
        <v>1010</v>
      </c>
      <c r="Z221" s="306">
        <v>0</v>
      </c>
      <c r="AA221" s="266">
        <v>0.5</v>
      </c>
      <c r="AB221" s="268" t="s">
        <v>1011</v>
      </c>
      <c r="AC221" s="268" t="s">
        <v>1012</v>
      </c>
      <c r="AD221" s="306">
        <v>0</v>
      </c>
      <c r="AE221" s="522">
        <v>75</v>
      </c>
      <c r="AF221" s="266" t="s">
        <v>2475</v>
      </c>
      <c r="AG221" s="268" t="s">
        <v>1012</v>
      </c>
      <c r="AH221" s="267"/>
      <c r="AI221" s="268"/>
      <c r="AJ221" s="268"/>
      <c r="AK221" s="269"/>
    </row>
    <row r="222" spans="1:37" ht="43.15" hidden="1" customHeight="1" outlineLevel="1" x14ac:dyDescent="0.2">
      <c r="A222" s="651"/>
      <c r="B222" s="580"/>
      <c r="C222" s="580"/>
      <c r="D222" s="746"/>
      <c r="E222" s="672"/>
      <c r="F222" s="672"/>
      <c r="G222" s="576"/>
      <c r="H222" s="196" t="s">
        <v>1013</v>
      </c>
      <c r="I222" s="580"/>
      <c r="J222" s="246" t="s">
        <v>978</v>
      </c>
      <c r="K222" s="302"/>
      <c r="L222" s="306">
        <v>0</v>
      </c>
      <c r="M222" s="263">
        <v>44593</v>
      </c>
      <c r="N222" s="263">
        <v>44925</v>
      </c>
      <c r="O222" s="263">
        <v>44652</v>
      </c>
      <c r="P222" s="264">
        <f>+(+_xlfn.DAYS(M222,O222))/(+_xlfn.DAYS(M222,N222))</f>
        <v>0.17771084337349397</v>
      </c>
      <c r="Q222" s="264">
        <f>+IF(P222&gt;=100,100,IF(P222&lt;=0,0,P222))</f>
        <v>0.17771084337349397</v>
      </c>
      <c r="R222" s="265">
        <v>1</v>
      </c>
      <c r="S222" s="266">
        <v>0.25</v>
      </c>
      <c r="T222" s="266">
        <v>0.5</v>
      </c>
      <c r="U222" s="266">
        <v>0.75</v>
      </c>
      <c r="V222" s="266">
        <v>1</v>
      </c>
      <c r="W222" s="266">
        <v>0.25</v>
      </c>
      <c r="X222" s="266" t="s">
        <v>1014</v>
      </c>
      <c r="Y222" s="361" t="s">
        <v>974</v>
      </c>
      <c r="Z222" s="306">
        <v>0</v>
      </c>
      <c r="AA222" s="266">
        <v>0.5</v>
      </c>
      <c r="AB222" s="268" t="s">
        <v>1015</v>
      </c>
      <c r="AC222" s="268" t="s">
        <v>1016</v>
      </c>
      <c r="AD222" s="306">
        <v>0</v>
      </c>
      <c r="AE222" s="522">
        <v>75</v>
      </c>
      <c r="AF222" s="268" t="s">
        <v>2476</v>
      </c>
      <c r="AG222" s="268" t="s">
        <v>1016</v>
      </c>
      <c r="AH222" s="267"/>
      <c r="AI222" s="268"/>
      <c r="AJ222" s="268"/>
      <c r="AK222" s="269"/>
    </row>
    <row r="223" spans="1:37" ht="43.15" hidden="1" customHeight="1" outlineLevel="1" x14ac:dyDescent="0.2">
      <c r="A223" s="651"/>
      <c r="B223" s="580"/>
      <c r="C223" s="580"/>
      <c r="D223" s="746"/>
      <c r="E223" s="672"/>
      <c r="F223" s="672"/>
      <c r="G223" s="577"/>
      <c r="H223" s="196" t="s">
        <v>1017</v>
      </c>
      <c r="I223" s="580"/>
      <c r="J223" s="246" t="s">
        <v>1018</v>
      </c>
      <c r="K223" s="302"/>
      <c r="L223" s="306">
        <v>0</v>
      </c>
      <c r="M223" s="263">
        <v>44593</v>
      </c>
      <c r="N223" s="263">
        <v>44925</v>
      </c>
      <c r="O223" s="263">
        <v>44652</v>
      </c>
      <c r="P223" s="264">
        <f>+(+_xlfn.DAYS(M223,O223))/(+_xlfn.DAYS(M223,N223))</f>
        <v>0.17771084337349397</v>
      </c>
      <c r="Q223" s="264">
        <f>+IF(P223&gt;=100,100,IF(P223&lt;=0,0,P223))</f>
        <v>0.17771084337349397</v>
      </c>
      <c r="R223" s="265">
        <v>1</v>
      </c>
      <c r="S223" s="266">
        <v>0.25</v>
      </c>
      <c r="T223" s="266">
        <v>0.5</v>
      </c>
      <c r="U223" s="266">
        <v>0.75</v>
      </c>
      <c r="V223" s="266">
        <v>1</v>
      </c>
      <c r="W223" s="266">
        <v>0.25</v>
      </c>
      <c r="X223" s="266" t="s">
        <v>1019</v>
      </c>
      <c r="Y223" s="359" t="s">
        <v>1020</v>
      </c>
      <c r="Z223" s="306">
        <v>0</v>
      </c>
      <c r="AA223" s="266">
        <v>0.5</v>
      </c>
      <c r="AB223" s="268" t="s">
        <v>1021</v>
      </c>
      <c r="AC223" s="268" t="s">
        <v>1022</v>
      </c>
      <c r="AD223" s="306">
        <v>0</v>
      </c>
      <c r="AE223" s="522">
        <v>75</v>
      </c>
      <c r="AF223" s="268" t="s">
        <v>2477</v>
      </c>
      <c r="AG223" s="268" t="s">
        <v>1022</v>
      </c>
      <c r="AH223" s="267"/>
      <c r="AI223" s="268"/>
      <c r="AJ223" s="268"/>
      <c r="AK223" s="269"/>
    </row>
    <row r="224" spans="1:37" ht="94.5" hidden="1" customHeight="1" outlineLevel="1" x14ac:dyDescent="0.2">
      <c r="A224" s="651"/>
      <c r="B224" s="580"/>
      <c r="C224" s="580"/>
      <c r="D224" s="746"/>
      <c r="E224" s="672"/>
      <c r="F224" s="672"/>
      <c r="G224" s="579" t="s">
        <v>1023</v>
      </c>
      <c r="H224" s="196" t="s">
        <v>1024</v>
      </c>
      <c r="I224" s="580"/>
      <c r="J224" s="246"/>
      <c r="K224" s="302">
        <v>42000000</v>
      </c>
      <c r="L224" s="306">
        <v>0</v>
      </c>
      <c r="M224" s="263">
        <v>44593</v>
      </c>
      <c r="N224" s="263">
        <v>44925</v>
      </c>
      <c r="O224" s="263">
        <v>44652</v>
      </c>
      <c r="P224" s="264">
        <f>+(+_xlfn.DAYS(M224,O224))/(+_xlfn.DAYS(M224,N224))</f>
        <v>0.17771084337349397</v>
      </c>
      <c r="Q224" s="264">
        <f>+IF(P224&gt;=100,100,IF(P224&lt;=0,0,P224))</f>
        <v>0.17771084337349397</v>
      </c>
      <c r="R224" s="265">
        <v>1</v>
      </c>
      <c r="S224" s="266">
        <v>0.25</v>
      </c>
      <c r="T224" s="266">
        <v>0.5</v>
      </c>
      <c r="U224" s="266">
        <v>0.75</v>
      </c>
      <c r="V224" s="266">
        <v>1</v>
      </c>
      <c r="W224" s="266">
        <v>0.1</v>
      </c>
      <c r="X224" s="266" t="s">
        <v>1025</v>
      </c>
      <c r="Y224" s="333" t="s">
        <v>1026</v>
      </c>
      <c r="Z224" s="306">
        <v>0</v>
      </c>
      <c r="AA224" s="266">
        <v>0.5</v>
      </c>
      <c r="AB224" s="268" t="s">
        <v>1027</v>
      </c>
      <c r="AC224" s="453" t="s">
        <v>1028</v>
      </c>
      <c r="AD224" s="306">
        <v>0</v>
      </c>
      <c r="AE224" s="522">
        <v>75</v>
      </c>
      <c r="AF224" s="268" t="s">
        <v>2428</v>
      </c>
      <c r="AG224" s="546" t="s">
        <v>2478</v>
      </c>
      <c r="AH224" s="267"/>
      <c r="AI224" s="268"/>
      <c r="AJ224" s="268"/>
      <c r="AK224" s="269"/>
    </row>
    <row r="225" spans="1:37" ht="74.25" hidden="1" customHeight="1" outlineLevel="1" x14ac:dyDescent="0.2">
      <c r="A225" s="651"/>
      <c r="B225" s="580"/>
      <c r="C225" s="580"/>
      <c r="D225" s="746"/>
      <c r="E225" s="672"/>
      <c r="F225" s="672"/>
      <c r="G225" s="580"/>
      <c r="H225" s="196" t="s">
        <v>1029</v>
      </c>
      <c r="I225" s="580"/>
      <c r="J225" s="246"/>
      <c r="K225" s="302">
        <v>51500000</v>
      </c>
      <c r="L225" s="306">
        <v>0</v>
      </c>
      <c r="M225" s="263">
        <v>44593</v>
      </c>
      <c r="N225" s="263">
        <v>44925</v>
      </c>
      <c r="O225" s="263">
        <v>44652</v>
      </c>
      <c r="P225" s="264">
        <f t="shared" si="6"/>
        <v>0.17771084337349397</v>
      </c>
      <c r="Q225" s="264">
        <f t="shared" si="7"/>
        <v>0.17771084337349397</v>
      </c>
      <c r="R225" s="265">
        <v>1</v>
      </c>
      <c r="S225" s="266">
        <v>0.25</v>
      </c>
      <c r="T225" s="266">
        <v>0.5</v>
      </c>
      <c r="U225" s="266">
        <v>0.75</v>
      </c>
      <c r="V225" s="266">
        <v>1</v>
      </c>
      <c r="W225" s="266">
        <v>0.5</v>
      </c>
      <c r="X225" s="266" t="s">
        <v>1030</v>
      </c>
      <c r="Y225" s="333" t="s">
        <v>1026</v>
      </c>
      <c r="Z225" s="306">
        <v>0</v>
      </c>
      <c r="AA225" s="266">
        <v>0.5</v>
      </c>
      <c r="AB225" s="268" t="s">
        <v>1031</v>
      </c>
      <c r="AC225" s="453" t="s">
        <v>1032</v>
      </c>
      <c r="AD225" s="306">
        <v>0</v>
      </c>
      <c r="AE225" s="522">
        <v>75</v>
      </c>
      <c r="AF225" s="268" t="s">
        <v>2479</v>
      </c>
      <c r="AG225" s="546" t="s">
        <v>2480</v>
      </c>
      <c r="AH225" s="267"/>
      <c r="AI225" s="268"/>
      <c r="AJ225" s="268"/>
      <c r="AK225" s="269"/>
    </row>
    <row r="226" spans="1:37" ht="84.75" hidden="1" customHeight="1" outlineLevel="1" x14ac:dyDescent="0.3">
      <c r="A226" s="651"/>
      <c r="B226" s="580"/>
      <c r="C226" s="580"/>
      <c r="D226" s="746"/>
      <c r="E226" s="672"/>
      <c r="F226" s="672"/>
      <c r="G226" s="580"/>
      <c r="H226" s="196" t="s">
        <v>1033</v>
      </c>
      <c r="I226" s="580"/>
      <c r="J226" s="246"/>
      <c r="K226" s="246" t="s">
        <v>52</v>
      </c>
      <c r="L226" s="306">
        <v>0</v>
      </c>
      <c r="M226" s="263">
        <v>44593</v>
      </c>
      <c r="N226" s="263">
        <v>44925</v>
      </c>
      <c r="O226" s="263">
        <v>44652</v>
      </c>
      <c r="P226" s="264">
        <f>+(+_xlfn.DAYS(M226,O226))/(+_xlfn.DAYS(M226,N226))</f>
        <v>0.17771084337349397</v>
      </c>
      <c r="Q226" s="264">
        <f>+IF(P226&gt;=100,100,IF(P226&lt;=0,0,P226))</f>
        <v>0.17771084337349397</v>
      </c>
      <c r="R226" s="265">
        <v>1</v>
      </c>
      <c r="S226" s="266">
        <v>0.25</v>
      </c>
      <c r="T226" s="266">
        <v>0.5</v>
      </c>
      <c r="U226" s="266">
        <v>0.75</v>
      </c>
      <c r="V226" s="266">
        <v>1</v>
      </c>
      <c r="W226" s="266">
        <v>0.25</v>
      </c>
      <c r="X226" s="266" t="s">
        <v>1034</v>
      </c>
      <c r="Y226" s="333" t="s">
        <v>1026</v>
      </c>
      <c r="Z226" s="306">
        <v>0</v>
      </c>
      <c r="AA226" s="266">
        <v>0.5</v>
      </c>
      <c r="AB226" s="268" t="s">
        <v>1035</v>
      </c>
      <c r="AC226" s="453" t="s">
        <v>1036</v>
      </c>
      <c r="AD226" s="306">
        <v>0</v>
      </c>
      <c r="AE226" s="522">
        <v>75</v>
      </c>
      <c r="AF226" s="545" t="s">
        <v>2481</v>
      </c>
      <c r="AG226" s="555" t="s">
        <v>2482</v>
      </c>
      <c r="AH226" s="547"/>
      <c r="AI226" s="268"/>
      <c r="AJ226" s="268"/>
      <c r="AK226" s="269"/>
    </row>
    <row r="227" spans="1:37" ht="36.6" hidden="1" customHeight="1" outlineLevel="1" x14ac:dyDescent="0.2">
      <c r="A227" s="651"/>
      <c r="B227" s="580"/>
      <c r="C227" s="581"/>
      <c r="D227" s="746"/>
      <c r="E227" s="839"/>
      <c r="F227" s="839"/>
      <c r="G227" s="581"/>
      <c r="H227" s="196" t="s">
        <v>1037</v>
      </c>
      <c r="I227" s="581"/>
      <c r="J227" s="246"/>
      <c r="K227" s="246" t="s">
        <v>52</v>
      </c>
      <c r="L227" s="306">
        <v>0</v>
      </c>
      <c r="M227" s="263">
        <v>44593</v>
      </c>
      <c r="N227" s="263">
        <v>44925</v>
      </c>
      <c r="O227" s="263">
        <v>44652</v>
      </c>
      <c r="P227" s="264">
        <f t="shared" si="6"/>
        <v>0.17771084337349397</v>
      </c>
      <c r="Q227" s="264">
        <f t="shared" si="7"/>
        <v>0.17771084337349397</v>
      </c>
      <c r="R227" s="265">
        <v>1</v>
      </c>
      <c r="S227" s="266">
        <v>0.25</v>
      </c>
      <c r="T227" s="266">
        <v>0.5</v>
      </c>
      <c r="U227" s="266">
        <v>0.75</v>
      </c>
      <c r="V227" s="266">
        <v>1</v>
      </c>
      <c r="W227" s="266">
        <v>0.5</v>
      </c>
      <c r="X227" s="266" t="s">
        <v>1038</v>
      </c>
      <c r="Y227" s="333" t="s">
        <v>1026</v>
      </c>
      <c r="Z227" s="306">
        <v>0</v>
      </c>
      <c r="AA227" s="266">
        <v>0.6</v>
      </c>
      <c r="AB227" s="268" t="s">
        <v>1039</v>
      </c>
      <c r="AC227" s="453" t="s">
        <v>1040</v>
      </c>
      <c r="AD227" s="306">
        <v>0</v>
      </c>
      <c r="AE227" s="522">
        <v>75</v>
      </c>
      <c r="AF227" s="268" t="s">
        <v>2483</v>
      </c>
      <c r="AG227" s="546" t="s">
        <v>2484</v>
      </c>
      <c r="AH227" s="267"/>
      <c r="AI227" s="268"/>
      <c r="AJ227" s="268"/>
      <c r="AK227" s="269"/>
    </row>
    <row r="228" spans="1:37" ht="36.6" hidden="1" customHeight="1" outlineLevel="1" x14ac:dyDescent="0.2">
      <c r="A228" s="651"/>
      <c r="B228" s="400" t="s">
        <v>270</v>
      </c>
      <c r="C228" s="400" t="s">
        <v>281</v>
      </c>
      <c r="D228" s="747"/>
      <c r="E228" s="414" t="s">
        <v>1041</v>
      </c>
      <c r="F228" s="288" t="s">
        <v>1042</v>
      </c>
      <c r="G228" s="400" t="s">
        <v>1043</v>
      </c>
      <c r="H228" s="196" t="s">
        <v>1044</v>
      </c>
      <c r="I228" s="400" t="s">
        <v>1045</v>
      </c>
      <c r="J228" s="246" t="s">
        <v>1046</v>
      </c>
      <c r="K228" s="246" t="s">
        <v>52</v>
      </c>
      <c r="L228" s="306">
        <v>0</v>
      </c>
      <c r="M228" s="263">
        <v>44593</v>
      </c>
      <c r="N228" s="263">
        <v>44925</v>
      </c>
      <c r="O228" s="263">
        <v>44652</v>
      </c>
      <c r="P228" s="264">
        <f t="shared" si="6"/>
        <v>0.17771084337349397</v>
      </c>
      <c r="Q228" s="264">
        <f>+IF(P228&gt;=100,100,IF(P228&lt;=0,0,P228))</f>
        <v>0.17771084337349397</v>
      </c>
      <c r="R228" s="265">
        <v>0.5</v>
      </c>
      <c r="S228" s="266">
        <v>0.3</v>
      </c>
      <c r="T228" s="266">
        <v>0.35</v>
      </c>
      <c r="U228" s="266">
        <v>0.34</v>
      </c>
      <c r="V228" s="266">
        <v>0.5</v>
      </c>
      <c r="W228" s="266">
        <v>0.4</v>
      </c>
      <c r="X228" s="266" t="s">
        <v>1047</v>
      </c>
      <c r="Y228" s="359" t="s">
        <v>888</v>
      </c>
      <c r="Z228" s="306">
        <v>0</v>
      </c>
      <c r="AA228" s="266">
        <v>0.4</v>
      </c>
      <c r="AB228" s="268" t="s">
        <v>1048</v>
      </c>
      <c r="AC228" s="268" t="s">
        <v>52</v>
      </c>
      <c r="AD228" s="306">
        <v>0</v>
      </c>
      <c r="AE228" s="522">
        <v>60</v>
      </c>
      <c r="AF228" s="268" t="s">
        <v>2485</v>
      </c>
      <c r="AG228" s="268" t="s">
        <v>2486</v>
      </c>
      <c r="AH228" s="267"/>
      <c r="AI228" s="268"/>
      <c r="AJ228" s="268"/>
      <c r="AK228" s="269"/>
    </row>
    <row r="229" spans="1:37" ht="108.75" hidden="1" customHeight="1" outlineLevel="1" x14ac:dyDescent="0.2">
      <c r="A229" s="651"/>
      <c r="B229" s="575" t="s">
        <v>39</v>
      </c>
      <c r="C229" s="579" t="s">
        <v>1049</v>
      </c>
      <c r="D229" s="572" t="s">
        <v>1050</v>
      </c>
      <c r="E229" s="241" t="s">
        <v>1051</v>
      </c>
      <c r="F229" s="241" t="s">
        <v>1052</v>
      </c>
      <c r="G229" s="238" t="s">
        <v>1053</v>
      </c>
      <c r="H229" s="196" t="s">
        <v>1054</v>
      </c>
      <c r="I229" s="238" t="s">
        <v>1055</v>
      </c>
      <c r="J229" s="9" t="s">
        <v>1056</v>
      </c>
      <c r="K229" s="302">
        <v>250000000</v>
      </c>
      <c r="L229" s="306">
        <v>0</v>
      </c>
      <c r="M229" s="263">
        <v>44593</v>
      </c>
      <c r="N229" s="263">
        <v>44925</v>
      </c>
      <c r="O229" s="263">
        <v>44652</v>
      </c>
      <c r="P229" s="264">
        <f t="shared" si="6"/>
        <v>0.17771084337349397</v>
      </c>
      <c r="Q229" s="264">
        <f t="shared" si="7"/>
        <v>0.17771084337349397</v>
      </c>
      <c r="R229" s="265">
        <v>0.6</v>
      </c>
      <c r="S229" s="266">
        <v>0.3</v>
      </c>
      <c r="T229" s="266">
        <v>0.4</v>
      </c>
      <c r="U229" s="266">
        <v>0.5</v>
      </c>
      <c r="V229" s="266">
        <v>0.6</v>
      </c>
      <c r="W229" s="266">
        <v>0.2</v>
      </c>
      <c r="X229" s="266" t="s">
        <v>1057</v>
      </c>
      <c r="Y229" s="331" t="s">
        <v>1058</v>
      </c>
      <c r="Z229" s="306">
        <v>0</v>
      </c>
      <c r="AA229" s="266">
        <v>0.35</v>
      </c>
      <c r="AB229" s="268" t="s">
        <v>1059</v>
      </c>
      <c r="AC229" s="268" t="s">
        <v>1060</v>
      </c>
      <c r="AD229" s="268">
        <v>250000000</v>
      </c>
      <c r="AE229" s="522">
        <v>100</v>
      </c>
      <c r="AF229" s="268" t="s">
        <v>2345</v>
      </c>
      <c r="AG229" s="268" t="s">
        <v>52</v>
      </c>
      <c r="AH229" s="267"/>
      <c r="AI229" s="268"/>
      <c r="AJ229" s="268"/>
      <c r="AK229" s="269"/>
    </row>
    <row r="230" spans="1:37" ht="70.150000000000006" hidden="1" customHeight="1" outlineLevel="1" x14ac:dyDescent="0.2">
      <c r="A230" s="651"/>
      <c r="B230" s="576"/>
      <c r="C230" s="580"/>
      <c r="D230" s="573"/>
      <c r="E230" s="454" t="s">
        <v>1061</v>
      </c>
      <c r="F230" s="454" t="s">
        <v>175</v>
      </c>
      <c r="G230" s="238" t="s">
        <v>1062</v>
      </c>
      <c r="H230" s="196" t="s">
        <v>1063</v>
      </c>
      <c r="I230" s="451"/>
      <c r="J230" s="9" t="s">
        <v>1064</v>
      </c>
      <c r="K230" s="302">
        <v>27667500</v>
      </c>
      <c r="L230" s="306">
        <v>7500000</v>
      </c>
      <c r="M230" s="263">
        <v>44593</v>
      </c>
      <c r="N230" s="263">
        <v>44925</v>
      </c>
      <c r="O230" s="263">
        <v>44652</v>
      </c>
      <c r="P230" s="264">
        <f t="shared" si="6"/>
        <v>0.17771084337349397</v>
      </c>
      <c r="Q230" s="264">
        <f>+IF(P230&gt;=100,100,IF(P230&lt;=0,0,P230))</f>
        <v>0.17771084337349397</v>
      </c>
      <c r="R230" s="265">
        <v>1</v>
      </c>
      <c r="S230" s="266">
        <v>0.25</v>
      </c>
      <c r="T230" s="266">
        <v>0.5</v>
      </c>
      <c r="U230" s="266">
        <v>0.75</v>
      </c>
      <c r="V230" s="266">
        <v>1</v>
      </c>
      <c r="W230" s="266">
        <v>0.24</v>
      </c>
      <c r="X230" s="266" t="s">
        <v>1065</v>
      </c>
      <c r="Y230" s="331" t="s">
        <v>280</v>
      </c>
      <c r="Z230" s="306">
        <v>13000000</v>
      </c>
      <c r="AA230" s="266">
        <v>0.47</v>
      </c>
      <c r="AB230" s="268" t="s">
        <v>1066</v>
      </c>
      <c r="AC230" s="268" t="s">
        <v>1067</v>
      </c>
      <c r="AD230" s="306">
        <v>0</v>
      </c>
      <c r="AE230" s="522">
        <v>94</v>
      </c>
      <c r="AF230" s="268" t="s">
        <v>1066</v>
      </c>
      <c r="AG230" s="268" t="s">
        <v>2524</v>
      </c>
      <c r="AH230" s="267"/>
      <c r="AI230" s="268"/>
      <c r="AJ230" s="268"/>
      <c r="AK230" s="269"/>
    </row>
    <row r="231" spans="1:37" ht="90" hidden="1" customHeight="1" outlineLevel="1" x14ac:dyDescent="0.2">
      <c r="A231" s="651"/>
      <c r="B231" s="576"/>
      <c r="C231" s="580"/>
      <c r="D231" s="573"/>
      <c r="E231" s="822" t="s">
        <v>1068</v>
      </c>
      <c r="F231" s="822" t="s">
        <v>1069</v>
      </c>
      <c r="G231" s="238" t="s">
        <v>1070</v>
      </c>
      <c r="H231" s="196" t="s">
        <v>1071</v>
      </c>
      <c r="I231" s="238" t="s">
        <v>1072</v>
      </c>
      <c r="J231" s="9" t="s">
        <v>472</v>
      </c>
      <c r="K231" s="9" t="s">
        <v>472</v>
      </c>
      <c r="L231" s="306">
        <v>0</v>
      </c>
      <c r="M231" s="263">
        <v>44593</v>
      </c>
      <c r="N231" s="263">
        <v>44925</v>
      </c>
      <c r="O231" s="263">
        <v>44652</v>
      </c>
      <c r="P231" s="264">
        <f t="shared" si="6"/>
        <v>0.17771084337349397</v>
      </c>
      <c r="Q231" s="264">
        <f t="shared" si="7"/>
        <v>0.17771084337349397</v>
      </c>
      <c r="R231" s="265">
        <v>1</v>
      </c>
      <c r="S231" s="266">
        <v>0.35</v>
      </c>
      <c r="T231" s="266">
        <v>0.45</v>
      </c>
      <c r="U231" s="266">
        <v>0.55000000000000004</v>
      </c>
      <c r="V231" s="266">
        <v>0.6</v>
      </c>
      <c r="W231" s="266">
        <v>0</v>
      </c>
      <c r="X231" s="266" t="s">
        <v>1073</v>
      </c>
      <c r="Y231" s="331" t="s">
        <v>52</v>
      </c>
      <c r="Z231" s="306">
        <v>0</v>
      </c>
      <c r="AA231" s="266">
        <v>0.3</v>
      </c>
      <c r="AB231" s="268" t="s">
        <v>1074</v>
      </c>
      <c r="AC231" s="268" t="s">
        <v>52</v>
      </c>
      <c r="AD231" s="306">
        <v>0</v>
      </c>
      <c r="AE231" s="522">
        <v>40</v>
      </c>
      <c r="AF231" s="268" t="s">
        <v>2346</v>
      </c>
      <c r="AG231" s="268" t="s">
        <v>2524</v>
      </c>
      <c r="AH231" s="267"/>
      <c r="AI231" s="268"/>
      <c r="AJ231" s="268"/>
      <c r="AK231" s="269"/>
    </row>
    <row r="232" spans="1:37" ht="90" hidden="1" customHeight="1" outlineLevel="1" x14ac:dyDescent="0.2">
      <c r="A232" s="651"/>
      <c r="B232" s="576"/>
      <c r="C232" s="581"/>
      <c r="D232" s="573"/>
      <c r="E232" s="823"/>
      <c r="F232" s="823"/>
      <c r="G232" s="238" t="s">
        <v>1075</v>
      </c>
      <c r="H232" s="196" t="s">
        <v>1076</v>
      </c>
      <c r="I232" s="238" t="s">
        <v>1077</v>
      </c>
      <c r="J232" s="9" t="s">
        <v>1078</v>
      </c>
      <c r="K232" s="316">
        <v>32550000</v>
      </c>
      <c r="L232" s="306">
        <v>0</v>
      </c>
      <c r="M232" s="263">
        <v>44593</v>
      </c>
      <c r="N232" s="263">
        <v>44925</v>
      </c>
      <c r="O232" s="263">
        <v>44652</v>
      </c>
      <c r="P232" s="264">
        <f t="shared" si="6"/>
        <v>0.17771084337349397</v>
      </c>
      <c r="Q232" s="264">
        <f>+IF(P232&gt;=100,100,IF(P232&lt;=0,0,P232))</f>
        <v>0.17771084337349397</v>
      </c>
      <c r="R232" s="265">
        <v>0.6</v>
      </c>
      <c r="S232" s="266">
        <v>0.35</v>
      </c>
      <c r="T232" s="266">
        <v>0.45</v>
      </c>
      <c r="U232" s="266">
        <v>0.55000000000000004</v>
      </c>
      <c r="V232" s="266">
        <v>0.6</v>
      </c>
      <c r="W232" s="266">
        <v>0.3</v>
      </c>
      <c r="X232" s="266" t="s">
        <v>1079</v>
      </c>
      <c r="Y232" s="331" t="s">
        <v>303</v>
      </c>
      <c r="Z232" s="306">
        <v>15000000</v>
      </c>
      <c r="AA232" s="266">
        <v>0.33</v>
      </c>
      <c r="AB232" s="268" t="s">
        <v>2133</v>
      </c>
      <c r="AC232" s="268" t="s">
        <v>1080</v>
      </c>
      <c r="AD232" s="306">
        <v>0</v>
      </c>
      <c r="AE232" s="522">
        <v>90</v>
      </c>
      <c r="AF232" s="268" t="s">
        <v>2503</v>
      </c>
      <c r="AG232" s="268" t="s">
        <v>2524</v>
      </c>
      <c r="AH232" s="267"/>
      <c r="AI232" s="268"/>
      <c r="AJ232" s="268"/>
      <c r="AK232" s="269"/>
    </row>
    <row r="233" spans="1:37" ht="68.25" hidden="1" customHeight="1" outlineLevel="1" x14ac:dyDescent="0.2">
      <c r="A233" s="651"/>
      <c r="B233" s="576"/>
      <c r="C233" s="575" t="s">
        <v>850</v>
      </c>
      <c r="D233" s="573"/>
      <c r="E233" s="822" t="s">
        <v>258</v>
      </c>
      <c r="F233" s="241" t="s">
        <v>2493</v>
      </c>
      <c r="G233" s="238" t="s">
        <v>472</v>
      </c>
      <c r="H233" s="196" t="s">
        <v>472</v>
      </c>
      <c r="I233" s="238" t="s">
        <v>261</v>
      </c>
      <c r="J233" s="246" t="s">
        <v>1081</v>
      </c>
      <c r="K233" s="9" t="s">
        <v>472</v>
      </c>
      <c r="L233" s="306">
        <v>0</v>
      </c>
      <c r="M233" s="263">
        <v>44593</v>
      </c>
      <c r="N233" s="263">
        <v>44925</v>
      </c>
      <c r="O233" s="263">
        <v>44652</v>
      </c>
      <c r="P233" s="264">
        <f t="shared" si="6"/>
        <v>0.17771084337349397</v>
      </c>
      <c r="Q233" s="264">
        <f t="shared" si="7"/>
        <v>0.17771084337349397</v>
      </c>
      <c r="R233" s="278">
        <v>0.25</v>
      </c>
      <c r="S233" s="266">
        <v>0.12</v>
      </c>
      <c r="T233" s="266">
        <v>0.18</v>
      </c>
      <c r="U233" s="266">
        <v>0.21</v>
      </c>
      <c r="V233" s="266">
        <v>0.25</v>
      </c>
      <c r="W233" s="266">
        <v>1</v>
      </c>
      <c r="X233" s="266" t="s">
        <v>2067</v>
      </c>
      <c r="Y233" s="331" t="s">
        <v>52</v>
      </c>
      <c r="Z233" s="306">
        <v>0</v>
      </c>
      <c r="AA233" s="266">
        <v>1</v>
      </c>
      <c r="AB233" s="268" t="s">
        <v>1083</v>
      </c>
      <c r="AC233" s="268" t="s">
        <v>52</v>
      </c>
      <c r="AD233" s="306">
        <v>0</v>
      </c>
      <c r="AE233" s="266">
        <v>1</v>
      </c>
      <c r="AF233" s="266" t="s">
        <v>2494</v>
      </c>
      <c r="AG233" s="268" t="s">
        <v>2524</v>
      </c>
      <c r="AH233" s="267"/>
      <c r="AI233" s="268"/>
      <c r="AJ233" s="268"/>
      <c r="AK233" s="269"/>
    </row>
    <row r="234" spans="1:37" ht="111.75" hidden="1" customHeight="1" outlineLevel="1" x14ac:dyDescent="0.2">
      <c r="A234" s="651"/>
      <c r="B234" s="576"/>
      <c r="C234" s="576"/>
      <c r="D234" s="573"/>
      <c r="E234" s="823"/>
      <c r="F234" s="241" t="s">
        <v>1084</v>
      </c>
      <c r="G234" s="238" t="s">
        <v>472</v>
      </c>
      <c r="H234" s="196" t="s">
        <v>2495</v>
      </c>
      <c r="I234" s="238" t="s">
        <v>275</v>
      </c>
      <c r="J234" s="246" t="s">
        <v>472</v>
      </c>
      <c r="K234" s="9" t="s">
        <v>472</v>
      </c>
      <c r="L234" s="306">
        <v>0</v>
      </c>
      <c r="M234" s="263">
        <v>44593</v>
      </c>
      <c r="N234" s="263">
        <v>44925</v>
      </c>
      <c r="O234" s="263">
        <v>44652</v>
      </c>
      <c r="P234" s="264">
        <f t="shared" si="6"/>
        <v>0.17771084337349397</v>
      </c>
      <c r="Q234" s="264">
        <f t="shared" si="7"/>
        <v>0.17771084337349397</v>
      </c>
      <c r="R234" s="265">
        <v>0.15</v>
      </c>
      <c r="S234" s="266">
        <v>0.03</v>
      </c>
      <c r="T234" s="266">
        <v>0.06</v>
      </c>
      <c r="U234" s="266">
        <v>0.1</v>
      </c>
      <c r="V234" s="266">
        <v>0.15</v>
      </c>
      <c r="W234" s="266">
        <v>0</v>
      </c>
      <c r="X234" s="266" t="s">
        <v>1085</v>
      </c>
      <c r="Y234" s="331" t="s">
        <v>52</v>
      </c>
      <c r="Z234" s="306">
        <v>0</v>
      </c>
      <c r="AA234" s="266">
        <v>0.2</v>
      </c>
      <c r="AB234" s="268" t="s">
        <v>1086</v>
      </c>
      <c r="AC234" s="268" t="s">
        <v>1087</v>
      </c>
      <c r="AD234" s="306">
        <v>0</v>
      </c>
      <c r="AE234" s="522">
        <v>40</v>
      </c>
      <c r="AF234" s="268" t="s">
        <v>2347</v>
      </c>
      <c r="AG234" s="268" t="s">
        <v>2524</v>
      </c>
      <c r="AH234" s="267"/>
      <c r="AI234" s="268"/>
      <c r="AJ234" s="268"/>
      <c r="AK234" s="269"/>
    </row>
    <row r="235" spans="1:37" ht="111.75" hidden="1" customHeight="1" outlineLevel="1" x14ac:dyDescent="0.2">
      <c r="A235" s="651"/>
      <c r="B235" s="576"/>
      <c r="C235" s="576"/>
      <c r="D235" s="573"/>
      <c r="E235" s="470" t="s">
        <v>713</v>
      </c>
      <c r="F235" s="469" t="s">
        <v>714</v>
      </c>
      <c r="G235" s="474" t="s">
        <v>334</v>
      </c>
      <c r="H235" s="196" t="s">
        <v>715</v>
      </c>
      <c r="I235" s="418" t="s">
        <v>716</v>
      </c>
      <c r="J235" s="256" t="s">
        <v>717</v>
      </c>
      <c r="K235" s="256" t="s">
        <v>52</v>
      </c>
      <c r="L235" s="306">
        <v>0</v>
      </c>
      <c r="M235" s="263">
        <v>44593</v>
      </c>
      <c r="N235" s="263">
        <v>44925</v>
      </c>
      <c r="O235" s="263">
        <v>44652</v>
      </c>
      <c r="P235" s="264">
        <f>+(+_xlfn.DAYS(M235,O235))/(+_xlfn.DAYS(M235,N235))</f>
        <v>0.17771084337349397</v>
      </c>
      <c r="Q235" s="264">
        <f>+IF(P235&gt;=100,100,IF(P235&lt;=0,0,P235))</f>
        <v>0.17771084337349397</v>
      </c>
      <c r="R235" s="265">
        <v>0.6</v>
      </c>
      <c r="S235" s="266">
        <v>0.45</v>
      </c>
      <c r="T235" s="266">
        <v>0.5</v>
      </c>
      <c r="U235" s="266">
        <v>0.55000000000000004</v>
      </c>
      <c r="V235" s="266">
        <v>0.6</v>
      </c>
      <c r="W235" s="266">
        <v>0</v>
      </c>
      <c r="X235" s="335" t="s">
        <v>718</v>
      </c>
      <c r="Y235" s="331" t="s">
        <v>52</v>
      </c>
      <c r="Z235" s="306">
        <v>0</v>
      </c>
      <c r="AA235" s="266">
        <v>0.31</v>
      </c>
      <c r="AB235" s="268" t="s">
        <v>2114</v>
      </c>
      <c r="AC235" s="268" t="s">
        <v>2115</v>
      </c>
      <c r="AD235" s="306">
        <v>0</v>
      </c>
      <c r="AE235" s="522">
        <v>55</v>
      </c>
      <c r="AF235" s="268" t="s">
        <v>2114</v>
      </c>
      <c r="AG235" s="268" t="s">
        <v>2524</v>
      </c>
      <c r="AH235" s="267"/>
      <c r="AI235" s="268"/>
      <c r="AJ235" s="268"/>
      <c r="AK235" s="269"/>
    </row>
    <row r="236" spans="1:37" ht="147" hidden="1" customHeight="1" outlineLevel="1" x14ac:dyDescent="0.2">
      <c r="A236" s="651"/>
      <c r="B236" s="577"/>
      <c r="C236" s="577"/>
      <c r="D236" s="574"/>
      <c r="E236" s="552"/>
      <c r="F236" s="548" t="s">
        <v>875</v>
      </c>
      <c r="G236" s="549" t="s">
        <v>169</v>
      </c>
      <c r="H236" s="196" t="s">
        <v>876</v>
      </c>
      <c r="I236" s="417" t="s">
        <v>877</v>
      </c>
      <c r="J236" s="246" t="s">
        <v>878</v>
      </c>
      <c r="K236" s="246" t="s">
        <v>52</v>
      </c>
      <c r="L236" s="306">
        <v>0</v>
      </c>
      <c r="M236" s="263">
        <v>44593</v>
      </c>
      <c r="N236" s="263">
        <v>44925</v>
      </c>
      <c r="O236" s="263">
        <v>44652</v>
      </c>
      <c r="P236" s="264">
        <f>+(+_xlfn.DAYS(M236,O236))/(+_xlfn.DAYS(M236,N236))</f>
        <v>0.17771084337349397</v>
      </c>
      <c r="Q236" s="264">
        <f>+IF(P236&gt;=100,100,IF(P236&lt;=0,0,P236))</f>
        <v>0.17771084337349397</v>
      </c>
      <c r="R236" s="265">
        <v>0.12</v>
      </c>
      <c r="S236" s="266">
        <v>0.09</v>
      </c>
      <c r="T236" s="266">
        <v>0.1</v>
      </c>
      <c r="U236" s="266">
        <v>0.11</v>
      </c>
      <c r="V236" s="266">
        <v>0.12</v>
      </c>
      <c r="W236" s="266">
        <v>0.2</v>
      </c>
      <c r="X236" s="335" t="s">
        <v>2112</v>
      </c>
      <c r="Y236" s="331" t="s">
        <v>52</v>
      </c>
      <c r="Z236" s="306">
        <v>0</v>
      </c>
      <c r="AA236" s="266">
        <v>0.3</v>
      </c>
      <c r="AB236" s="335" t="s">
        <v>2112</v>
      </c>
      <c r="AC236" s="331" t="s">
        <v>52</v>
      </c>
      <c r="AD236" s="306">
        <v>0</v>
      </c>
      <c r="AE236" s="522">
        <v>60</v>
      </c>
      <c r="AF236" s="268" t="s">
        <v>2561</v>
      </c>
      <c r="AG236" s="268" t="s">
        <v>2524</v>
      </c>
      <c r="AH236" s="267"/>
      <c r="AI236" s="268"/>
      <c r="AJ236" s="268"/>
      <c r="AK236" s="269"/>
    </row>
    <row r="237" spans="1:37" ht="96" hidden="1" customHeight="1" outlineLevel="1" x14ac:dyDescent="0.2">
      <c r="A237" s="651"/>
      <c r="B237" s="579" t="s">
        <v>39</v>
      </c>
      <c r="C237" s="579" t="s">
        <v>1088</v>
      </c>
      <c r="D237" s="663" t="s">
        <v>1089</v>
      </c>
      <c r="E237" s="821" t="s">
        <v>760</v>
      </c>
      <c r="F237" s="821" t="s">
        <v>761</v>
      </c>
      <c r="G237" s="770" t="s">
        <v>44</v>
      </c>
      <c r="H237" s="196" t="s">
        <v>1090</v>
      </c>
      <c r="I237" s="532" t="s">
        <v>763</v>
      </c>
      <c r="J237" s="655" t="s">
        <v>1091</v>
      </c>
      <c r="K237" s="316">
        <v>335000000</v>
      </c>
      <c r="L237" s="306">
        <v>0</v>
      </c>
      <c r="M237" s="263">
        <v>44593</v>
      </c>
      <c r="N237" s="263">
        <v>44925</v>
      </c>
      <c r="O237" s="263">
        <v>44652</v>
      </c>
      <c r="P237" s="264">
        <f t="shared" si="6"/>
        <v>0.17771084337349397</v>
      </c>
      <c r="Q237" s="264">
        <f t="shared" si="7"/>
        <v>0.17771084337349397</v>
      </c>
      <c r="R237" s="265">
        <v>0.5</v>
      </c>
      <c r="S237" s="266">
        <v>0.35</v>
      </c>
      <c r="T237" s="266">
        <v>0.4</v>
      </c>
      <c r="U237" s="266">
        <v>0.45</v>
      </c>
      <c r="V237" s="266">
        <v>0.5</v>
      </c>
      <c r="W237" s="266">
        <v>0.8</v>
      </c>
      <c r="X237" s="266" t="s">
        <v>1092</v>
      </c>
      <c r="Y237" s="331" t="s">
        <v>1093</v>
      </c>
      <c r="Z237" s="306">
        <v>0</v>
      </c>
      <c r="AA237" s="266">
        <v>0.9</v>
      </c>
      <c r="AB237" s="268" t="s">
        <v>1094</v>
      </c>
      <c r="AC237" s="268" t="s">
        <v>1095</v>
      </c>
      <c r="AD237" s="268">
        <v>704054555</v>
      </c>
      <c r="AE237" s="522">
        <v>100</v>
      </c>
      <c r="AF237" s="268" t="s">
        <v>2435</v>
      </c>
      <c r="AG237" s="268" t="s">
        <v>2524</v>
      </c>
      <c r="AH237" s="267"/>
      <c r="AI237" s="268"/>
      <c r="AJ237" s="268"/>
      <c r="AK237" s="269"/>
    </row>
    <row r="238" spans="1:37" ht="99" hidden="1" customHeight="1" outlineLevel="1" x14ac:dyDescent="0.2">
      <c r="A238" s="651"/>
      <c r="B238" s="580"/>
      <c r="C238" s="580"/>
      <c r="D238" s="664"/>
      <c r="E238" s="669"/>
      <c r="F238" s="669"/>
      <c r="G238" s="790"/>
      <c r="H238" s="196" t="s">
        <v>1096</v>
      </c>
      <c r="I238" s="528" t="s">
        <v>2330</v>
      </c>
      <c r="J238" s="763"/>
      <c r="K238" s="465" t="s">
        <v>1984</v>
      </c>
      <c r="L238" s="306">
        <v>0</v>
      </c>
      <c r="M238" s="263">
        <v>44593</v>
      </c>
      <c r="N238" s="263">
        <v>44925</v>
      </c>
      <c r="O238" s="263">
        <v>44652</v>
      </c>
      <c r="P238" s="264">
        <f t="shared" si="6"/>
        <v>0.17771084337349397</v>
      </c>
      <c r="Q238" s="264">
        <f t="shared" si="7"/>
        <v>0.17771084337349397</v>
      </c>
      <c r="R238" s="265">
        <v>1</v>
      </c>
      <c r="S238" s="266">
        <v>0.25</v>
      </c>
      <c r="T238" s="266">
        <v>0.5</v>
      </c>
      <c r="U238" s="266">
        <v>0.75</v>
      </c>
      <c r="V238" s="266">
        <v>1</v>
      </c>
      <c r="W238" s="266">
        <v>0.25</v>
      </c>
      <c r="X238" s="266" t="s">
        <v>1097</v>
      </c>
      <c r="Y238" s="331" t="s">
        <v>1098</v>
      </c>
      <c r="Z238" s="306">
        <v>0</v>
      </c>
      <c r="AA238" s="266">
        <v>0.45</v>
      </c>
      <c r="AB238" s="268" t="s">
        <v>1099</v>
      </c>
      <c r="AC238" s="268" t="s">
        <v>1985</v>
      </c>
      <c r="AD238" s="306">
        <v>0</v>
      </c>
      <c r="AE238" s="522">
        <v>50</v>
      </c>
      <c r="AF238" s="268" t="s">
        <v>2329</v>
      </c>
      <c r="AG238" s="268" t="s">
        <v>2524</v>
      </c>
      <c r="AH238" s="267"/>
      <c r="AI238" s="268"/>
      <c r="AJ238" s="268"/>
      <c r="AK238" s="269"/>
    </row>
    <row r="239" spans="1:37" ht="107.25" hidden="1" customHeight="1" outlineLevel="1" x14ac:dyDescent="0.2">
      <c r="A239" s="651"/>
      <c r="B239" s="581"/>
      <c r="C239" s="581"/>
      <c r="D239" s="664"/>
      <c r="E239" s="670"/>
      <c r="F239" s="248" t="s">
        <v>1100</v>
      </c>
      <c r="G239" s="243" t="s">
        <v>1101</v>
      </c>
      <c r="H239" s="196" t="s">
        <v>1102</v>
      </c>
      <c r="I239" s="243" t="s">
        <v>430</v>
      </c>
      <c r="J239" s="246" t="s">
        <v>1103</v>
      </c>
      <c r="K239" s="246" t="s">
        <v>117</v>
      </c>
      <c r="L239" s="306">
        <v>0</v>
      </c>
      <c r="M239" s="263">
        <v>44593</v>
      </c>
      <c r="N239" s="263">
        <v>44925</v>
      </c>
      <c r="O239" s="263">
        <v>44652</v>
      </c>
      <c r="P239" s="264">
        <f t="shared" si="6"/>
        <v>0.17771084337349397</v>
      </c>
      <c r="Q239" s="264">
        <f t="shared" si="7"/>
        <v>0.17771084337349397</v>
      </c>
      <c r="R239" s="265">
        <v>1</v>
      </c>
      <c r="S239" s="266">
        <v>0.25</v>
      </c>
      <c r="T239" s="266">
        <v>0.5</v>
      </c>
      <c r="U239" s="266">
        <v>0.75</v>
      </c>
      <c r="V239" s="266">
        <v>1</v>
      </c>
      <c r="W239" s="266">
        <v>0.25</v>
      </c>
      <c r="X239" s="335" t="s">
        <v>1104</v>
      </c>
      <c r="Y239" s="331" t="s">
        <v>52</v>
      </c>
      <c r="Z239" s="306">
        <v>0</v>
      </c>
      <c r="AA239" s="266">
        <v>0.4</v>
      </c>
      <c r="AB239" s="268" t="s">
        <v>1105</v>
      </c>
      <c r="AC239" s="268" t="s">
        <v>352</v>
      </c>
      <c r="AD239" s="306">
        <v>0</v>
      </c>
      <c r="AE239" s="522">
        <v>50</v>
      </c>
      <c r="AF239" s="268" t="s">
        <v>2331</v>
      </c>
      <c r="AG239" s="268" t="s">
        <v>2524</v>
      </c>
      <c r="AH239" s="267"/>
      <c r="AI239" s="268"/>
      <c r="AJ239" s="268"/>
      <c r="AK239" s="269"/>
    </row>
    <row r="240" spans="1:37" ht="92.25" hidden="1" customHeight="1" outlineLevel="1" x14ac:dyDescent="0.2">
      <c r="A240" s="651"/>
      <c r="B240" s="400" t="s">
        <v>270</v>
      </c>
      <c r="C240" s="400" t="s">
        <v>1106</v>
      </c>
      <c r="D240" s="664"/>
      <c r="E240" s="248" t="s">
        <v>1107</v>
      </c>
      <c r="F240" s="248" t="s">
        <v>1108</v>
      </c>
      <c r="G240" s="243" t="s">
        <v>334</v>
      </c>
      <c r="H240" s="196" t="s">
        <v>1109</v>
      </c>
      <c r="I240" s="243" t="s">
        <v>1110</v>
      </c>
      <c r="J240" s="246" t="s">
        <v>2334</v>
      </c>
      <c r="K240" s="246" t="s">
        <v>117</v>
      </c>
      <c r="L240" s="306">
        <v>0</v>
      </c>
      <c r="M240" s="263">
        <v>44593</v>
      </c>
      <c r="N240" s="263">
        <v>44925</v>
      </c>
      <c r="O240" s="263">
        <v>44652</v>
      </c>
      <c r="P240" s="264">
        <f t="shared" si="6"/>
        <v>0.17771084337349397</v>
      </c>
      <c r="Q240" s="264">
        <f t="shared" si="7"/>
        <v>0.17771084337349397</v>
      </c>
      <c r="R240" s="265">
        <v>0.5</v>
      </c>
      <c r="S240" s="266">
        <v>0.3</v>
      </c>
      <c r="T240" s="266">
        <v>0.4</v>
      </c>
      <c r="U240" s="266">
        <v>0.45</v>
      </c>
      <c r="V240" s="266">
        <v>0.5</v>
      </c>
      <c r="W240" s="266">
        <v>0.05</v>
      </c>
      <c r="X240" s="266" t="s">
        <v>1111</v>
      </c>
      <c r="Y240" s="331" t="s">
        <v>52</v>
      </c>
      <c r="Z240" s="306">
        <v>0</v>
      </c>
      <c r="AA240" s="266">
        <v>0.35</v>
      </c>
      <c r="AB240" s="268" t="s">
        <v>2332</v>
      </c>
      <c r="AC240" s="268" t="s">
        <v>352</v>
      </c>
      <c r="AD240" s="306">
        <v>0</v>
      </c>
      <c r="AE240" s="522">
        <v>50</v>
      </c>
      <c r="AF240" s="268" t="s">
        <v>2333</v>
      </c>
      <c r="AG240" s="268" t="s">
        <v>2524</v>
      </c>
      <c r="AH240" s="267"/>
      <c r="AI240" s="268"/>
      <c r="AJ240" s="268"/>
      <c r="AK240" s="269"/>
    </row>
    <row r="241" spans="1:37" ht="108" hidden="1" customHeight="1" outlineLevel="1" x14ac:dyDescent="0.2">
      <c r="A241" s="651"/>
      <c r="B241" s="579" t="s">
        <v>39</v>
      </c>
      <c r="C241" s="579" t="s">
        <v>1049</v>
      </c>
      <c r="D241" s="664"/>
      <c r="E241" s="821" t="s">
        <v>1112</v>
      </c>
      <c r="F241" s="821" t="s">
        <v>175</v>
      </c>
      <c r="G241" s="817" t="s">
        <v>76</v>
      </c>
      <c r="H241" s="196" t="s">
        <v>1113</v>
      </c>
      <c r="I241" s="817" t="s">
        <v>178</v>
      </c>
      <c r="J241" s="246" t="s">
        <v>1113</v>
      </c>
      <c r="K241" s="246" t="s">
        <v>117</v>
      </c>
      <c r="L241" s="306">
        <v>0</v>
      </c>
      <c r="M241" s="263">
        <v>44593</v>
      </c>
      <c r="N241" s="263">
        <v>44925</v>
      </c>
      <c r="O241" s="263">
        <v>44652</v>
      </c>
      <c r="P241" s="264">
        <f>+(+_xlfn.DAYS(M241,O241))/(+_xlfn.DAYS(M241,N241))</f>
        <v>0.17771084337349397</v>
      </c>
      <c r="Q241" s="264">
        <f>+IF(P241&gt;=100,100,IF(P241&lt;=0,0,P241))</f>
        <v>0.17771084337349397</v>
      </c>
      <c r="R241" s="265">
        <v>1</v>
      </c>
      <c r="S241" s="266">
        <v>0.25</v>
      </c>
      <c r="T241" s="266">
        <v>0.5</v>
      </c>
      <c r="U241" s="266">
        <v>0.75</v>
      </c>
      <c r="V241" s="266">
        <v>1</v>
      </c>
      <c r="W241" s="266">
        <v>0.05</v>
      </c>
      <c r="X241" s="266" t="s">
        <v>1114</v>
      </c>
      <c r="Y241" s="331" t="s">
        <v>52</v>
      </c>
      <c r="Z241" s="306">
        <v>0</v>
      </c>
      <c r="AA241" s="266">
        <v>0.5</v>
      </c>
      <c r="AB241" s="268" t="s">
        <v>1115</v>
      </c>
      <c r="AC241" s="268" t="s">
        <v>1116</v>
      </c>
      <c r="AD241" s="306">
        <v>0</v>
      </c>
      <c r="AE241" s="522">
        <v>60</v>
      </c>
      <c r="AF241" s="268" t="s">
        <v>2335</v>
      </c>
      <c r="AG241" s="268" t="s">
        <v>2524</v>
      </c>
      <c r="AH241" s="267"/>
      <c r="AI241" s="268"/>
      <c r="AJ241" s="268"/>
      <c r="AK241" s="269"/>
    </row>
    <row r="242" spans="1:37" ht="99" hidden="1" customHeight="1" outlineLevel="1" x14ac:dyDescent="0.2">
      <c r="A242" s="651"/>
      <c r="B242" s="580"/>
      <c r="C242" s="580"/>
      <c r="D242" s="664"/>
      <c r="E242" s="670"/>
      <c r="F242" s="670"/>
      <c r="G242" s="833"/>
      <c r="H242" s="196" t="s">
        <v>1117</v>
      </c>
      <c r="I242" s="833"/>
      <c r="J242" s="246" t="s">
        <v>1118</v>
      </c>
      <c r="K242" s="246" t="s">
        <v>117</v>
      </c>
      <c r="L242" s="306">
        <v>0</v>
      </c>
      <c r="M242" s="263">
        <v>44593</v>
      </c>
      <c r="N242" s="263">
        <v>44925</v>
      </c>
      <c r="O242" s="263">
        <v>44652</v>
      </c>
      <c r="P242" s="264">
        <f>+(+_xlfn.DAYS(M242,O242))/(+_xlfn.DAYS(M242,N242))</f>
        <v>0.17771084337349397</v>
      </c>
      <c r="Q242" s="264">
        <f>+IF(P242&gt;=100,100,IF(P242&lt;=0,0,P242))</f>
        <v>0.17771084337349397</v>
      </c>
      <c r="R242" s="265">
        <v>1</v>
      </c>
      <c r="S242" s="266">
        <v>0.25</v>
      </c>
      <c r="T242" s="266">
        <v>0.5</v>
      </c>
      <c r="U242" s="266">
        <v>0.75</v>
      </c>
      <c r="V242" s="266">
        <v>1</v>
      </c>
      <c r="W242" s="266">
        <v>0.25</v>
      </c>
      <c r="X242" s="335" t="s">
        <v>1119</v>
      </c>
      <c r="Y242" s="331" t="s">
        <v>1120</v>
      </c>
      <c r="Z242" s="306"/>
      <c r="AA242" s="266">
        <v>0.5</v>
      </c>
      <c r="AB242" s="268" t="s">
        <v>1121</v>
      </c>
      <c r="AC242" s="268" t="s">
        <v>1122</v>
      </c>
      <c r="AD242" s="306">
        <v>0</v>
      </c>
      <c r="AE242" s="522">
        <v>60</v>
      </c>
      <c r="AF242" s="268" t="s">
        <v>2336</v>
      </c>
      <c r="AG242" s="268" t="s">
        <v>2524</v>
      </c>
      <c r="AH242" s="267"/>
      <c r="AI242" s="268"/>
      <c r="AJ242" s="268"/>
      <c r="AK242" s="269"/>
    </row>
    <row r="243" spans="1:37" ht="75" hidden="1" customHeight="1" outlineLevel="1" x14ac:dyDescent="0.2">
      <c r="A243" s="651"/>
      <c r="B243" s="580"/>
      <c r="C243" s="580"/>
      <c r="D243" s="664"/>
      <c r="E243" s="248" t="s">
        <v>1123</v>
      </c>
      <c r="F243" s="248" t="s">
        <v>43</v>
      </c>
      <c r="G243" s="243" t="s">
        <v>76</v>
      </c>
      <c r="H243" s="196" t="s">
        <v>1124</v>
      </c>
      <c r="I243" s="243" t="s">
        <v>1125</v>
      </c>
      <c r="J243" s="246" t="s">
        <v>431</v>
      </c>
      <c r="K243" s="316">
        <v>33960000</v>
      </c>
      <c r="L243" s="316">
        <v>9677000</v>
      </c>
      <c r="M243" s="263">
        <v>44593</v>
      </c>
      <c r="N243" s="263">
        <v>44925</v>
      </c>
      <c r="O243" s="263">
        <v>44652</v>
      </c>
      <c r="P243" s="264">
        <f t="shared" si="6"/>
        <v>0.17771084337349397</v>
      </c>
      <c r="Q243" s="264">
        <f>+IF(P243&gt;=100,100,IF(P243&lt;=0,0,P243))</f>
        <v>0.17771084337349397</v>
      </c>
      <c r="R243" s="265">
        <v>1</v>
      </c>
      <c r="S243" s="266">
        <v>0.25</v>
      </c>
      <c r="T243" s="266">
        <v>0.5</v>
      </c>
      <c r="U243" s="266">
        <v>0.75</v>
      </c>
      <c r="V243" s="266">
        <v>1</v>
      </c>
      <c r="W243" s="266">
        <v>0.25</v>
      </c>
      <c r="X243" s="266" t="s">
        <v>1126</v>
      </c>
      <c r="Y243" s="331" t="s">
        <v>822</v>
      </c>
      <c r="Z243" s="316">
        <v>9677000</v>
      </c>
      <c r="AA243" s="266">
        <v>0.52</v>
      </c>
      <c r="AB243" s="266" t="s">
        <v>1126</v>
      </c>
      <c r="AC243" s="268" t="s">
        <v>620</v>
      </c>
      <c r="AD243" s="306">
        <v>0</v>
      </c>
      <c r="AE243" s="522">
        <v>90</v>
      </c>
      <c r="AF243" s="266" t="s">
        <v>1126</v>
      </c>
      <c r="AG243" s="268" t="s">
        <v>2524</v>
      </c>
      <c r="AH243" s="267"/>
      <c r="AI243" s="268"/>
      <c r="AJ243" s="268"/>
      <c r="AK243" s="269"/>
    </row>
    <row r="244" spans="1:37" ht="105" hidden="1" customHeight="1" outlineLevel="1" x14ac:dyDescent="0.2">
      <c r="A244" s="651"/>
      <c r="B244" s="580"/>
      <c r="C244" s="580"/>
      <c r="D244" s="664"/>
      <c r="E244" s="248" t="s">
        <v>1068</v>
      </c>
      <c r="F244" s="248" t="s">
        <v>1069</v>
      </c>
      <c r="G244" s="243" t="s">
        <v>1127</v>
      </c>
      <c r="H244" s="196" t="s">
        <v>1128</v>
      </c>
      <c r="I244" s="243" t="s">
        <v>1129</v>
      </c>
      <c r="J244" s="246" t="s">
        <v>1130</v>
      </c>
      <c r="K244" s="246" t="s">
        <v>117</v>
      </c>
      <c r="L244" s="306">
        <v>0</v>
      </c>
      <c r="M244" s="263">
        <v>44593</v>
      </c>
      <c r="N244" s="263">
        <v>44925</v>
      </c>
      <c r="O244" s="263">
        <v>44652</v>
      </c>
      <c r="P244" s="264">
        <f t="shared" si="6"/>
        <v>0.17771084337349397</v>
      </c>
      <c r="Q244" s="264">
        <f>+IF(P244&gt;=100,100,IF(P244&lt;=0,0,P244))</f>
        <v>0.17771084337349397</v>
      </c>
      <c r="R244" s="265">
        <v>1</v>
      </c>
      <c r="S244" s="266">
        <v>0.25</v>
      </c>
      <c r="T244" s="266">
        <v>0.5</v>
      </c>
      <c r="U244" s="266">
        <v>0.75</v>
      </c>
      <c r="V244" s="266">
        <v>1</v>
      </c>
      <c r="W244" s="266">
        <v>0.25</v>
      </c>
      <c r="X244" s="331" t="s">
        <v>1131</v>
      </c>
      <c r="Y244" s="331" t="s">
        <v>1132</v>
      </c>
      <c r="Z244" s="306">
        <v>0</v>
      </c>
      <c r="AA244" s="266">
        <v>0.3</v>
      </c>
      <c r="AB244" s="268" t="s">
        <v>1133</v>
      </c>
      <c r="AC244" s="268" t="s">
        <v>52</v>
      </c>
      <c r="AD244" s="306">
        <v>0</v>
      </c>
      <c r="AE244" s="522">
        <v>100</v>
      </c>
      <c r="AF244" s="268" t="s">
        <v>2423</v>
      </c>
      <c r="AG244" s="268" t="s">
        <v>2524</v>
      </c>
      <c r="AH244" s="267"/>
      <c r="AI244" s="268"/>
      <c r="AJ244" s="268"/>
      <c r="AK244" s="269"/>
    </row>
    <row r="245" spans="1:37" ht="99" hidden="1" customHeight="1" outlineLevel="1" x14ac:dyDescent="0.2">
      <c r="A245" s="651"/>
      <c r="B245" s="580"/>
      <c r="C245" s="581"/>
      <c r="D245" s="664"/>
      <c r="E245" s="248" t="s">
        <v>1134</v>
      </c>
      <c r="F245" s="538" t="s">
        <v>1189</v>
      </c>
      <c r="G245" s="243" t="s">
        <v>1127</v>
      </c>
      <c r="H245" s="196" t="s">
        <v>1135</v>
      </c>
      <c r="I245" s="243" t="s">
        <v>1136</v>
      </c>
      <c r="J245" s="246" t="s">
        <v>1137</v>
      </c>
      <c r="K245" s="246" t="s">
        <v>117</v>
      </c>
      <c r="L245" s="306">
        <v>0</v>
      </c>
      <c r="M245" s="263">
        <v>44593</v>
      </c>
      <c r="N245" s="263">
        <v>44925</v>
      </c>
      <c r="O245" s="263">
        <v>44652</v>
      </c>
      <c r="P245" s="264">
        <f t="shared" si="6"/>
        <v>0.17771084337349397</v>
      </c>
      <c r="Q245" s="264">
        <f t="shared" si="7"/>
        <v>0.17771084337349397</v>
      </c>
      <c r="R245" s="265">
        <v>1</v>
      </c>
      <c r="S245" s="266">
        <v>0.25</v>
      </c>
      <c r="T245" s="266">
        <v>0.5</v>
      </c>
      <c r="U245" s="266">
        <v>0.75</v>
      </c>
      <c r="V245" s="266">
        <v>1</v>
      </c>
      <c r="W245" s="266">
        <v>0.25</v>
      </c>
      <c r="X245" s="266" t="s">
        <v>1138</v>
      </c>
      <c r="Y245" s="331" t="s">
        <v>1139</v>
      </c>
      <c r="Z245" s="306">
        <v>0</v>
      </c>
      <c r="AA245" s="266">
        <v>0.25</v>
      </c>
      <c r="AB245" s="268" t="s">
        <v>955</v>
      </c>
      <c r="AC245" s="268" t="s">
        <v>52</v>
      </c>
      <c r="AD245" s="306">
        <v>0</v>
      </c>
      <c r="AE245" s="522">
        <v>25</v>
      </c>
      <c r="AF245" s="268" t="s">
        <v>2424</v>
      </c>
      <c r="AG245" s="268" t="s">
        <v>2524</v>
      </c>
      <c r="AH245" s="267"/>
      <c r="AI245" s="268"/>
      <c r="AJ245" s="268"/>
      <c r="AK245" s="269"/>
    </row>
    <row r="246" spans="1:37" ht="64.5" hidden="1" customHeight="1" outlineLevel="1" x14ac:dyDescent="0.2">
      <c r="A246" s="651"/>
      <c r="B246" s="580"/>
      <c r="C246" s="579" t="s">
        <v>1140</v>
      </c>
      <c r="D246" s="664"/>
      <c r="E246" s="821" t="s">
        <v>1141</v>
      </c>
      <c r="F246" s="821" t="s">
        <v>99</v>
      </c>
      <c r="G246" s="770" t="s">
        <v>1142</v>
      </c>
      <c r="H246" s="196" t="s">
        <v>1143</v>
      </c>
      <c r="I246" s="243" t="s">
        <v>101</v>
      </c>
      <c r="J246" s="246" t="s">
        <v>1144</v>
      </c>
      <c r="K246" s="246" t="s">
        <v>117</v>
      </c>
      <c r="L246" s="306">
        <v>0</v>
      </c>
      <c r="M246" s="263">
        <v>44593</v>
      </c>
      <c r="N246" s="263">
        <v>44925</v>
      </c>
      <c r="O246" s="263">
        <v>44652</v>
      </c>
      <c r="P246" s="264">
        <f t="shared" ref="P246:P297" si="8">+(+_xlfn.DAYS(M246,O246))/(+_xlfn.DAYS(M246,N246))</f>
        <v>0.17771084337349397</v>
      </c>
      <c r="Q246" s="264">
        <f>+IF(P246&gt;=100,100,IF(P246&lt;=0,0,P246))</f>
        <v>0.17771084337349397</v>
      </c>
      <c r="R246" s="265">
        <v>1</v>
      </c>
      <c r="S246" s="266">
        <v>0.25</v>
      </c>
      <c r="T246" s="266">
        <v>0.5</v>
      </c>
      <c r="U246" s="266">
        <v>0.75</v>
      </c>
      <c r="V246" s="266">
        <v>1</v>
      </c>
      <c r="W246" s="266">
        <v>0</v>
      </c>
      <c r="X246" s="266" t="s">
        <v>1145</v>
      </c>
      <c r="Y246" s="246" t="s">
        <v>52</v>
      </c>
      <c r="Z246" s="306">
        <v>0</v>
      </c>
      <c r="AA246" s="266">
        <v>0</v>
      </c>
      <c r="AB246" s="266" t="s">
        <v>1145</v>
      </c>
      <c r="AC246" s="268" t="s">
        <v>52</v>
      </c>
      <c r="AD246" s="306">
        <v>0</v>
      </c>
      <c r="AE246" s="522">
        <v>0</v>
      </c>
      <c r="AF246" s="266" t="s">
        <v>1145</v>
      </c>
      <c r="AG246" s="268" t="s">
        <v>2524</v>
      </c>
      <c r="AH246" s="267"/>
      <c r="AI246" s="268"/>
      <c r="AJ246" s="268"/>
      <c r="AK246" s="269"/>
    </row>
    <row r="247" spans="1:37" ht="59.25" hidden="1" customHeight="1" outlineLevel="1" x14ac:dyDescent="0.2">
      <c r="A247" s="651"/>
      <c r="B247" s="581"/>
      <c r="C247" s="581"/>
      <c r="D247" s="664"/>
      <c r="E247" s="670"/>
      <c r="F247" s="670"/>
      <c r="G247" s="771"/>
      <c r="H247" s="196" t="s">
        <v>1146</v>
      </c>
      <c r="I247" s="243" t="s">
        <v>1147</v>
      </c>
      <c r="J247" s="246" t="s">
        <v>1148</v>
      </c>
      <c r="K247" s="246" t="s">
        <v>117</v>
      </c>
      <c r="L247" s="306">
        <v>0</v>
      </c>
      <c r="M247" s="263">
        <v>44593</v>
      </c>
      <c r="N247" s="263">
        <v>44925</v>
      </c>
      <c r="O247" s="263">
        <v>44652</v>
      </c>
      <c r="P247" s="264">
        <f t="shared" si="8"/>
        <v>0.17771084337349397</v>
      </c>
      <c r="Q247" s="264">
        <f>+IF(P247&gt;=100,100,IF(P247&lt;=0,0,P247))</f>
        <v>0.17771084337349397</v>
      </c>
      <c r="R247" s="265">
        <v>1</v>
      </c>
      <c r="S247" s="266">
        <v>0.25</v>
      </c>
      <c r="T247" s="266">
        <v>0.5</v>
      </c>
      <c r="U247" s="266">
        <v>0.75</v>
      </c>
      <c r="V247" s="266">
        <v>1</v>
      </c>
      <c r="W247" s="266">
        <v>0.25</v>
      </c>
      <c r="X247" s="335" t="s">
        <v>1149</v>
      </c>
      <c r="Y247" s="246" t="s">
        <v>52</v>
      </c>
      <c r="Z247" s="306">
        <v>0</v>
      </c>
      <c r="AA247" s="266">
        <v>0.5</v>
      </c>
      <c r="AB247" s="268" t="s">
        <v>1150</v>
      </c>
      <c r="AC247" s="268" t="s">
        <v>52</v>
      </c>
      <c r="AD247" s="306">
        <v>0</v>
      </c>
      <c r="AE247" s="522">
        <v>90</v>
      </c>
      <c r="AF247" s="268" t="s">
        <v>2425</v>
      </c>
      <c r="AG247" s="268" t="s">
        <v>2524</v>
      </c>
      <c r="AH247" s="267"/>
      <c r="AI247" s="268"/>
      <c r="AJ247" s="268"/>
      <c r="AK247" s="269"/>
    </row>
    <row r="248" spans="1:37" ht="81" hidden="1" customHeight="1" outlineLevel="1" x14ac:dyDescent="0.2">
      <c r="A248" s="651"/>
      <c r="B248" s="579" t="s">
        <v>849</v>
      </c>
      <c r="C248" s="400" t="s">
        <v>1151</v>
      </c>
      <c r="D248" s="664"/>
      <c r="E248" s="821" t="s">
        <v>1577</v>
      </c>
      <c r="F248" s="821" t="s">
        <v>2488</v>
      </c>
      <c r="G248" s="770" t="s">
        <v>1127</v>
      </c>
      <c r="H248" s="196" t="s">
        <v>1152</v>
      </c>
      <c r="I248" s="243" t="s">
        <v>1127</v>
      </c>
      <c r="J248" s="246" t="s">
        <v>1153</v>
      </c>
      <c r="K248" s="246" t="s">
        <v>117</v>
      </c>
      <c r="L248" s="306">
        <v>0</v>
      </c>
      <c r="M248" s="263">
        <v>44593</v>
      </c>
      <c r="N248" s="263">
        <v>44925</v>
      </c>
      <c r="O248" s="263">
        <v>44652</v>
      </c>
      <c r="P248" s="264">
        <f t="shared" si="8"/>
        <v>0.17771084337349397</v>
      </c>
      <c r="Q248" s="264">
        <f>+IF(P248&gt;=100,100,IF(P248&lt;=0,0,P248))</f>
        <v>0.17771084337349397</v>
      </c>
      <c r="R248" s="265">
        <v>1</v>
      </c>
      <c r="S248" s="266">
        <v>0.25</v>
      </c>
      <c r="T248" s="266">
        <v>0.5</v>
      </c>
      <c r="U248" s="266">
        <v>0.75</v>
      </c>
      <c r="V248" s="266">
        <v>1</v>
      </c>
      <c r="W248" s="266">
        <v>0.25</v>
      </c>
      <c r="X248" s="266" t="s">
        <v>1154</v>
      </c>
      <c r="Y248" s="246" t="s">
        <v>52</v>
      </c>
      <c r="Z248" s="306">
        <v>0</v>
      </c>
      <c r="AA248" s="266">
        <v>0.5</v>
      </c>
      <c r="AB248" s="268" t="s">
        <v>1155</v>
      </c>
      <c r="AC248" s="268" t="s">
        <v>1156</v>
      </c>
      <c r="AD248" s="306">
        <v>0</v>
      </c>
      <c r="AE248" s="522">
        <v>80</v>
      </c>
      <c r="AF248" s="268" t="s">
        <v>2426</v>
      </c>
      <c r="AG248" s="268" t="s">
        <v>2524</v>
      </c>
      <c r="AH248" s="267"/>
      <c r="AI248" s="268"/>
      <c r="AJ248" s="268"/>
      <c r="AK248" s="269"/>
    </row>
    <row r="249" spans="1:37" ht="73.5" hidden="1" customHeight="1" outlineLevel="1" x14ac:dyDescent="0.2">
      <c r="A249" s="651"/>
      <c r="B249" s="580"/>
      <c r="C249" s="398"/>
      <c r="D249" s="664"/>
      <c r="E249" s="669"/>
      <c r="F249" s="669"/>
      <c r="G249" s="790"/>
      <c r="H249" s="196" t="s">
        <v>1157</v>
      </c>
      <c r="I249" s="243"/>
      <c r="J249" s="246"/>
      <c r="K249" s="246" t="s">
        <v>117</v>
      </c>
      <c r="L249" s="306">
        <v>0</v>
      </c>
      <c r="M249" s="263">
        <v>44593</v>
      </c>
      <c r="N249" s="263">
        <v>44925</v>
      </c>
      <c r="O249" s="263">
        <v>44652</v>
      </c>
      <c r="P249" s="264">
        <f t="shared" si="8"/>
        <v>0.17771084337349397</v>
      </c>
      <c r="Q249" s="264">
        <f>+IF(P249&gt;=100,100,IF(P249&lt;=0,0,P249))</f>
        <v>0.17771084337349397</v>
      </c>
      <c r="R249" s="265">
        <v>1</v>
      </c>
      <c r="S249" s="266">
        <v>0.25</v>
      </c>
      <c r="T249" s="266">
        <v>0.5</v>
      </c>
      <c r="U249" s="266">
        <v>0.75</v>
      </c>
      <c r="V249" s="266">
        <v>1</v>
      </c>
      <c r="W249" s="266">
        <v>0.25</v>
      </c>
      <c r="X249" s="266" t="s">
        <v>1158</v>
      </c>
      <c r="Y249" s="246" t="s">
        <v>52</v>
      </c>
      <c r="Z249" s="306">
        <v>0</v>
      </c>
      <c r="AA249" s="266">
        <v>0.5</v>
      </c>
      <c r="AB249" s="266" t="s">
        <v>1159</v>
      </c>
      <c r="AC249" s="268" t="s">
        <v>1160</v>
      </c>
      <c r="AD249" s="306">
        <v>0</v>
      </c>
      <c r="AE249" s="522">
        <v>75</v>
      </c>
      <c r="AF249" s="268" t="s">
        <v>2562</v>
      </c>
      <c r="AG249" s="268" t="s">
        <v>2524</v>
      </c>
      <c r="AH249" s="267"/>
      <c r="AI249" s="268"/>
      <c r="AJ249" s="268"/>
      <c r="AK249" s="269"/>
    </row>
    <row r="250" spans="1:37" ht="56.25" hidden="1" customHeight="1" outlineLevel="1" x14ac:dyDescent="0.2">
      <c r="A250" s="651"/>
      <c r="B250" s="580"/>
      <c r="C250" s="533"/>
      <c r="D250" s="664"/>
      <c r="E250" s="669"/>
      <c r="F250" s="669"/>
      <c r="G250" s="790"/>
      <c r="H250" s="196" t="s">
        <v>1161</v>
      </c>
      <c r="I250" s="243" t="s">
        <v>1162</v>
      </c>
      <c r="J250" s="246" t="s">
        <v>1163</v>
      </c>
      <c r="K250" s="246"/>
      <c r="L250" s="306">
        <v>0</v>
      </c>
      <c r="M250" s="263">
        <v>44593</v>
      </c>
      <c r="N250" s="263">
        <v>44925</v>
      </c>
      <c r="O250" s="263">
        <v>44652</v>
      </c>
      <c r="P250" s="264">
        <f t="shared" si="8"/>
        <v>0.17771084337349397</v>
      </c>
      <c r="Q250" s="264">
        <f>+IF(P250&gt;=100,100,IF(P250&lt;=0,0,P250))</f>
        <v>0.17771084337349397</v>
      </c>
      <c r="R250" s="265">
        <v>1</v>
      </c>
      <c r="S250" s="266">
        <v>0.25</v>
      </c>
      <c r="T250" s="266">
        <v>0.5</v>
      </c>
      <c r="U250" s="266">
        <v>0.75</v>
      </c>
      <c r="V250" s="266">
        <v>1</v>
      </c>
      <c r="W250" s="266">
        <v>0.2</v>
      </c>
      <c r="X250" s="266" t="s">
        <v>1164</v>
      </c>
      <c r="Y250" s="331" t="s">
        <v>52</v>
      </c>
      <c r="Z250" s="306">
        <v>0</v>
      </c>
      <c r="AA250" s="266">
        <v>0.4</v>
      </c>
      <c r="AB250" s="268" t="s">
        <v>1165</v>
      </c>
      <c r="AC250" s="268" t="s">
        <v>352</v>
      </c>
      <c r="AD250" s="306">
        <v>0</v>
      </c>
      <c r="AE250" s="522">
        <v>50</v>
      </c>
      <c r="AF250" s="268" t="s">
        <v>2427</v>
      </c>
      <c r="AG250" s="268" t="s">
        <v>2524</v>
      </c>
      <c r="AH250" s="267"/>
      <c r="AI250" s="268"/>
      <c r="AJ250" s="268"/>
      <c r="AK250" s="269"/>
    </row>
    <row r="251" spans="1:37" ht="72" hidden="1" customHeight="1" outlineLevel="1" x14ac:dyDescent="0.2">
      <c r="A251" s="651"/>
      <c r="B251" s="632" t="s">
        <v>39</v>
      </c>
      <c r="C251" s="579" t="s">
        <v>1140</v>
      </c>
      <c r="D251" s="844" t="s">
        <v>1169</v>
      </c>
      <c r="E251" s="849" t="s">
        <v>1141</v>
      </c>
      <c r="F251" s="849" t="s">
        <v>99</v>
      </c>
      <c r="G251" s="592" t="s">
        <v>1170</v>
      </c>
      <c r="H251" s="196" t="s">
        <v>1147</v>
      </c>
      <c r="I251" s="606" t="s">
        <v>101</v>
      </c>
      <c r="J251" s="655" t="s">
        <v>1171</v>
      </c>
      <c r="K251" s="246" t="s">
        <v>117</v>
      </c>
      <c r="L251" s="306">
        <v>0</v>
      </c>
      <c r="M251" s="263">
        <v>44593</v>
      </c>
      <c r="N251" s="263">
        <v>44925</v>
      </c>
      <c r="O251" s="263">
        <v>44652</v>
      </c>
      <c r="P251" s="264">
        <f t="shared" si="8"/>
        <v>0.17771084337349397</v>
      </c>
      <c r="Q251" s="264">
        <f t="shared" si="7"/>
        <v>0.17771084337349397</v>
      </c>
      <c r="R251" s="265">
        <v>1</v>
      </c>
      <c r="S251" s="266">
        <v>0.25</v>
      </c>
      <c r="T251" s="266">
        <v>0.5</v>
      </c>
      <c r="U251" s="266">
        <v>0.75</v>
      </c>
      <c r="V251" s="266">
        <v>1</v>
      </c>
      <c r="W251" s="266">
        <v>0.25</v>
      </c>
      <c r="X251" s="266" t="s">
        <v>1172</v>
      </c>
      <c r="Y251" s="331" t="s">
        <v>1173</v>
      </c>
      <c r="Z251" s="306">
        <v>0</v>
      </c>
      <c r="AA251" s="266">
        <v>0.4</v>
      </c>
      <c r="AB251" s="268" t="s">
        <v>1986</v>
      </c>
      <c r="AC251" s="268" t="s">
        <v>52</v>
      </c>
      <c r="AD251" s="306">
        <v>0</v>
      </c>
      <c r="AE251" s="522">
        <v>40</v>
      </c>
      <c r="AF251" s="268" t="s">
        <v>2169</v>
      </c>
      <c r="AG251" s="268" t="s">
        <v>2524</v>
      </c>
      <c r="AH251" s="267"/>
      <c r="AI251" s="268"/>
      <c r="AJ251" s="268"/>
      <c r="AK251" s="269"/>
    </row>
    <row r="252" spans="1:37" ht="111" hidden="1" customHeight="1" outlineLevel="1" x14ac:dyDescent="0.2">
      <c r="A252" s="651"/>
      <c r="B252" s="632"/>
      <c r="C252" s="580"/>
      <c r="D252" s="844"/>
      <c r="E252" s="850"/>
      <c r="F252" s="850"/>
      <c r="G252" s="626"/>
      <c r="H252" s="196" t="s">
        <v>1174</v>
      </c>
      <c r="I252" s="607"/>
      <c r="J252" s="763"/>
      <c r="K252" s="246" t="s">
        <v>117</v>
      </c>
      <c r="L252" s="306">
        <v>0</v>
      </c>
      <c r="M252" s="263">
        <v>44593</v>
      </c>
      <c r="N252" s="263">
        <v>44925</v>
      </c>
      <c r="O252" s="263">
        <v>44652</v>
      </c>
      <c r="P252" s="264">
        <f t="shared" si="8"/>
        <v>0.17771084337349397</v>
      </c>
      <c r="Q252" s="264">
        <f t="shared" si="7"/>
        <v>0.17771084337349397</v>
      </c>
      <c r="R252" s="265">
        <v>1</v>
      </c>
      <c r="S252" s="266">
        <v>0.25</v>
      </c>
      <c r="T252" s="266">
        <v>0.5</v>
      </c>
      <c r="U252" s="266">
        <v>0.75</v>
      </c>
      <c r="V252" s="266">
        <v>1</v>
      </c>
      <c r="W252" s="266">
        <v>0</v>
      </c>
      <c r="X252" s="266" t="s">
        <v>1175</v>
      </c>
      <c r="Y252" s="246" t="s">
        <v>52</v>
      </c>
      <c r="Z252" s="306">
        <v>0</v>
      </c>
      <c r="AA252" s="266">
        <v>0.5</v>
      </c>
      <c r="AB252" s="268" t="s">
        <v>1987</v>
      </c>
      <c r="AC252" s="268" t="s">
        <v>1997</v>
      </c>
      <c r="AD252" s="306">
        <v>0</v>
      </c>
      <c r="AE252" s="522">
        <v>75</v>
      </c>
      <c r="AF252" s="268" t="s">
        <v>2233</v>
      </c>
      <c r="AG252" s="268" t="s">
        <v>2524</v>
      </c>
      <c r="AH252" s="267"/>
      <c r="AI252" s="268"/>
      <c r="AJ252" s="268"/>
      <c r="AK252" s="269"/>
    </row>
    <row r="253" spans="1:37" ht="90" hidden="1" customHeight="1" outlineLevel="1" x14ac:dyDescent="0.2">
      <c r="A253" s="651"/>
      <c r="B253" s="632"/>
      <c r="C253" s="580"/>
      <c r="D253" s="844"/>
      <c r="E253" s="850"/>
      <c r="F253" s="850"/>
      <c r="G253" s="626"/>
      <c r="H253" s="196" t="s">
        <v>1176</v>
      </c>
      <c r="I253" s="607"/>
      <c r="J253" s="763"/>
      <c r="K253" s="246" t="s">
        <v>117</v>
      </c>
      <c r="L253" s="306">
        <v>0</v>
      </c>
      <c r="M253" s="263">
        <v>44593</v>
      </c>
      <c r="N253" s="263">
        <v>44925</v>
      </c>
      <c r="O253" s="263">
        <v>44652</v>
      </c>
      <c r="P253" s="264">
        <f t="shared" si="8"/>
        <v>0.17771084337349397</v>
      </c>
      <c r="Q253" s="264">
        <f t="shared" si="7"/>
        <v>0.17771084337349397</v>
      </c>
      <c r="R253" s="265">
        <v>1</v>
      </c>
      <c r="S253" s="266">
        <v>0.25</v>
      </c>
      <c r="T253" s="266">
        <v>0.5</v>
      </c>
      <c r="U253" s="266">
        <v>0.75</v>
      </c>
      <c r="V253" s="266">
        <v>1</v>
      </c>
      <c r="W253" s="266">
        <v>0</v>
      </c>
      <c r="X253" s="266" t="s">
        <v>1175</v>
      </c>
      <c r="Y253" s="246" t="s">
        <v>52</v>
      </c>
      <c r="Z253" s="306">
        <v>0</v>
      </c>
      <c r="AA253" s="266">
        <v>0</v>
      </c>
      <c r="AB253" s="268" t="s">
        <v>1988</v>
      </c>
      <c r="AC253" s="268" t="s">
        <v>52</v>
      </c>
      <c r="AD253" s="306">
        <v>0</v>
      </c>
      <c r="AE253" s="522">
        <v>0</v>
      </c>
      <c r="AF253" s="268" t="s">
        <v>2170</v>
      </c>
      <c r="AG253" s="268" t="s">
        <v>2524</v>
      </c>
      <c r="AH253" s="267"/>
      <c r="AI253" s="268"/>
      <c r="AJ253" s="268"/>
      <c r="AK253" s="269"/>
    </row>
    <row r="254" spans="1:37" ht="75" hidden="1" customHeight="1" outlineLevel="1" x14ac:dyDescent="0.2">
      <c r="A254" s="651"/>
      <c r="B254" s="632"/>
      <c r="C254" s="580"/>
      <c r="D254" s="844"/>
      <c r="E254" s="850"/>
      <c r="F254" s="850"/>
      <c r="G254" s="626"/>
      <c r="H254" s="196" t="s">
        <v>1177</v>
      </c>
      <c r="I254" s="607"/>
      <c r="J254" s="763"/>
      <c r="K254" s="246" t="s">
        <v>117</v>
      </c>
      <c r="L254" s="306">
        <v>0</v>
      </c>
      <c r="M254" s="263">
        <v>44593</v>
      </c>
      <c r="N254" s="263">
        <v>44925</v>
      </c>
      <c r="O254" s="263">
        <v>44652</v>
      </c>
      <c r="P254" s="264">
        <f t="shared" si="8"/>
        <v>0.17771084337349397</v>
      </c>
      <c r="Q254" s="264">
        <f t="shared" si="7"/>
        <v>0.17771084337349397</v>
      </c>
      <c r="R254" s="265">
        <v>1</v>
      </c>
      <c r="S254" s="266">
        <v>0.25</v>
      </c>
      <c r="T254" s="266">
        <v>0.5</v>
      </c>
      <c r="U254" s="266">
        <v>0.75</v>
      </c>
      <c r="V254" s="266">
        <v>1</v>
      </c>
      <c r="W254" s="266">
        <v>0.25</v>
      </c>
      <c r="X254" s="266" t="s">
        <v>1178</v>
      </c>
      <c r="Y254" s="331" t="s">
        <v>97</v>
      </c>
      <c r="Z254" s="306">
        <v>0</v>
      </c>
      <c r="AA254" s="266">
        <v>0.3</v>
      </c>
      <c r="AB254" s="268" t="s">
        <v>2171</v>
      </c>
      <c r="AC254" s="268" t="s">
        <v>52</v>
      </c>
      <c r="AD254" s="306">
        <v>0</v>
      </c>
      <c r="AE254" s="522">
        <v>40</v>
      </c>
      <c r="AF254" s="268" t="s">
        <v>2170</v>
      </c>
      <c r="AG254" s="268" t="s">
        <v>2524</v>
      </c>
      <c r="AH254" s="267"/>
      <c r="AI254" s="268"/>
      <c r="AJ254" s="268"/>
      <c r="AK254" s="269"/>
    </row>
    <row r="255" spans="1:37" ht="112.5" hidden="1" customHeight="1" outlineLevel="1" x14ac:dyDescent="0.2">
      <c r="A255" s="651"/>
      <c r="B255" s="632"/>
      <c r="C255" s="580"/>
      <c r="D255" s="844"/>
      <c r="E255" s="850"/>
      <c r="F255" s="850"/>
      <c r="G255" s="626"/>
      <c r="H255" s="196" t="s">
        <v>1179</v>
      </c>
      <c r="I255" s="607"/>
      <c r="J255" s="763"/>
      <c r="K255" s="246" t="s">
        <v>117</v>
      </c>
      <c r="L255" s="306">
        <v>0</v>
      </c>
      <c r="M255" s="263">
        <v>44593</v>
      </c>
      <c r="N255" s="263">
        <v>44925</v>
      </c>
      <c r="O255" s="263">
        <v>44652</v>
      </c>
      <c r="P255" s="264">
        <f t="shared" si="8"/>
        <v>0.17771084337349397</v>
      </c>
      <c r="Q255" s="264">
        <f t="shared" si="7"/>
        <v>0.17771084337349397</v>
      </c>
      <c r="R255" s="265">
        <v>1</v>
      </c>
      <c r="S255" s="266">
        <v>0.25</v>
      </c>
      <c r="T255" s="266">
        <v>0.5</v>
      </c>
      <c r="U255" s="266">
        <v>0.75</v>
      </c>
      <c r="V255" s="266">
        <v>1</v>
      </c>
      <c r="W255" s="266">
        <v>0</v>
      </c>
      <c r="X255" s="266" t="s">
        <v>1180</v>
      </c>
      <c r="Y255" s="246" t="s">
        <v>52</v>
      </c>
      <c r="Z255" s="306">
        <v>0</v>
      </c>
      <c r="AA255" s="266">
        <v>0.2</v>
      </c>
      <c r="AB255" s="268" t="s">
        <v>1989</v>
      </c>
      <c r="AC255" s="268" t="s">
        <v>52</v>
      </c>
      <c r="AD255" s="306">
        <v>0</v>
      </c>
      <c r="AE255" s="522">
        <v>40</v>
      </c>
      <c r="AF255" s="268" t="s">
        <v>2170</v>
      </c>
      <c r="AG255" s="268" t="s">
        <v>2524</v>
      </c>
      <c r="AH255" s="267"/>
      <c r="AI255" s="268"/>
      <c r="AJ255" s="268"/>
      <c r="AK255" s="269"/>
    </row>
    <row r="256" spans="1:37" ht="57.6" hidden="1" customHeight="1" outlineLevel="1" x14ac:dyDescent="0.2">
      <c r="A256" s="651"/>
      <c r="B256" s="632"/>
      <c r="C256" s="580"/>
      <c r="D256" s="844"/>
      <c r="E256" s="850"/>
      <c r="F256" s="850"/>
      <c r="G256" s="626"/>
      <c r="H256" s="196" t="s">
        <v>1181</v>
      </c>
      <c r="I256" s="607"/>
      <c r="J256" s="763"/>
      <c r="K256" s="246" t="s">
        <v>117</v>
      </c>
      <c r="L256" s="306">
        <v>0</v>
      </c>
      <c r="M256" s="263">
        <v>44593</v>
      </c>
      <c r="N256" s="263">
        <v>44925</v>
      </c>
      <c r="O256" s="263">
        <v>44652</v>
      </c>
      <c r="P256" s="264">
        <f t="shared" si="8"/>
        <v>0.17771084337349397</v>
      </c>
      <c r="Q256" s="264">
        <f>+IF(P256&gt;=100,100,IF(P256&lt;=0,0,P256))</f>
        <v>0.17771084337349397</v>
      </c>
      <c r="R256" s="265">
        <v>1</v>
      </c>
      <c r="S256" s="266">
        <v>0.25</v>
      </c>
      <c r="T256" s="266">
        <v>0.5</v>
      </c>
      <c r="U256" s="266">
        <v>0.75</v>
      </c>
      <c r="V256" s="266">
        <v>1</v>
      </c>
      <c r="W256" s="266">
        <v>0</v>
      </c>
      <c r="X256" s="266" t="s">
        <v>1182</v>
      </c>
      <c r="Y256" s="246" t="s">
        <v>52</v>
      </c>
      <c r="Z256" s="306">
        <v>0</v>
      </c>
      <c r="AA256" s="266">
        <v>0.5</v>
      </c>
      <c r="AB256" s="268" t="s">
        <v>1990</v>
      </c>
      <c r="AC256" s="268" t="s">
        <v>52</v>
      </c>
      <c r="AD256" s="306">
        <v>0</v>
      </c>
      <c r="AE256" s="522">
        <v>40</v>
      </c>
      <c r="AF256" s="268" t="s">
        <v>2172</v>
      </c>
      <c r="AG256" s="268" t="s">
        <v>2524</v>
      </c>
      <c r="AH256" s="267"/>
      <c r="AI256" s="268"/>
      <c r="AJ256" s="268"/>
      <c r="AK256" s="269"/>
    </row>
    <row r="257" spans="1:37" ht="57.6" hidden="1" customHeight="1" outlineLevel="1" x14ac:dyDescent="0.2">
      <c r="A257" s="651"/>
      <c r="B257" s="632"/>
      <c r="C257" s="580"/>
      <c r="D257" s="844"/>
      <c r="E257" s="850"/>
      <c r="F257" s="850"/>
      <c r="G257" s="626"/>
      <c r="H257" s="196" t="s">
        <v>1996</v>
      </c>
      <c r="I257" s="607"/>
      <c r="J257" s="763"/>
      <c r="K257" s="246" t="s">
        <v>117</v>
      </c>
      <c r="L257" s="306">
        <v>0</v>
      </c>
      <c r="M257" s="263"/>
      <c r="N257" s="263"/>
      <c r="O257" s="263"/>
      <c r="P257" s="264"/>
      <c r="Q257" s="264"/>
      <c r="R257" s="265"/>
      <c r="S257" s="266"/>
      <c r="T257" s="266"/>
      <c r="U257" s="266"/>
      <c r="V257" s="266"/>
      <c r="W257" s="266">
        <v>0</v>
      </c>
      <c r="X257" s="266" t="s">
        <v>52</v>
      </c>
      <c r="Y257" s="246"/>
      <c r="Z257" s="306">
        <v>0</v>
      </c>
      <c r="AA257" s="266">
        <v>0.1</v>
      </c>
      <c r="AB257" s="268" t="s">
        <v>1991</v>
      </c>
      <c r="AC257" s="268" t="s">
        <v>52</v>
      </c>
      <c r="AD257" s="306">
        <v>0</v>
      </c>
      <c r="AE257" s="522">
        <v>30</v>
      </c>
      <c r="AF257" s="268" t="s">
        <v>1991</v>
      </c>
      <c r="AG257" s="268" t="s">
        <v>52</v>
      </c>
      <c r="AH257" s="267"/>
      <c r="AI257" s="268"/>
      <c r="AJ257" s="268"/>
      <c r="AK257" s="269"/>
    </row>
    <row r="258" spans="1:37" ht="92.25" hidden="1" customHeight="1" outlineLevel="1" x14ac:dyDescent="0.2">
      <c r="A258" s="651"/>
      <c r="B258" s="400" t="s">
        <v>849</v>
      </c>
      <c r="C258" s="400" t="s">
        <v>1184</v>
      </c>
      <c r="D258" s="844"/>
      <c r="E258" s="851"/>
      <c r="F258" s="851"/>
      <c r="G258" s="242" t="s">
        <v>44</v>
      </c>
      <c r="H258" s="196" t="s">
        <v>2174</v>
      </c>
      <c r="I258" s="8" t="s">
        <v>1186</v>
      </c>
      <c r="J258" s="246" t="s">
        <v>1187</v>
      </c>
      <c r="K258" s="246" t="s">
        <v>117</v>
      </c>
      <c r="L258" s="341">
        <v>10000000</v>
      </c>
      <c r="M258" s="263">
        <v>44593</v>
      </c>
      <c r="N258" s="263">
        <v>44925</v>
      </c>
      <c r="O258" s="263">
        <v>44652</v>
      </c>
      <c r="P258" s="264">
        <f t="shared" si="8"/>
        <v>0.17771084337349397</v>
      </c>
      <c r="Q258" s="264">
        <f>+IF(P258&gt;=100,100,IF(P258&lt;=0,0,P258))</f>
        <v>0.17771084337349397</v>
      </c>
      <c r="R258" s="265">
        <v>1</v>
      </c>
      <c r="S258" s="266">
        <v>0.25</v>
      </c>
      <c r="T258" s="266">
        <v>0.5</v>
      </c>
      <c r="U258" s="266">
        <v>0.75</v>
      </c>
      <c r="V258" s="266">
        <v>1</v>
      </c>
      <c r="W258" s="266">
        <v>0.2</v>
      </c>
      <c r="X258" s="266" t="s">
        <v>1188</v>
      </c>
      <c r="Y258" s="246" t="s">
        <v>52</v>
      </c>
      <c r="Z258" s="306">
        <v>0</v>
      </c>
      <c r="AA258" s="266">
        <v>0.25</v>
      </c>
      <c r="AB258" s="268" t="s">
        <v>1992</v>
      </c>
      <c r="AC258" s="268" t="s">
        <v>52</v>
      </c>
      <c r="AD258" s="306">
        <v>0</v>
      </c>
      <c r="AE258" s="522">
        <v>35</v>
      </c>
      <c r="AF258" s="268" t="s">
        <v>2173</v>
      </c>
      <c r="AG258" s="268" t="s">
        <v>2524</v>
      </c>
      <c r="AH258" s="267"/>
      <c r="AI258" s="268"/>
      <c r="AJ258" s="268"/>
      <c r="AK258" s="269"/>
    </row>
    <row r="259" spans="1:37" ht="105" hidden="1" customHeight="1" outlineLevel="1" x14ac:dyDescent="0.2">
      <c r="A259" s="651"/>
      <c r="B259" s="579" t="s">
        <v>39</v>
      </c>
      <c r="C259" s="579" t="s">
        <v>1049</v>
      </c>
      <c r="D259" s="844"/>
      <c r="E259" s="592" t="s">
        <v>1134</v>
      </c>
      <c r="F259" s="592" t="s">
        <v>1189</v>
      </c>
      <c r="G259" s="592" t="s">
        <v>1190</v>
      </c>
      <c r="H259" s="196" t="s">
        <v>1191</v>
      </c>
      <c r="I259" s="606" t="s">
        <v>1136</v>
      </c>
      <c r="J259" s="655" t="s">
        <v>1192</v>
      </c>
      <c r="K259" s="246" t="s">
        <v>117</v>
      </c>
      <c r="L259" s="306">
        <v>0</v>
      </c>
      <c r="M259" s="263">
        <v>44593</v>
      </c>
      <c r="N259" s="263">
        <v>44925</v>
      </c>
      <c r="O259" s="263">
        <v>44652</v>
      </c>
      <c r="P259" s="264">
        <f t="shared" si="8"/>
        <v>0.17771084337349397</v>
      </c>
      <c r="Q259" s="264">
        <f t="shared" si="7"/>
        <v>0.17771084337349397</v>
      </c>
      <c r="R259" s="265">
        <v>1</v>
      </c>
      <c r="S259" s="266">
        <v>0.25</v>
      </c>
      <c r="T259" s="266">
        <v>0.5</v>
      </c>
      <c r="U259" s="266">
        <v>0.75</v>
      </c>
      <c r="V259" s="266">
        <v>1</v>
      </c>
      <c r="W259" s="266">
        <v>0.25</v>
      </c>
      <c r="X259" s="266" t="s">
        <v>1193</v>
      </c>
      <c r="Y259" s="246" t="s">
        <v>52</v>
      </c>
      <c r="Z259" s="306">
        <v>0</v>
      </c>
      <c r="AA259" s="266">
        <v>0.3</v>
      </c>
      <c r="AB259" s="463" t="s">
        <v>1993</v>
      </c>
      <c r="AC259" s="268" t="s">
        <v>52</v>
      </c>
      <c r="AD259" s="306">
        <v>0</v>
      </c>
      <c r="AE259" s="522">
        <v>75</v>
      </c>
      <c r="AF259" s="268" t="s">
        <v>2175</v>
      </c>
      <c r="AG259" s="268" t="s">
        <v>2524</v>
      </c>
      <c r="AH259" s="267"/>
      <c r="AI259" s="268"/>
      <c r="AJ259" s="268"/>
      <c r="AK259" s="269"/>
    </row>
    <row r="260" spans="1:37" ht="56.25" hidden="1" customHeight="1" outlineLevel="1" x14ac:dyDescent="0.2">
      <c r="A260" s="651"/>
      <c r="B260" s="580"/>
      <c r="C260" s="580"/>
      <c r="D260" s="844"/>
      <c r="E260" s="593"/>
      <c r="F260" s="593"/>
      <c r="G260" s="593"/>
      <c r="H260" s="196" t="s">
        <v>1192</v>
      </c>
      <c r="I260" s="721"/>
      <c r="J260" s="656"/>
      <c r="K260" s="246" t="s">
        <v>117</v>
      </c>
      <c r="L260" s="306">
        <v>0</v>
      </c>
      <c r="M260" s="263">
        <v>44593</v>
      </c>
      <c r="N260" s="263">
        <v>44925</v>
      </c>
      <c r="O260" s="263">
        <v>44652</v>
      </c>
      <c r="P260" s="264">
        <f t="shared" si="8"/>
        <v>0.17771084337349397</v>
      </c>
      <c r="Q260" s="264">
        <f>+IF(P260&gt;=100,100,IF(P260&lt;=0,0,P260))</f>
        <v>0.17771084337349397</v>
      </c>
      <c r="R260" s="265">
        <v>1</v>
      </c>
      <c r="S260" s="266">
        <v>0.25</v>
      </c>
      <c r="T260" s="266">
        <v>0.5</v>
      </c>
      <c r="U260" s="266">
        <v>0.75</v>
      </c>
      <c r="V260" s="266">
        <v>1</v>
      </c>
      <c r="W260" s="266">
        <v>0.1</v>
      </c>
      <c r="X260" s="266" t="s">
        <v>1194</v>
      </c>
      <c r="Y260" s="343" t="s">
        <v>52</v>
      </c>
      <c r="Z260" s="306">
        <v>0</v>
      </c>
      <c r="AA260" s="266">
        <v>0.5</v>
      </c>
      <c r="AB260" s="268" t="s">
        <v>1994</v>
      </c>
      <c r="AC260" s="268" t="s">
        <v>52</v>
      </c>
      <c r="AD260" s="306">
        <v>0</v>
      </c>
      <c r="AE260" s="522">
        <v>75</v>
      </c>
      <c r="AF260" s="268" t="s">
        <v>2176</v>
      </c>
      <c r="AG260" s="268" t="s">
        <v>2524</v>
      </c>
      <c r="AH260" s="267"/>
      <c r="AI260" s="268"/>
      <c r="AJ260" s="268"/>
      <c r="AK260" s="269"/>
    </row>
    <row r="261" spans="1:37" ht="46.9" hidden="1" customHeight="1" outlineLevel="1" x14ac:dyDescent="0.2">
      <c r="A261" s="651"/>
      <c r="B261" s="580"/>
      <c r="C261" s="580"/>
      <c r="D261" s="844"/>
      <c r="E261" s="592" t="s">
        <v>1195</v>
      </c>
      <c r="F261" s="242" t="s">
        <v>43</v>
      </c>
      <c r="G261" s="242" t="s">
        <v>1196</v>
      </c>
      <c r="H261" s="196" t="s">
        <v>1124</v>
      </c>
      <c r="I261" s="8" t="s">
        <v>46</v>
      </c>
      <c r="J261" s="246" t="s">
        <v>189</v>
      </c>
      <c r="K261" s="246" t="s">
        <v>117</v>
      </c>
      <c r="L261" s="336">
        <v>33960500</v>
      </c>
      <c r="M261" s="263">
        <v>44593</v>
      </c>
      <c r="N261" s="263">
        <v>44925</v>
      </c>
      <c r="O261" s="263">
        <v>44652</v>
      </c>
      <c r="P261" s="264">
        <f t="shared" si="8"/>
        <v>0.17771084337349397</v>
      </c>
      <c r="Q261" s="264">
        <f>+IF(P261&gt;=100,100,IF(P261&lt;=0,0,P261))</f>
        <v>0.17771084337349397</v>
      </c>
      <c r="R261" s="265">
        <v>1</v>
      </c>
      <c r="S261" s="266">
        <v>0.25</v>
      </c>
      <c r="T261" s="266">
        <v>0.5</v>
      </c>
      <c r="U261" s="266">
        <v>0.75</v>
      </c>
      <c r="V261" s="266">
        <v>1</v>
      </c>
      <c r="W261" s="266">
        <v>0.25</v>
      </c>
      <c r="X261" s="266" t="s">
        <v>1197</v>
      </c>
      <c r="Y261" s="331" t="s">
        <v>620</v>
      </c>
      <c r="Z261" s="341">
        <v>17693420</v>
      </c>
      <c r="AA261" s="266">
        <v>0.52</v>
      </c>
      <c r="AB261" s="266" t="s">
        <v>1197</v>
      </c>
      <c r="AC261" s="268" t="s">
        <v>303</v>
      </c>
      <c r="AD261" s="306">
        <v>0</v>
      </c>
      <c r="AE261" s="522">
        <v>75</v>
      </c>
      <c r="AF261" s="266" t="s">
        <v>2178</v>
      </c>
      <c r="AG261" s="268" t="s">
        <v>2524</v>
      </c>
      <c r="AH261" s="267"/>
      <c r="AI261" s="268"/>
      <c r="AJ261" s="268"/>
      <c r="AK261" s="269"/>
    </row>
    <row r="262" spans="1:37" ht="62.45" hidden="1" customHeight="1" outlineLevel="1" x14ac:dyDescent="0.2">
      <c r="A262" s="651"/>
      <c r="B262" s="580"/>
      <c r="C262" s="580"/>
      <c r="D262" s="844"/>
      <c r="E262" s="593"/>
      <c r="F262" s="242" t="s">
        <v>391</v>
      </c>
      <c r="G262" s="242" t="s">
        <v>1196</v>
      </c>
      <c r="H262" s="196" t="s">
        <v>1198</v>
      </c>
      <c r="I262" s="8" t="s">
        <v>394</v>
      </c>
      <c r="J262" s="246" t="s">
        <v>189</v>
      </c>
      <c r="K262" s="246" t="s">
        <v>117</v>
      </c>
      <c r="L262" s="336">
        <v>17325000</v>
      </c>
      <c r="M262" s="263">
        <v>44593</v>
      </c>
      <c r="N262" s="263">
        <v>44925</v>
      </c>
      <c r="O262" s="263">
        <v>44652</v>
      </c>
      <c r="P262" s="264">
        <f t="shared" si="8"/>
        <v>0.17771084337349397</v>
      </c>
      <c r="Q262" s="264">
        <f>+IF(P262&gt;=100,100,IF(P262&lt;=0,0,P262))</f>
        <v>0.17771084337349397</v>
      </c>
      <c r="R262" s="265">
        <v>1</v>
      </c>
      <c r="S262" s="266">
        <v>0.25</v>
      </c>
      <c r="T262" s="266">
        <v>0.5</v>
      </c>
      <c r="U262" s="266">
        <v>0.75</v>
      </c>
      <c r="V262" s="266">
        <v>1</v>
      </c>
      <c r="W262" s="266">
        <v>0.25</v>
      </c>
      <c r="X262" s="266" t="s">
        <v>1199</v>
      </c>
      <c r="Y262" s="331" t="s">
        <v>620</v>
      </c>
      <c r="Z262" s="341">
        <v>6930000</v>
      </c>
      <c r="AA262" s="266">
        <v>0.4</v>
      </c>
      <c r="AB262" s="266" t="s">
        <v>1199</v>
      </c>
      <c r="AC262" s="268" t="s">
        <v>303</v>
      </c>
      <c r="AD262" s="306">
        <v>0</v>
      </c>
      <c r="AE262" s="522">
        <v>75</v>
      </c>
      <c r="AF262" s="266" t="s">
        <v>2177</v>
      </c>
      <c r="AG262" s="268" t="s">
        <v>2524</v>
      </c>
      <c r="AH262" s="267"/>
      <c r="AI262" s="268"/>
      <c r="AJ262" s="268"/>
      <c r="AK262" s="269"/>
    </row>
    <row r="263" spans="1:37" ht="93.75" hidden="1" customHeight="1" outlineLevel="1" x14ac:dyDescent="0.2">
      <c r="A263" s="651"/>
      <c r="B263" s="581"/>
      <c r="C263" s="581"/>
      <c r="D263" s="844"/>
      <c r="E263" s="242" t="s">
        <v>1112</v>
      </c>
      <c r="F263" s="242" t="s">
        <v>175</v>
      </c>
      <c r="G263" s="242" t="s">
        <v>233</v>
      </c>
      <c r="H263" s="196" t="s">
        <v>1200</v>
      </c>
      <c r="I263" s="8" t="s">
        <v>178</v>
      </c>
      <c r="J263" s="246" t="s">
        <v>1201</v>
      </c>
      <c r="K263" s="246" t="s">
        <v>117</v>
      </c>
      <c r="L263" s="306">
        <v>0</v>
      </c>
      <c r="M263" s="263">
        <v>44593</v>
      </c>
      <c r="N263" s="263">
        <v>44925</v>
      </c>
      <c r="O263" s="263">
        <v>44652</v>
      </c>
      <c r="P263" s="264">
        <f t="shared" si="8"/>
        <v>0.17771084337349397</v>
      </c>
      <c r="Q263" s="264">
        <f>+IF(P263&gt;=100,100,IF(P263&lt;=0,0,P263))</f>
        <v>0.17771084337349397</v>
      </c>
      <c r="R263" s="265">
        <v>1</v>
      </c>
      <c r="S263" s="266">
        <v>0.25</v>
      </c>
      <c r="T263" s="266">
        <v>0.5</v>
      </c>
      <c r="U263" s="266">
        <v>0.75</v>
      </c>
      <c r="V263" s="266">
        <v>1</v>
      </c>
      <c r="W263" s="266">
        <v>0.25</v>
      </c>
      <c r="X263" s="350" t="s">
        <v>1202</v>
      </c>
      <c r="Y263" s="331" t="s">
        <v>1203</v>
      </c>
      <c r="Z263" s="306">
        <v>0</v>
      </c>
      <c r="AA263" s="266">
        <v>0.5</v>
      </c>
      <c r="AB263" s="268" t="s">
        <v>1995</v>
      </c>
      <c r="AC263" s="268" t="s">
        <v>1998</v>
      </c>
      <c r="AD263" s="306">
        <v>0</v>
      </c>
      <c r="AE263" s="522">
        <v>75</v>
      </c>
      <c r="AF263" s="268" t="s">
        <v>2179</v>
      </c>
      <c r="AG263" s="268" t="s">
        <v>2524</v>
      </c>
      <c r="AH263" s="267"/>
      <c r="AI263" s="268"/>
      <c r="AJ263" s="268"/>
      <c r="AK263" s="269"/>
    </row>
    <row r="264" spans="1:37" ht="87" hidden="1" customHeight="1" outlineLevel="1" x14ac:dyDescent="0.2">
      <c r="A264" s="651"/>
      <c r="B264" s="579" t="s">
        <v>39</v>
      </c>
      <c r="C264" s="579" t="s">
        <v>1140</v>
      </c>
      <c r="D264" s="745" t="s">
        <v>1204</v>
      </c>
      <c r="E264" s="657" t="s">
        <v>1141</v>
      </c>
      <c r="F264" s="657" t="s">
        <v>99</v>
      </c>
      <c r="G264" s="678" t="s">
        <v>1170</v>
      </c>
      <c r="H264" s="196" t="s">
        <v>1147</v>
      </c>
      <c r="I264" s="677" t="s">
        <v>101</v>
      </c>
      <c r="J264" s="9" t="s">
        <v>1147</v>
      </c>
      <c r="K264" s="310">
        <v>40000000</v>
      </c>
      <c r="L264" s="310">
        <v>2000000</v>
      </c>
      <c r="M264" s="263">
        <v>44593</v>
      </c>
      <c r="N264" s="263">
        <v>44925</v>
      </c>
      <c r="O264" s="263">
        <v>44652</v>
      </c>
      <c r="P264" s="264">
        <f t="shared" si="8"/>
        <v>0.17771084337349397</v>
      </c>
      <c r="Q264" s="264">
        <f t="shared" si="7"/>
        <v>0.17771084337349397</v>
      </c>
      <c r="R264" s="265">
        <v>1</v>
      </c>
      <c r="S264" s="266">
        <v>0.25</v>
      </c>
      <c r="T264" s="266">
        <v>0.5</v>
      </c>
      <c r="U264" s="266">
        <v>0.75</v>
      </c>
      <c r="V264" s="266">
        <v>1</v>
      </c>
      <c r="W264" s="266">
        <v>0.25</v>
      </c>
      <c r="X264" s="266" t="s">
        <v>1205</v>
      </c>
      <c r="Y264" s="333" t="s">
        <v>1206</v>
      </c>
      <c r="Z264" s="306">
        <v>0</v>
      </c>
      <c r="AA264" s="266">
        <v>0.5</v>
      </c>
      <c r="AB264" s="268" t="s">
        <v>1207</v>
      </c>
      <c r="AC264" s="268" t="s">
        <v>1208</v>
      </c>
      <c r="AD264" s="306">
        <v>0</v>
      </c>
      <c r="AE264" s="522">
        <v>90</v>
      </c>
      <c r="AF264" s="267" t="s">
        <v>2138</v>
      </c>
      <c r="AG264" s="453" t="s">
        <v>2139</v>
      </c>
      <c r="AH264" s="267"/>
      <c r="AI264" s="268"/>
      <c r="AJ264" s="268"/>
      <c r="AK264" s="269"/>
    </row>
    <row r="265" spans="1:37" ht="125.25" hidden="1" customHeight="1" outlineLevel="1" x14ac:dyDescent="0.2">
      <c r="A265" s="651"/>
      <c r="B265" s="580"/>
      <c r="C265" s="580"/>
      <c r="D265" s="746"/>
      <c r="E265" s="658"/>
      <c r="F265" s="658"/>
      <c r="G265" s="678"/>
      <c r="H265" s="196" t="s">
        <v>1174</v>
      </c>
      <c r="I265" s="678"/>
      <c r="J265" s="9" t="s">
        <v>1174</v>
      </c>
      <c r="K265" s="310">
        <v>20000000</v>
      </c>
      <c r="L265" s="306">
        <v>0</v>
      </c>
      <c r="M265" s="263">
        <v>44593</v>
      </c>
      <c r="N265" s="263">
        <v>44925</v>
      </c>
      <c r="O265" s="263">
        <v>44652</v>
      </c>
      <c r="P265" s="264">
        <f t="shared" si="8"/>
        <v>0.17771084337349397</v>
      </c>
      <c r="Q265" s="264">
        <f t="shared" si="7"/>
        <v>0.17771084337349397</v>
      </c>
      <c r="R265" s="265">
        <v>1</v>
      </c>
      <c r="S265" s="266">
        <v>0.25</v>
      </c>
      <c r="T265" s="266">
        <v>0.5</v>
      </c>
      <c r="U265" s="266">
        <v>0.75</v>
      </c>
      <c r="V265" s="266">
        <v>1</v>
      </c>
      <c r="W265" s="266">
        <v>0.25</v>
      </c>
      <c r="X265" s="266" t="s">
        <v>1209</v>
      </c>
      <c r="Y265" s="333" t="s">
        <v>1206</v>
      </c>
      <c r="Z265" s="306">
        <v>0</v>
      </c>
      <c r="AA265" s="266">
        <v>0.5</v>
      </c>
      <c r="AB265" s="268" t="s">
        <v>1210</v>
      </c>
      <c r="AC265" s="268" t="s">
        <v>1208</v>
      </c>
      <c r="AD265" s="306">
        <v>0</v>
      </c>
      <c r="AE265" s="522">
        <v>100</v>
      </c>
      <c r="AF265" s="267" t="s">
        <v>2143</v>
      </c>
      <c r="AG265" s="268" t="s">
        <v>2524</v>
      </c>
      <c r="AH265" s="267"/>
      <c r="AI265" s="268"/>
      <c r="AJ265" s="268"/>
      <c r="AK265" s="269"/>
    </row>
    <row r="266" spans="1:37" ht="114.75" hidden="1" customHeight="1" outlineLevel="1" x14ac:dyDescent="0.2">
      <c r="A266" s="651"/>
      <c r="B266" s="580"/>
      <c r="C266" s="580"/>
      <c r="D266" s="746"/>
      <c r="E266" s="658"/>
      <c r="F266" s="658"/>
      <c r="G266" s="678"/>
      <c r="H266" s="196" t="s">
        <v>1176</v>
      </c>
      <c r="I266" s="678"/>
      <c r="J266" s="9" t="s">
        <v>1176</v>
      </c>
      <c r="K266" s="310">
        <v>80000000</v>
      </c>
      <c r="L266" s="306">
        <v>0</v>
      </c>
      <c r="M266" s="263">
        <v>44593</v>
      </c>
      <c r="N266" s="263">
        <v>44925</v>
      </c>
      <c r="O266" s="263">
        <v>44652</v>
      </c>
      <c r="P266" s="264">
        <f t="shared" si="8"/>
        <v>0.17771084337349397</v>
      </c>
      <c r="Q266" s="264">
        <f t="shared" si="7"/>
        <v>0.17771084337349397</v>
      </c>
      <c r="R266" s="265">
        <v>1</v>
      </c>
      <c r="S266" s="266">
        <v>0.25</v>
      </c>
      <c r="T266" s="266">
        <v>0.5</v>
      </c>
      <c r="U266" s="266">
        <v>0.75</v>
      </c>
      <c r="V266" s="266">
        <v>1</v>
      </c>
      <c r="W266" s="266">
        <v>0.4</v>
      </c>
      <c r="X266" s="266" t="s">
        <v>1211</v>
      </c>
      <c r="Y266" s="333" t="s">
        <v>1206</v>
      </c>
      <c r="Z266" s="306">
        <v>0</v>
      </c>
      <c r="AA266" s="266">
        <v>0</v>
      </c>
      <c r="AB266" s="266" t="s">
        <v>1212</v>
      </c>
      <c r="AC266" s="268" t="s">
        <v>52</v>
      </c>
      <c r="AD266" s="306">
        <v>0</v>
      </c>
      <c r="AE266" s="522">
        <v>60</v>
      </c>
      <c r="AF266" s="268" t="s">
        <v>2142</v>
      </c>
      <c r="AG266" s="453" t="s">
        <v>2140</v>
      </c>
      <c r="AH266" s="267"/>
      <c r="AI266" s="268"/>
      <c r="AJ266" s="268"/>
      <c r="AK266" s="269"/>
    </row>
    <row r="267" spans="1:37" ht="120" hidden="1" customHeight="1" outlineLevel="1" x14ac:dyDescent="0.2">
      <c r="A267" s="651"/>
      <c r="B267" s="580"/>
      <c r="C267" s="580"/>
      <c r="D267" s="746"/>
      <c r="E267" s="658"/>
      <c r="F267" s="658"/>
      <c r="G267" s="678"/>
      <c r="H267" s="196" t="s">
        <v>1177</v>
      </c>
      <c r="I267" s="678"/>
      <c r="J267" s="9" t="s">
        <v>1177</v>
      </c>
      <c r="K267" s="310">
        <v>40000000</v>
      </c>
      <c r="L267" s="306">
        <v>0</v>
      </c>
      <c r="M267" s="263">
        <v>44593</v>
      </c>
      <c r="N267" s="263">
        <v>44925</v>
      </c>
      <c r="O267" s="263">
        <v>44652</v>
      </c>
      <c r="P267" s="264">
        <f t="shared" si="8"/>
        <v>0.17771084337349397</v>
      </c>
      <c r="Q267" s="264">
        <f t="shared" ref="Q267:Q285" si="9">+IF(P267&gt;=100,100,IF(P267&lt;=0,0,P267))</f>
        <v>0.17771084337349397</v>
      </c>
      <c r="R267" s="265">
        <v>1</v>
      </c>
      <c r="S267" s="266">
        <v>0.25</v>
      </c>
      <c r="T267" s="266">
        <v>0.5</v>
      </c>
      <c r="U267" s="266">
        <v>0.75</v>
      </c>
      <c r="V267" s="266">
        <v>1</v>
      </c>
      <c r="W267" s="266">
        <v>0</v>
      </c>
      <c r="X267" s="266" t="s">
        <v>1212</v>
      </c>
      <c r="Y267" s="333" t="s">
        <v>1206</v>
      </c>
      <c r="Z267" s="306">
        <v>0</v>
      </c>
      <c r="AA267" s="266">
        <v>0</v>
      </c>
      <c r="AB267" s="266" t="s">
        <v>1212</v>
      </c>
      <c r="AC267" s="268" t="s">
        <v>52</v>
      </c>
      <c r="AD267" s="306">
        <v>0</v>
      </c>
      <c r="AE267" s="522">
        <v>90</v>
      </c>
      <c r="AF267" s="267" t="s">
        <v>2141</v>
      </c>
      <c r="AG267" s="453" t="s">
        <v>2139</v>
      </c>
      <c r="AH267" s="267"/>
      <c r="AI267" s="268"/>
      <c r="AJ267" s="268"/>
      <c r="AK267" s="269"/>
    </row>
    <row r="268" spans="1:37" ht="135" hidden="1" customHeight="1" outlineLevel="1" x14ac:dyDescent="0.2">
      <c r="A268" s="651"/>
      <c r="B268" s="580"/>
      <c r="C268" s="580"/>
      <c r="D268" s="746"/>
      <c r="E268" s="658"/>
      <c r="F268" s="658"/>
      <c r="G268" s="678"/>
      <c r="H268" s="196" t="s">
        <v>1179</v>
      </c>
      <c r="I268" s="678"/>
      <c r="J268" s="9" t="s">
        <v>1179</v>
      </c>
      <c r="K268" s="310">
        <v>50000000</v>
      </c>
      <c r="L268" s="306">
        <v>0</v>
      </c>
      <c r="M268" s="263">
        <v>44593</v>
      </c>
      <c r="N268" s="263">
        <v>44925</v>
      </c>
      <c r="O268" s="263">
        <v>44652</v>
      </c>
      <c r="P268" s="264">
        <f t="shared" si="8"/>
        <v>0.17771084337349397</v>
      </c>
      <c r="Q268" s="264">
        <f t="shared" si="9"/>
        <v>0.17771084337349397</v>
      </c>
      <c r="R268" s="265">
        <v>1</v>
      </c>
      <c r="S268" s="266">
        <v>0.25</v>
      </c>
      <c r="T268" s="266">
        <v>0.5</v>
      </c>
      <c r="U268" s="266">
        <v>0.75</v>
      </c>
      <c r="V268" s="266">
        <v>1</v>
      </c>
      <c r="W268" s="266">
        <v>0.25</v>
      </c>
      <c r="X268" s="266" t="s">
        <v>1213</v>
      </c>
      <c r="Y268" s="333" t="s">
        <v>1206</v>
      </c>
      <c r="Z268" s="306">
        <v>0</v>
      </c>
      <c r="AA268" s="266">
        <v>0.5</v>
      </c>
      <c r="AB268" s="268" t="s">
        <v>1214</v>
      </c>
      <c r="AC268" s="268" t="s">
        <v>52</v>
      </c>
      <c r="AD268" s="306">
        <v>0</v>
      </c>
      <c r="AE268" s="522">
        <v>90</v>
      </c>
      <c r="AF268" s="267" t="s">
        <v>2144</v>
      </c>
      <c r="AG268" s="453" t="s">
        <v>2139</v>
      </c>
      <c r="AH268" s="267"/>
      <c r="AI268" s="268"/>
      <c r="AJ268" s="268"/>
      <c r="AK268" s="269"/>
    </row>
    <row r="269" spans="1:37" ht="60.75" hidden="1" customHeight="1" outlineLevel="1" x14ac:dyDescent="0.2">
      <c r="A269" s="651"/>
      <c r="B269" s="580"/>
      <c r="C269" s="580"/>
      <c r="D269" s="746"/>
      <c r="E269" s="658"/>
      <c r="F269" s="658"/>
      <c r="G269" s="678"/>
      <c r="H269" s="196" t="s">
        <v>1215</v>
      </c>
      <c r="I269" s="678"/>
      <c r="J269" s="9" t="s">
        <v>1215</v>
      </c>
      <c r="K269" s="310">
        <v>15000000</v>
      </c>
      <c r="L269" s="306">
        <v>0</v>
      </c>
      <c r="M269" s="263">
        <v>44593</v>
      </c>
      <c r="N269" s="263">
        <v>44925</v>
      </c>
      <c r="O269" s="263">
        <v>44652</v>
      </c>
      <c r="P269" s="264">
        <f t="shared" si="8"/>
        <v>0.17771084337349397</v>
      </c>
      <c r="Q269" s="264">
        <f t="shared" si="9"/>
        <v>0.17771084337349397</v>
      </c>
      <c r="R269" s="265">
        <v>1</v>
      </c>
      <c r="S269" s="266">
        <v>0.25</v>
      </c>
      <c r="T269" s="266">
        <v>0.5</v>
      </c>
      <c r="U269" s="266">
        <v>0.75</v>
      </c>
      <c r="V269" s="266">
        <v>1</v>
      </c>
      <c r="W269" s="266">
        <v>0.2</v>
      </c>
      <c r="X269" s="266" t="s">
        <v>1216</v>
      </c>
      <c r="Y269" s="333" t="s">
        <v>1206</v>
      </c>
      <c r="Z269" s="306">
        <v>0</v>
      </c>
      <c r="AA269" s="266">
        <v>1</v>
      </c>
      <c r="AB269" s="268" t="s">
        <v>2145</v>
      </c>
      <c r="AC269" s="268" t="s">
        <v>52</v>
      </c>
      <c r="AD269" s="268">
        <v>1817000</v>
      </c>
      <c r="AE269" s="266">
        <v>1</v>
      </c>
      <c r="AF269" s="267" t="s">
        <v>2143</v>
      </c>
      <c r="AG269" s="268" t="s">
        <v>52</v>
      </c>
      <c r="AH269" s="267"/>
      <c r="AI269" s="268"/>
      <c r="AJ269" s="268"/>
      <c r="AK269" s="269"/>
    </row>
    <row r="270" spans="1:37" ht="150" hidden="1" customHeight="1" outlineLevel="1" x14ac:dyDescent="0.2">
      <c r="A270" s="651"/>
      <c r="B270" s="580"/>
      <c r="C270" s="580"/>
      <c r="D270" s="746"/>
      <c r="E270" s="658"/>
      <c r="F270" s="658"/>
      <c r="G270" s="678"/>
      <c r="H270" s="196" t="s">
        <v>1217</v>
      </c>
      <c r="I270" s="678"/>
      <c r="J270" s="9" t="s">
        <v>1217</v>
      </c>
      <c r="K270" s="311">
        <v>1000000</v>
      </c>
      <c r="L270" s="306">
        <v>0</v>
      </c>
      <c r="M270" s="263">
        <v>44593</v>
      </c>
      <c r="N270" s="263">
        <v>44925</v>
      </c>
      <c r="O270" s="263">
        <v>44652</v>
      </c>
      <c r="P270" s="264">
        <f t="shared" si="8"/>
        <v>0.17771084337349397</v>
      </c>
      <c r="Q270" s="264">
        <f t="shared" si="9"/>
        <v>0.17771084337349397</v>
      </c>
      <c r="R270" s="265">
        <v>1</v>
      </c>
      <c r="S270" s="266">
        <v>0.25</v>
      </c>
      <c r="T270" s="266">
        <v>0.5</v>
      </c>
      <c r="U270" s="266">
        <v>0.75</v>
      </c>
      <c r="V270" s="266">
        <v>1</v>
      </c>
      <c r="W270" s="266">
        <v>0.25</v>
      </c>
      <c r="X270" s="266" t="s">
        <v>1218</v>
      </c>
      <c r="Y270" s="333" t="s">
        <v>1206</v>
      </c>
      <c r="Z270" s="306">
        <v>1452000</v>
      </c>
      <c r="AA270" s="266">
        <v>1</v>
      </c>
      <c r="AB270" s="268" t="s">
        <v>1219</v>
      </c>
      <c r="AC270" s="268" t="s">
        <v>52</v>
      </c>
      <c r="AD270" s="306">
        <v>0</v>
      </c>
      <c r="AE270" s="266">
        <v>1</v>
      </c>
      <c r="AF270" s="267" t="s">
        <v>2143</v>
      </c>
      <c r="AG270" s="268" t="s">
        <v>52</v>
      </c>
      <c r="AH270" s="267"/>
      <c r="AI270" s="268"/>
      <c r="AJ270" s="268"/>
      <c r="AK270" s="269"/>
    </row>
    <row r="271" spans="1:37" ht="56.25" hidden="1" customHeight="1" outlineLevel="1" x14ac:dyDescent="0.2">
      <c r="A271" s="651"/>
      <c r="B271" s="581"/>
      <c r="C271" s="581"/>
      <c r="D271" s="746"/>
      <c r="E271" s="659"/>
      <c r="F271" s="659"/>
      <c r="G271" s="678"/>
      <c r="H271" s="196" t="s">
        <v>1220</v>
      </c>
      <c r="I271" s="741"/>
      <c r="J271" s="9" t="s">
        <v>1220</v>
      </c>
      <c r="K271" s="310">
        <v>2000000</v>
      </c>
      <c r="L271" s="310">
        <v>2000000</v>
      </c>
      <c r="M271" s="263">
        <v>44593</v>
      </c>
      <c r="N271" s="263">
        <v>44925</v>
      </c>
      <c r="O271" s="263">
        <v>44652</v>
      </c>
      <c r="P271" s="264">
        <f t="shared" si="8"/>
        <v>0.17771084337349397</v>
      </c>
      <c r="Q271" s="264">
        <f t="shared" si="9"/>
        <v>0.17771084337349397</v>
      </c>
      <c r="R271" s="265">
        <v>1</v>
      </c>
      <c r="S271" s="266">
        <v>0.25</v>
      </c>
      <c r="T271" s="266">
        <v>0.5</v>
      </c>
      <c r="U271" s="266">
        <v>0.75</v>
      </c>
      <c r="V271" s="266">
        <v>1</v>
      </c>
      <c r="W271" s="266">
        <v>0.5</v>
      </c>
      <c r="X271" s="266" t="s">
        <v>1221</v>
      </c>
      <c r="Y271" s="333" t="s">
        <v>1206</v>
      </c>
      <c r="Z271" s="306">
        <v>0</v>
      </c>
      <c r="AA271" s="266">
        <v>1</v>
      </c>
      <c r="AB271" s="268" t="s">
        <v>1222</v>
      </c>
      <c r="AC271" s="268" t="s">
        <v>52</v>
      </c>
      <c r="AD271" s="306">
        <v>0</v>
      </c>
      <c r="AE271" s="266">
        <v>1</v>
      </c>
      <c r="AF271" s="267" t="s">
        <v>2143</v>
      </c>
      <c r="AG271" s="268" t="s">
        <v>52</v>
      </c>
      <c r="AH271" s="267"/>
      <c r="AI271" s="268"/>
      <c r="AJ271" s="268"/>
      <c r="AK271" s="269"/>
    </row>
    <row r="272" spans="1:37" ht="84" hidden="1" customHeight="1" outlineLevel="1" x14ac:dyDescent="0.2">
      <c r="A272" s="651"/>
      <c r="B272" s="579" t="s">
        <v>39</v>
      </c>
      <c r="C272" s="579" t="s">
        <v>1049</v>
      </c>
      <c r="D272" s="746"/>
      <c r="E272" s="235" t="s">
        <v>1134</v>
      </c>
      <c r="F272" s="235" t="s">
        <v>1189</v>
      </c>
      <c r="G272" s="430" t="s">
        <v>44</v>
      </c>
      <c r="H272" s="196" t="s">
        <v>1223</v>
      </c>
      <c r="I272" s="430" t="s">
        <v>1136</v>
      </c>
      <c r="J272" s="9" t="s">
        <v>1224</v>
      </c>
      <c r="K272" s="310">
        <v>60000000</v>
      </c>
      <c r="L272" s="306">
        <v>0</v>
      </c>
      <c r="M272" s="263">
        <v>44593</v>
      </c>
      <c r="N272" s="263">
        <v>44925</v>
      </c>
      <c r="O272" s="263">
        <v>44652</v>
      </c>
      <c r="P272" s="264">
        <f t="shared" si="8"/>
        <v>0.17771084337349397</v>
      </c>
      <c r="Q272" s="264">
        <f t="shared" si="9"/>
        <v>0.17771084337349397</v>
      </c>
      <c r="R272" s="265">
        <v>1</v>
      </c>
      <c r="S272" s="266">
        <v>0.25</v>
      </c>
      <c r="T272" s="266">
        <v>0.5</v>
      </c>
      <c r="U272" s="266">
        <v>0.75</v>
      </c>
      <c r="V272" s="266">
        <v>1</v>
      </c>
      <c r="W272" s="266">
        <v>0.25</v>
      </c>
      <c r="X272" s="266" t="s">
        <v>1225</v>
      </c>
      <c r="Y272" s="333" t="s">
        <v>1206</v>
      </c>
      <c r="Z272" s="306">
        <v>0</v>
      </c>
      <c r="AA272" s="266">
        <v>0.5</v>
      </c>
      <c r="AB272" s="268" t="s">
        <v>1226</v>
      </c>
      <c r="AC272" s="268" t="s">
        <v>52</v>
      </c>
      <c r="AD272" s="306">
        <v>0</v>
      </c>
      <c r="AE272" s="522">
        <v>75</v>
      </c>
      <c r="AF272" s="268" t="s">
        <v>2146</v>
      </c>
      <c r="AG272" s="453" t="s">
        <v>2140</v>
      </c>
      <c r="AH272" s="267"/>
      <c r="AI272" s="268"/>
      <c r="AJ272" s="268"/>
      <c r="AK272" s="269"/>
    </row>
    <row r="273" spans="1:37" ht="161.25" hidden="1" customHeight="1" outlineLevel="1" x14ac:dyDescent="0.2">
      <c r="A273" s="651"/>
      <c r="B273" s="580"/>
      <c r="C273" s="580"/>
      <c r="D273" s="746"/>
      <c r="E273" s="235" t="s">
        <v>1227</v>
      </c>
      <c r="F273" s="235" t="s">
        <v>1069</v>
      </c>
      <c r="G273" s="430" t="s">
        <v>1228</v>
      </c>
      <c r="H273" s="196" t="s">
        <v>1229</v>
      </c>
      <c r="I273" s="430" t="s">
        <v>1129</v>
      </c>
      <c r="J273" s="9" t="s">
        <v>1229</v>
      </c>
      <c r="K273" s="312" t="s">
        <v>52</v>
      </c>
      <c r="L273" s="306">
        <v>0</v>
      </c>
      <c r="M273" s="263">
        <v>44593</v>
      </c>
      <c r="N273" s="263">
        <v>44925</v>
      </c>
      <c r="O273" s="263">
        <v>44652</v>
      </c>
      <c r="P273" s="264">
        <f t="shared" si="8"/>
        <v>0.17771084337349397</v>
      </c>
      <c r="Q273" s="264">
        <f t="shared" si="9"/>
        <v>0.17771084337349397</v>
      </c>
      <c r="R273" s="265">
        <v>1</v>
      </c>
      <c r="S273" s="266">
        <v>0.25</v>
      </c>
      <c r="T273" s="266">
        <v>0.5</v>
      </c>
      <c r="U273" s="266">
        <v>0.75</v>
      </c>
      <c r="V273" s="266">
        <v>1</v>
      </c>
      <c r="W273" s="266">
        <v>0.25</v>
      </c>
      <c r="X273" s="266" t="s">
        <v>1230</v>
      </c>
      <c r="Y273" s="333" t="s">
        <v>1206</v>
      </c>
      <c r="Z273" s="306">
        <v>0</v>
      </c>
      <c r="AA273" s="266">
        <v>0.3</v>
      </c>
      <c r="AB273" s="268" t="s">
        <v>1231</v>
      </c>
      <c r="AC273" s="268" t="s">
        <v>1232</v>
      </c>
      <c r="AD273" s="306">
        <v>0</v>
      </c>
      <c r="AE273" s="522">
        <v>45</v>
      </c>
      <c r="AF273" s="268" t="s">
        <v>2147</v>
      </c>
      <c r="AG273" s="268" t="s">
        <v>2148</v>
      </c>
      <c r="AH273" s="267"/>
      <c r="AI273" s="268"/>
      <c r="AJ273" s="268"/>
      <c r="AK273" s="269"/>
    </row>
    <row r="274" spans="1:37" ht="62.45" hidden="1" customHeight="1" outlineLevel="1" x14ac:dyDescent="0.2">
      <c r="A274" s="651"/>
      <c r="B274" s="580"/>
      <c r="C274" s="581"/>
      <c r="D274" s="746"/>
      <c r="E274" s="556"/>
      <c r="F274" s="556"/>
      <c r="G274" s="430" t="s">
        <v>1234</v>
      </c>
      <c r="H274" s="196" t="s">
        <v>1235</v>
      </c>
      <c r="I274" s="430" t="s">
        <v>178</v>
      </c>
      <c r="J274" s="9" t="s">
        <v>1236</v>
      </c>
      <c r="K274" s="310">
        <v>33960500</v>
      </c>
      <c r="L274" s="306">
        <v>0</v>
      </c>
      <c r="M274" s="263">
        <v>44593</v>
      </c>
      <c r="N274" s="263">
        <v>44925</v>
      </c>
      <c r="O274" s="263">
        <v>44652</v>
      </c>
      <c r="P274" s="264">
        <f t="shared" si="8"/>
        <v>0.17771084337349397</v>
      </c>
      <c r="Q274" s="264">
        <f t="shared" si="9"/>
        <v>0.17771084337349397</v>
      </c>
      <c r="R274" s="265">
        <v>1</v>
      </c>
      <c r="S274" s="266">
        <v>0.25</v>
      </c>
      <c r="T274" s="266">
        <v>0.5</v>
      </c>
      <c r="U274" s="266">
        <v>0.75</v>
      </c>
      <c r="V274" s="266">
        <v>1</v>
      </c>
      <c r="W274" s="266">
        <v>0.25</v>
      </c>
      <c r="X274" s="266" t="s">
        <v>1237</v>
      </c>
      <c r="Y274" s="333" t="s">
        <v>1206</v>
      </c>
      <c r="Z274" s="306">
        <v>0</v>
      </c>
      <c r="AA274" s="266">
        <v>0.52</v>
      </c>
      <c r="AB274" s="266" t="s">
        <v>1237</v>
      </c>
      <c r="AC274" s="268" t="s">
        <v>822</v>
      </c>
      <c r="AD274" s="306">
        <v>0</v>
      </c>
      <c r="AE274" s="522">
        <v>81</v>
      </c>
      <c r="AF274" s="266" t="s">
        <v>1237</v>
      </c>
      <c r="AG274" s="453" t="s">
        <v>2153</v>
      </c>
      <c r="AH274" s="267"/>
      <c r="AI274" s="268"/>
      <c r="AJ274" s="268"/>
      <c r="AK274" s="269"/>
    </row>
    <row r="275" spans="1:37" ht="62.45" hidden="1" customHeight="1" outlineLevel="1" x14ac:dyDescent="0.2">
      <c r="A275" s="651"/>
      <c r="B275" s="580"/>
      <c r="C275" s="579" t="s">
        <v>1088</v>
      </c>
      <c r="D275" s="746"/>
      <c r="E275" s="657" t="s">
        <v>1238</v>
      </c>
      <c r="F275" s="657" t="s">
        <v>761</v>
      </c>
      <c r="G275" s="678" t="s">
        <v>1239</v>
      </c>
      <c r="H275" s="558" t="s">
        <v>1240</v>
      </c>
      <c r="I275" s="741" t="s">
        <v>763</v>
      </c>
      <c r="J275" s="9" t="s">
        <v>1240</v>
      </c>
      <c r="K275" s="312">
        <v>6000000</v>
      </c>
      <c r="L275" s="306">
        <v>0</v>
      </c>
      <c r="M275" s="263">
        <v>44593</v>
      </c>
      <c r="N275" s="263">
        <v>44925</v>
      </c>
      <c r="O275" s="263">
        <v>44652</v>
      </c>
      <c r="P275" s="264">
        <f t="shared" si="8"/>
        <v>0.17771084337349397</v>
      </c>
      <c r="Q275" s="264">
        <f t="shared" si="9"/>
        <v>0.17771084337349397</v>
      </c>
      <c r="R275" s="265">
        <v>1</v>
      </c>
      <c r="S275" s="266">
        <v>0.25</v>
      </c>
      <c r="T275" s="266">
        <v>0.5</v>
      </c>
      <c r="U275" s="266">
        <v>0.75</v>
      </c>
      <c r="V275" s="266">
        <v>1</v>
      </c>
      <c r="W275" s="266">
        <v>0</v>
      </c>
      <c r="X275" s="266" t="s">
        <v>1212</v>
      </c>
      <c r="Y275" s="331" t="s">
        <v>52</v>
      </c>
      <c r="Z275" s="306">
        <v>0</v>
      </c>
      <c r="AA275" s="266">
        <v>0.4</v>
      </c>
      <c r="AB275" s="268" t="s">
        <v>1241</v>
      </c>
      <c r="AC275" s="268" t="s">
        <v>1242</v>
      </c>
      <c r="AD275" s="268">
        <v>12089448</v>
      </c>
      <c r="AE275" s="522">
        <v>100</v>
      </c>
      <c r="AF275" s="268" t="s">
        <v>2149</v>
      </c>
      <c r="AG275" s="453" t="s">
        <v>2153</v>
      </c>
      <c r="AH275" s="267"/>
      <c r="AI275" s="268"/>
      <c r="AJ275" s="268"/>
      <c r="AK275" s="269"/>
    </row>
    <row r="276" spans="1:37" ht="112.5" hidden="1" customHeight="1" outlineLevel="1" x14ac:dyDescent="0.2">
      <c r="A276" s="651"/>
      <c r="B276" s="581"/>
      <c r="C276" s="581"/>
      <c r="D276" s="746"/>
      <c r="E276" s="659"/>
      <c r="F276" s="659"/>
      <c r="G276" s="741"/>
      <c r="H276" s="196" t="s">
        <v>1243</v>
      </c>
      <c r="I276" s="824"/>
      <c r="J276" s="9" t="s">
        <v>1244</v>
      </c>
      <c r="K276" s="312" t="s">
        <v>52</v>
      </c>
      <c r="L276" s="306">
        <v>0</v>
      </c>
      <c r="M276" s="263">
        <v>44593</v>
      </c>
      <c r="N276" s="263">
        <v>44925</v>
      </c>
      <c r="O276" s="263">
        <v>44652</v>
      </c>
      <c r="P276" s="264">
        <f t="shared" si="8"/>
        <v>0.17771084337349397</v>
      </c>
      <c r="Q276" s="264">
        <f t="shared" si="9"/>
        <v>0.17771084337349397</v>
      </c>
      <c r="R276" s="265">
        <v>1</v>
      </c>
      <c r="S276" s="266">
        <v>0.25</v>
      </c>
      <c r="T276" s="266">
        <v>0.5</v>
      </c>
      <c r="U276" s="266">
        <v>0.75</v>
      </c>
      <c r="V276" s="266">
        <v>1</v>
      </c>
      <c r="W276" s="266">
        <v>0</v>
      </c>
      <c r="X276" s="266" t="s">
        <v>1212</v>
      </c>
      <c r="Y276" s="331" t="s">
        <v>52</v>
      </c>
      <c r="Z276" s="306">
        <v>0</v>
      </c>
      <c r="AA276" s="266">
        <v>0</v>
      </c>
      <c r="AB276" s="268" t="s">
        <v>1245</v>
      </c>
      <c r="AC276" s="268" t="s">
        <v>52</v>
      </c>
      <c r="AD276" s="306">
        <v>0</v>
      </c>
      <c r="AE276" s="266">
        <v>0</v>
      </c>
      <c r="AF276" s="268" t="s">
        <v>2154</v>
      </c>
      <c r="AG276" s="453" t="s">
        <v>2153</v>
      </c>
      <c r="AH276" s="267"/>
      <c r="AI276" s="268"/>
      <c r="AJ276" s="268"/>
      <c r="AK276" s="269"/>
    </row>
    <row r="277" spans="1:37" ht="91.5" hidden="1" customHeight="1" outlineLevel="1" x14ac:dyDescent="0.2">
      <c r="A277" s="651"/>
      <c r="B277" s="579" t="s">
        <v>849</v>
      </c>
      <c r="C277" s="400" t="s">
        <v>1184</v>
      </c>
      <c r="D277" s="746"/>
      <c r="E277" s="235" t="s">
        <v>1246</v>
      </c>
      <c r="F277" s="235" t="s">
        <v>1247</v>
      </c>
      <c r="G277" s="430" t="s">
        <v>1228</v>
      </c>
      <c r="H277" s="196" t="s">
        <v>1162</v>
      </c>
      <c r="I277" s="430" t="s">
        <v>1248</v>
      </c>
      <c r="J277" s="9" t="s">
        <v>1249</v>
      </c>
      <c r="K277" s="312">
        <v>42000000</v>
      </c>
      <c r="L277" s="306">
        <v>0</v>
      </c>
      <c r="M277" s="263">
        <v>44593</v>
      </c>
      <c r="N277" s="263">
        <v>44925</v>
      </c>
      <c r="O277" s="263">
        <v>44652</v>
      </c>
      <c r="P277" s="264">
        <f t="shared" si="8"/>
        <v>0.17771084337349397</v>
      </c>
      <c r="Q277" s="264">
        <f t="shared" si="9"/>
        <v>0.17771084337349397</v>
      </c>
      <c r="R277" s="265">
        <v>1</v>
      </c>
      <c r="S277" s="266">
        <v>0.25</v>
      </c>
      <c r="T277" s="266">
        <v>0.5</v>
      </c>
      <c r="U277" s="266">
        <v>0.75</v>
      </c>
      <c r="V277" s="266">
        <v>1</v>
      </c>
      <c r="W277" s="266">
        <v>0</v>
      </c>
      <c r="X277" s="266" t="s">
        <v>1250</v>
      </c>
      <c r="Y277" s="333" t="s">
        <v>1206</v>
      </c>
      <c r="Z277" s="306">
        <v>0</v>
      </c>
      <c r="AA277" s="266">
        <v>0.4</v>
      </c>
      <c r="AB277" s="268" t="s">
        <v>1251</v>
      </c>
      <c r="AC277" s="268" t="s">
        <v>1252</v>
      </c>
      <c r="AD277" s="268">
        <v>42000000</v>
      </c>
      <c r="AE277" s="522">
        <v>100</v>
      </c>
      <c r="AF277" s="268" t="s">
        <v>2150</v>
      </c>
      <c r="AG277" s="453" t="s">
        <v>2153</v>
      </c>
      <c r="AH277" s="267"/>
      <c r="AI277" s="268"/>
      <c r="AJ277" s="268"/>
      <c r="AK277" s="269"/>
    </row>
    <row r="278" spans="1:37" ht="75.75" hidden="1" customHeight="1" outlineLevel="1" x14ac:dyDescent="0.2">
      <c r="A278" s="651"/>
      <c r="B278" s="581"/>
      <c r="C278" s="400" t="s">
        <v>1166</v>
      </c>
      <c r="D278" s="746"/>
      <c r="E278" s="235" t="s">
        <v>1253</v>
      </c>
      <c r="F278" s="235" t="s">
        <v>1254</v>
      </c>
      <c r="G278" s="430" t="s">
        <v>1255</v>
      </c>
      <c r="H278" s="196" t="s">
        <v>1256</v>
      </c>
      <c r="I278" s="430" t="s">
        <v>1257</v>
      </c>
      <c r="J278" s="9" t="s">
        <v>1256</v>
      </c>
      <c r="K278" s="312" t="s">
        <v>52</v>
      </c>
      <c r="L278" s="306">
        <v>0</v>
      </c>
      <c r="M278" s="263">
        <v>44593</v>
      </c>
      <c r="N278" s="263">
        <v>44925</v>
      </c>
      <c r="O278" s="263">
        <v>44652</v>
      </c>
      <c r="P278" s="264">
        <f t="shared" si="8"/>
        <v>0.17771084337349397</v>
      </c>
      <c r="Q278" s="264">
        <f t="shared" si="9"/>
        <v>0.17771084337349397</v>
      </c>
      <c r="R278" s="265">
        <v>1</v>
      </c>
      <c r="S278" s="266">
        <v>0.25</v>
      </c>
      <c r="T278" s="266">
        <v>0.5</v>
      </c>
      <c r="U278" s="266">
        <v>0.75</v>
      </c>
      <c r="V278" s="266">
        <v>1</v>
      </c>
      <c r="W278" s="266">
        <v>0</v>
      </c>
      <c r="X278" s="266" t="s">
        <v>1258</v>
      </c>
      <c r="Y278" s="333" t="s">
        <v>1206</v>
      </c>
      <c r="Z278" s="306">
        <v>0</v>
      </c>
      <c r="AA278" s="266">
        <v>0.4</v>
      </c>
      <c r="AB278" s="268" t="s">
        <v>1241</v>
      </c>
      <c r="AC278" s="268" t="s">
        <v>1242</v>
      </c>
      <c r="AD278" s="268">
        <v>6000000</v>
      </c>
      <c r="AE278" s="522">
        <v>100</v>
      </c>
      <c r="AF278" s="268" t="s">
        <v>2151</v>
      </c>
      <c r="AG278" s="453" t="s">
        <v>2153</v>
      </c>
      <c r="AH278" s="267"/>
      <c r="AI278" s="268"/>
      <c r="AJ278" s="268"/>
      <c r="AK278" s="269"/>
    </row>
    <row r="279" spans="1:37" ht="90" hidden="1" customHeight="1" outlineLevel="1" x14ac:dyDescent="0.2">
      <c r="A279" s="651"/>
      <c r="B279" s="398" t="s">
        <v>270</v>
      </c>
      <c r="C279" s="398" t="s">
        <v>1106</v>
      </c>
      <c r="D279" s="746"/>
      <c r="E279" s="404" t="s">
        <v>1107</v>
      </c>
      <c r="F279" s="235" t="s">
        <v>1259</v>
      </c>
      <c r="G279" s="410" t="s">
        <v>1260</v>
      </c>
      <c r="H279" s="196" t="s">
        <v>1261</v>
      </c>
      <c r="I279" s="430" t="s">
        <v>1262</v>
      </c>
      <c r="J279" s="9" t="s">
        <v>1263</v>
      </c>
      <c r="K279" s="312">
        <v>50000000</v>
      </c>
      <c r="L279" s="306">
        <v>0</v>
      </c>
      <c r="M279" s="263">
        <v>44593</v>
      </c>
      <c r="N279" s="263">
        <v>44925</v>
      </c>
      <c r="O279" s="263">
        <v>44652</v>
      </c>
      <c r="P279" s="264">
        <f t="shared" si="8"/>
        <v>0.17771084337349397</v>
      </c>
      <c r="Q279" s="264">
        <f t="shared" si="9"/>
        <v>0.17771084337349397</v>
      </c>
      <c r="R279" s="265">
        <v>0.5</v>
      </c>
      <c r="S279" s="266">
        <v>0.3</v>
      </c>
      <c r="T279" s="266">
        <v>0.4</v>
      </c>
      <c r="U279" s="266">
        <v>0.45</v>
      </c>
      <c r="V279" s="266">
        <v>0.5</v>
      </c>
      <c r="W279" s="266">
        <v>0</v>
      </c>
      <c r="X279" s="266" t="s">
        <v>1264</v>
      </c>
      <c r="Y279" s="333" t="s">
        <v>1206</v>
      </c>
      <c r="Z279" s="306">
        <v>0</v>
      </c>
      <c r="AA279" s="266">
        <v>0.3</v>
      </c>
      <c r="AB279" s="268" t="s">
        <v>1265</v>
      </c>
      <c r="AC279" s="268" t="s">
        <v>1266</v>
      </c>
      <c r="AD279" s="306">
        <v>0</v>
      </c>
      <c r="AE279" s="522">
        <v>45</v>
      </c>
      <c r="AF279" s="268" t="s">
        <v>2152</v>
      </c>
      <c r="AG279" s="453" t="s">
        <v>2153</v>
      </c>
      <c r="AH279" s="267"/>
      <c r="AI279" s="268"/>
      <c r="AJ279" s="268"/>
      <c r="AK279" s="269"/>
    </row>
    <row r="280" spans="1:37" ht="75.75" hidden="1" customHeight="1" outlineLevel="1" x14ac:dyDescent="0.2">
      <c r="A280" s="651"/>
      <c r="B280" s="579" t="s">
        <v>39</v>
      </c>
      <c r="C280" s="579" t="s">
        <v>1140</v>
      </c>
      <c r="D280" s="594" t="s">
        <v>1267</v>
      </c>
      <c r="E280" s="590" t="s">
        <v>1268</v>
      </c>
      <c r="F280" s="590" t="s">
        <v>99</v>
      </c>
      <c r="G280" s="628" t="s">
        <v>1269</v>
      </c>
      <c r="H280" s="196" t="s">
        <v>2338</v>
      </c>
      <c r="I280" s="628" t="s">
        <v>1270</v>
      </c>
      <c r="J280" s="655" t="s">
        <v>1271</v>
      </c>
      <c r="K280" s="312">
        <v>50000000</v>
      </c>
      <c r="L280" s="306">
        <v>0</v>
      </c>
      <c r="M280" s="263">
        <v>44593</v>
      </c>
      <c r="N280" s="263">
        <v>44925</v>
      </c>
      <c r="O280" s="263">
        <v>44652</v>
      </c>
      <c r="P280" s="264">
        <f t="shared" si="8"/>
        <v>0.17771084337349397</v>
      </c>
      <c r="Q280" s="264">
        <f t="shared" si="9"/>
        <v>0.17771084337349397</v>
      </c>
      <c r="R280" s="265">
        <v>1</v>
      </c>
      <c r="S280" s="266">
        <v>0.25</v>
      </c>
      <c r="T280" s="266">
        <v>0.5</v>
      </c>
      <c r="U280" s="266">
        <v>0.75</v>
      </c>
      <c r="V280" s="266">
        <v>1</v>
      </c>
      <c r="W280" s="266">
        <v>0.15</v>
      </c>
      <c r="X280" s="266" t="s">
        <v>1272</v>
      </c>
      <c r="Y280" s="331" t="s">
        <v>52</v>
      </c>
      <c r="Z280" s="306">
        <v>0</v>
      </c>
      <c r="AA280" s="266">
        <v>0.3</v>
      </c>
      <c r="AB280" s="463" t="s">
        <v>1999</v>
      </c>
      <c r="AC280" s="268" t="s">
        <v>352</v>
      </c>
      <c r="AD280" s="306">
        <v>0</v>
      </c>
      <c r="AE280" s="522">
        <v>40</v>
      </c>
      <c r="AF280" s="268" t="s">
        <v>2337</v>
      </c>
      <c r="AG280" s="268" t="s">
        <v>2524</v>
      </c>
      <c r="AH280" s="267"/>
      <c r="AI280" s="268"/>
      <c r="AJ280" s="268"/>
      <c r="AK280" s="269"/>
    </row>
    <row r="281" spans="1:37" ht="112.5" hidden="1" customHeight="1" outlineLevel="1" x14ac:dyDescent="0.2">
      <c r="A281" s="651"/>
      <c r="B281" s="580"/>
      <c r="C281" s="580"/>
      <c r="D281" s="595"/>
      <c r="E281" s="591"/>
      <c r="F281" s="591"/>
      <c r="G281" s="674"/>
      <c r="H281" s="196" t="s">
        <v>2339</v>
      </c>
      <c r="I281" s="674"/>
      <c r="J281" s="763"/>
      <c r="K281" s="246" t="s">
        <v>472</v>
      </c>
      <c r="L281" s="306">
        <v>0</v>
      </c>
      <c r="M281" s="263">
        <v>44593</v>
      </c>
      <c r="N281" s="263">
        <v>44925</v>
      </c>
      <c r="O281" s="263">
        <v>44652</v>
      </c>
      <c r="P281" s="264">
        <f t="shared" si="8"/>
        <v>0.17771084337349397</v>
      </c>
      <c r="Q281" s="264">
        <f t="shared" si="9"/>
        <v>0.17771084337349397</v>
      </c>
      <c r="R281" s="265">
        <v>1</v>
      </c>
      <c r="S281" s="266">
        <v>0.25</v>
      </c>
      <c r="T281" s="266">
        <v>0.5</v>
      </c>
      <c r="U281" s="266">
        <v>0.75</v>
      </c>
      <c r="V281" s="266">
        <v>1</v>
      </c>
      <c r="W281" s="266">
        <v>0.15</v>
      </c>
      <c r="X281" s="266" t="s">
        <v>1273</v>
      </c>
      <c r="Y281" s="331" t="s">
        <v>52</v>
      </c>
      <c r="Z281" s="306">
        <v>0</v>
      </c>
      <c r="AA281" s="266">
        <v>0.3</v>
      </c>
      <c r="AB281" s="463" t="s">
        <v>1999</v>
      </c>
      <c r="AC281" s="268" t="s">
        <v>352</v>
      </c>
      <c r="AD281" s="306">
        <v>0</v>
      </c>
      <c r="AE281" s="522">
        <v>40</v>
      </c>
      <c r="AF281" s="268" t="s">
        <v>2337</v>
      </c>
      <c r="AG281" s="268" t="s">
        <v>2524</v>
      </c>
      <c r="AH281" s="267"/>
      <c r="AI281" s="268"/>
      <c r="AJ281" s="268"/>
      <c r="AK281" s="269"/>
    </row>
    <row r="282" spans="1:37" ht="116.45" hidden="1" customHeight="1" outlineLevel="1" x14ac:dyDescent="0.2">
      <c r="A282" s="651"/>
      <c r="B282" s="580"/>
      <c r="C282" s="580"/>
      <c r="D282" s="595"/>
      <c r="E282" s="591"/>
      <c r="F282" s="591"/>
      <c r="G282" s="674"/>
      <c r="H282" s="196" t="s">
        <v>2340</v>
      </c>
      <c r="I282" s="674"/>
      <c r="J282" s="763"/>
      <c r="K282" s="246" t="s">
        <v>472</v>
      </c>
      <c r="L282" s="306">
        <v>0</v>
      </c>
      <c r="M282" s="263">
        <v>44593</v>
      </c>
      <c r="N282" s="263">
        <v>44925</v>
      </c>
      <c r="O282" s="263">
        <v>44652</v>
      </c>
      <c r="P282" s="264">
        <f t="shared" si="8"/>
        <v>0.17771084337349397</v>
      </c>
      <c r="Q282" s="264">
        <f t="shared" si="9"/>
        <v>0.17771084337349397</v>
      </c>
      <c r="R282" s="265">
        <v>1</v>
      </c>
      <c r="S282" s="266">
        <v>0.25</v>
      </c>
      <c r="T282" s="266">
        <v>0.5</v>
      </c>
      <c r="U282" s="266">
        <v>0.75</v>
      </c>
      <c r="V282" s="266">
        <v>1</v>
      </c>
      <c r="W282" s="266">
        <v>0</v>
      </c>
      <c r="X282" s="266" t="s">
        <v>1274</v>
      </c>
      <c r="Y282" s="331" t="s">
        <v>52</v>
      </c>
      <c r="Z282" s="306">
        <v>0</v>
      </c>
      <c r="AA282" s="266">
        <v>0</v>
      </c>
      <c r="AB282" s="268" t="s">
        <v>2000</v>
      </c>
      <c r="AC282" s="268" t="s">
        <v>52</v>
      </c>
      <c r="AD282" s="306">
        <v>0</v>
      </c>
      <c r="AE282" s="522">
        <v>100</v>
      </c>
      <c r="AF282" s="268" t="s">
        <v>2341</v>
      </c>
      <c r="AG282" s="268" t="s">
        <v>2524</v>
      </c>
      <c r="AH282" s="267"/>
      <c r="AI282" s="268"/>
      <c r="AJ282" s="268"/>
      <c r="AK282" s="269"/>
    </row>
    <row r="283" spans="1:37" ht="116.45" hidden="1" customHeight="1" outlineLevel="1" x14ac:dyDescent="0.2">
      <c r="A283" s="651"/>
      <c r="B283" s="581"/>
      <c r="C283" s="581"/>
      <c r="D283" s="595"/>
      <c r="E283" s="791"/>
      <c r="F283" s="791"/>
      <c r="G283" s="629"/>
      <c r="H283" s="196" t="s">
        <v>2342</v>
      </c>
      <c r="I283" s="629"/>
      <c r="J283" s="656"/>
      <c r="K283" s="246" t="s">
        <v>472</v>
      </c>
      <c r="L283" s="306">
        <v>0</v>
      </c>
      <c r="M283" s="263">
        <v>44593</v>
      </c>
      <c r="N283" s="263">
        <v>44925</v>
      </c>
      <c r="O283" s="263">
        <v>44652</v>
      </c>
      <c r="P283" s="264">
        <f t="shared" si="8"/>
        <v>0.17771084337349397</v>
      </c>
      <c r="Q283" s="264">
        <f t="shared" si="9"/>
        <v>0.17771084337349397</v>
      </c>
      <c r="R283" s="265">
        <v>1</v>
      </c>
      <c r="S283" s="266">
        <v>0.25</v>
      </c>
      <c r="T283" s="266">
        <v>0.5</v>
      </c>
      <c r="U283" s="266">
        <v>0.75</v>
      </c>
      <c r="V283" s="266">
        <v>1</v>
      </c>
      <c r="W283" s="266">
        <v>0</v>
      </c>
      <c r="X283" s="266" t="s">
        <v>1264</v>
      </c>
      <c r="Y283" s="331" t="s">
        <v>52</v>
      </c>
      <c r="Z283" s="306">
        <v>0</v>
      </c>
      <c r="AA283" s="266">
        <v>0.1</v>
      </c>
      <c r="AB283" s="463" t="s">
        <v>2001</v>
      </c>
      <c r="AC283" s="268" t="s">
        <v>2002</v>
      </c>
      <c r="AD283" s="306">
        <v>0</v>
      </c>
      <c r="AE283" s="522">
        <v>40</v>
      </c>
      <c r="AF283" s="268" t="s">
        <v>2343</v>
      </c>
      <c r="AG283" s="268" t="s">
        <v>2524</v>
      </c>
      <c r="AH283" s="267"/>
      <c r="AI283" s="268"/>
      <c r="AJ283" s="268"/>
      <c r="AK283" s="269"/>
    </row>
    <row r="284" spans="1:37" ht="116.45" hidden="1" customHeight="1" outlineLevel="1" x14ac:dyDescent="0.2">
      <c r="A284" s="651"/>
      <c r="B284" s="400" t="s">
        <v>270</v>
      </c>
      <c r="C284" s="400" t="s">
        <v>1106</v>
      </c>
      <c r="D284" s="595"/>
      <c r="E284" s="415" t="s">
        <v>1107</v>
      </c>
      <c r="F284" s="415" t="s">
        <v>1275</v>
      </c>
      <c r="G284" s="396" t="s">
        <v>1276</v>
      </c>
      <c r="H284" s="557" t="s">
        <v>1277</v>
      </c>
      <c r="I284" s="396" t="s">
        <v>1278</v>
      </c>
      <c r="J284" s="246" t="s">
        <v>2497</v>
      </c>
      <c r="K284" s="246" t="s">
        <v>472</v>
      </c>
      <c r="L284" s="306">
        <v>0</v>
      </c>
      <c r="M284" s="263">
        <v>44593</v>
      </c>
      <c r="N284" s="263">
        <v>44925</v>
      </c>
      <c r="O284" s="263">
        <v>44652</v>
      </c>
      <c r="P284" s="264">
        <f t="shared" si="8"/>
        <v>0.17771084337349397</v>
      </c>
      <c r="Q284" s="264">
        <f t="shared" si="9"/>
        <v>0.17771084337349397</v>
      </c>
      <c r="R284" s="265">
        <v>0.5</v>
      </c>
      <c r="S284" s="266">
        <v>0.35</v>
      </c>
      <c r="T284" s="266">
        <v>0.4</v>
      </c>
      <c r="U284" s="266">
        <v>0.45</v>
      </c>
      <c r="V284" s="266">
        <v>0.5</v>
      </c>
      <c r="W284" s="266">
        <v>0.15</v>
      </c>
      <c r="X284" s="266" t="s">
        <v>1279</v>
      </c>
      <c r="Y284" s="331" t="s">
        <v>1280</v>
      </c>
      <c r="Z284" s="306">
        <v>0</v>
      </c>
      <c r="AA284" s="266">
        <v>0.2</v>
      </c>
      <c r="AB284" s="268" t="s">
        <v>2003</v>
      </c>
      <c r="AC284" s="268" t="s">
        <v>52</v>
      </c>
      <c r="AD284" s="306">
        <v>0</v>
      </c>
      <c r="AE284" s="522">
        <v>45</v>
      </c>
      <c r="AF284" s="268" t="s">
        <v>2344</v>
      </c>
      <c r="AG284" s="268" t="s">
        <v>2524</v>
      </c>
      <c r="AH284" s="267"/>
      <c r="AI284" s="268"/>
      <c r="AJ284" s="268"/>
      <c r="AK284" s="269"/>
    </row>
    <row r="285" spans="1:37" ht="64.5" hidden="1" customHeight="1" outlineLevel="1" x14ac:dyDescent="0.2">
      <c r="A285" s="651"/>
      <c r="B285" s="579" t="s">
        <v>39</v>
      </c>
      <c r="C285" s="579" t="s">
        <v>1049</v>
      </c>
      <c r="D285" s="666" t="s">
        <v>1281</v>
      </c>
      <c r="E285" s="242" t="s">
        <v>1123</v>
      </c>
      <c r="F285" s="242" t="s">
        <v>43</v>
      </c>
      <c r="G285" s="8" t="s">
        <v>1282</v>
      </c>
      <c r="H285" s="196" t="s">
        <v>1124</v>
      </c>
      <c r="I285" s="8" t="s">
        <v>46</v>
      </c>
      <c r="J285" s="246" t="s">
        <v>431</v>
      </c>
      <c r="K285" s="342">
        <v>33960500</v>
      </c>
      <c r="L285" s="306">
        <v>12000000</v>
      </c>
      <c r="M285" s="263">
        <v>44593</v>
      </c>
      <c r="N285" s="263">
        <v>44925</v>
      </c>
      <c r="O285" s="263">
        <v>44652</v>
      </c>
      <c r="P285" s="264">
        <f t="shared" si="8"/>
        <v>0.17771084337349397</v>
      </c>
      <c r="Q285" s="264">
        <f t="shared" si="9"/>
        <v>0.17771084337349397</v>
      </c>
      <c r="R285" s="265">
        <v>1</v>
      </c>
      <c r="S285" s="266">
        <v>0.25</v>
      </c>
      <c r="T285" s="266">
        <v>0.5</v>
      </c>
      <c r="U285" s="266">
        <v>0.75</v>
      </c>
      <c r="V285" s="266">
        <v>1</v>
      </c>
      <c r="W285" s="266">
        <v>0.25</v>
      </c>
      <c r="X285" s="266" t="s">
        <v>1283</v>
      </c>
      <c r="Y285" s="331" t="s">
        <v>303</v>
      </c>
      <c r="Z285" s="306">
        <v>16000000</v>
      </c>
      <c r="AA285" s="266">
        <v>0.52</v>
      </c>
      <c r="AB285" s="268" t="s">
        <v>1284</v>
      </c>
      <c r="AC285" s="268" t="s">
        <v>620</v>
      </c>
      <c r="AD285" s="306">
        <v>0</v>
      </c>
      <c r="AE285" s="522">
        <v>81</v>
      </c>
      <c r="AF285" s="268" t="s">
        <v>1284</v>
      </c>
      <c r="AG285" s="268" t="s">
        <v>2524</v>
      </c>
      <c r="AH285" s="267"/>
      <c r="AI285" s="268"/>
      <c r="AJ285" s="268"/>
      <c r="AK285" s="269"/>
    </row>
    <row r="286" spans="1:37" ht="75" hidden="1" customHeight="1" outlineLevel="1" x14ac:dyDescent="0.2">
      <c r="A286" s="651"/>
      <c r="B286" s="580"/>
      <c r="C286" s="580"/>
      <c r="D286" s="667"/>
      <c r="E286" s="592" t="s">
        <v>1068</v>
      </c>
      <c r="F286" s="592" t="s">
        <v>1069</v>
      </c>
      <c r="G286" s="8" t="s">
        <v>1285</v>
      </c>
      <c r="H286" s="196" t="s">
        <v>1286</v>
      </c>
      <c r="I286" s="8" t="s">
        <v>1129</v>
      </c>
      <c r="J286" s="271" t="s">
        <v>1287</v>
      </c>
      <c r="K286" s="246" t="s">
        <v>472</v>
      </c>
      <c r="L286" s="306">
        <v>0</v>
      </c>
      <c r="M286" s="263">
        <v>44593</v>
      </c>
      <c r="N286" s="263">
        <v>44925</v>
      </c>
      <c r="O286" s="263">
        <v>44652</v>
      </c>
      <c r="P286" s="264">
        <f t="shared" si="8"/>
        <v>0.17771084337349397</v>
      </c>
      <c r="Q286" s="264">
        <f t="shared" ref="Q286:Q292" si="10">+IF(P286&gt;=100,100,IF(P286&lt;=0,0,P286))</f>
        <v>0.17771084337349397</v>
      </c>
      <c r="R286" s="265">
        <v>1</v>
      </c>
      <c r="S286" s="266">
        <v>0.25</v>
      </c>
      <c r="T286" s="266">
        <v>0.5</v>
      </c>
      <c r="U286" s="266">
        <v>0.75</v>
      </c>
      <c r="V286" s="266">
        <v>1</v>
      </c>
      <c r="W286" s="266">
        <v>0.25</v>
      </c>
      <c r="X286" s="266" t="s">
        <v>1288</v>
      </c>
      <c r="Y286" s="331" t="s">
        <v>1289</v>
      </c>
      <c r="Z286" s="306">
        <v>0</v>
      </c>
      <c r="AA286" s="266">
        <v>0.3</v>
      </c>
      <c r="AB286" s="268" t="s">
        <v>2405</v>
      </c>
      <c r="AC286" s="268" t="s">
        <v>1290</v>
      </c>
      <c r="AD286" s="306">
        <v>0</v>
      </c>
      <c r="AE286" s="522">
        <v>75</v>
      </c>
      <c r="AF286" s="268" t="s">
        <v>2406</v>
      </c>
      <c r="AG286" s="268" t="s">
        <v>2524</v>
      </c>
      <c r="AH286" s="267"/>
      <c r="AI286" s="268"/>
      <c r="AJ286" s="268"/>
      <c r="AK286" s="269"/>
    </row>
    <row r="287" spans="1:37" ht="75" hidden="1" customHeight="1" outlineLevel="1" x14ac:dyDescent="0.2">
      <c r="A287" s="651"/>
      <c r="B287" s="580"/>
      <c r="C287" s="580"/>
      <c r="D287" s="667"/>
      <c r="E287" s="593"/>
      <c r="F287" s="593"/>
      <c r="G287" s="242" t="s">
        <v>1233</v>
      </c>
      <c r="H287" s="196" t="s">
        <v>1291</v>
      </c>
      <c r="I287" s="8" t="s">
        <v>1129</v>
      </c>
      <c r="J287" s="246" t="s">
        <v>1292</v>
      </c>
      <c r="K287" s="246" t="s">
        <v>472</v>
      </c>
      <c r="L287" s="306">
        <v>0</v>
      </c>
      <c r="M287" s="263">
        <v>44593</v>
      </c>
      <c r="N287" s="263">
        <v>44925</v>
      </c>
      <c r="O287" s="263">
        <v>44652</v>
      </c>
      <c r="P287" s="264">
        <f t="shared" si="8"/>
        <v>0.17771084337349397</v>
      </c>
      <c r="Q287" s="264">
        <f t="shared" si="10"/>
        <v>0.17771084337349397</v>
      </c>
      <c r="R287" s="265">
        <v>1</v>
      </c>
      <c r="S287" s="266">
        <v>0.25</v>
      </c>
      <c r="T287" s="266">
        <v>0.5</v>
      </c>
      <c r="U287" s="266">
        <v>0.75</v>
      </c>
      <c r="V287" s="266">
        <v>1</v>
      </c>
      <c r="W287" s="266">
        <v>0.4</v>
      </c>
      <c r="X287" s="266" t="s">
        <v>1293</v>
      </c>
      <c r="Y287" s="331" t="s">
        <v>1294</v>
      </c>
      <c r="Z287" s="306">
        <v>0</v>
      </c>
      <c r="AA287" s="266">
        <v>0.3</v>
      </c>
      <c r="AB287" s="268" t="s">
        <v>1295</v>
      </c>
      <c r="AC287" s="268" t="s">
        <v>1296</v>
      </c>
      <c r="AD287" s="306">
        <v>0</v>
      </c>
      <c r="AE287" s="522">
        <v>60</v>
      </c>
      <c r="AF287" s="268" t="s">
        <v>2407</v>
      </c>
      <c r="AG287" s="268" t="s">
        <v>2524</v>
      </c>
      <c r="AH287" s="267"/>
      <c r="AI287" s="268"/>
      <c r="AJ287" s="268"/>
      <c r="AK287" s="269"/>
    </row>
    <row r="288" spans="1:37" ht="53.25" hidden="1" customHeight="1" outlineLevel="1" x14ac:dyDescent="0.2">
      <c r="A288" s="651"/>
      <c r="B288" s="580"/>
      <c r="C288" s="580"/>
      <c r="D288" s="667"/>
      <c r="E288" s="592" t="s">
        <v>1112</v>
      </c>
      <c r="F288" s="592" t="s">
        <v>175</v>
      </c>
      <c r="G288" s="606" t="s">
        <v>1297</v>
      </c>
      <c r="H288" s="196" t="s">
        <v>1200</v>
      </c>
      <c r="I288" s="606" t="s">
        <v>178</v>
      </c>
      <c r="J288" s="246" t="s">
        <v>1298</v>
      </c>
      <c r="K288" s="246" t="s">
        <v>472</v>
      </c>
      <c r="L288" s="306">
        <v>0</v>
      </c>
      <c r="M288" s="263">
        <v>44593</v>
      </c>
      <c r="N288" s="263">
        <v>44925</v>
      </c>
      <c r="O288" s="263">
        <v>44652</v>
      </c>
      <c r="P288" s="264">
        <f t="shared" si="8"/>
        <v>0.17771084337349397</v>
      </c>
      <c r="Q288" s="264">
        <f t="shared" si="10"/>
        <v>0.17771084337349397</v>
      </c>
      <c r="R288" s="265">
        <v>1</v>
      </c>
      <c r="S288" s="266">
        <v>0.25</v>
      </c>
      <c r="T288" s="266">
        <v>0.5</v>
      </c>
      <c r="U288" s="266">
        <v>0.75</v>
      </c>
      <c r="V288" s="266">
        <v>1</v>
      </c>
      <c r="W288" s="266">
        <v>0.5</v>
      </c>
      <c r="X288" s="266" t="s">
        <v>1299</v>
      </c>
      <c r="Y288" s="331" t="s">
        <v>1300</v>
      </c>
      <c r="Z288" s="306">
        <v>0</v>
      </c>
      <c r="AA288" s="266">
        <v>0.5</v>
      </c>
      <c r="AB288" s="268" t="s">
        <v>1301</v>
      </c>
      <c r="AC288" s="268" t="s">
        <v>1302</v>
      </c>
      <c r="AD288" s="306">
        <v>0</v>
      </c>
      <c r="AE288" s="522">
        <v>75</v>
      </c>
      <c r="AF288" s="268" t="s">
        <v>2408</v>
      </c>
      <c r="AG288" s="268" t="s">
        <v>2524</v>
      </c>
      <c r="AH288" s="267"/>
      <c r="AI288" s="268"/>
      <c r="AJ288" s="268"/>
      <c r="AK288" s="269"/>
    </row>
    <row r="289" spans="1:37" ht="53.25" hidden="1" customHeight="1" outlineLevel="1" x14ac:dyDescent="0.2">
      <c r="A289" s="651"/>
      <c r="B289" s="580"/>
      <c r="C289" s="580"/>
      <c r="D289" s="667"/>
      <c r="E289" s="626"/>
      <c r="F289" s="626"/>
      <c r="G289" s="607"/>
      <c r="H289" s="196" t="s">
        <v>1303</v>
      </c>
      <c r="I289" s="607"/>
      <c r="J289" s="246" t="s">
        <v>1304</v>
      </c>
      <c r="K289" s="246" t="s">
        <v>472</v>
      </c>
      <c r="L289" s="306">
        <v>0</v>
      </c>
      <c r="M289" s="263">
        <v>44593</v>
      </c>
      <c r="N289" s="263">
        <v>44925</v>
      </c>
      <c r="O289" s="263">
        <v>44652</v>
      </c>
      <c r="P289" s="264">
        <f t="shared" si="8"/>
        <v>0.17771084337349397</v>
      </c>
      <c r="Q289" s="264">
        <f t="shared" si="10"/>
        <v>0.17771084337349397</v>
      </c>
      <c r="R289" s="265">
        <v>1</v>
      </c>
      <c r="S289" s="266">
        <v>0.25</v>
      </c>
      <c r="T289" s="266">
        <v>0.5</v>
      </c>
      <c r="U289" s="266">
        <v>0.75</v>
      </c>
      <c r="V289" s="266">
        <v>1</v>
      </c>
      <c r="W289" s="266">
        <v>0</v>
      </c>
      <c r="X289" s="266" t="s">
        <v>1264</v>
      </c>
      <c r="Y289" s="331" t="s">
        <v>52</v>
      </c>
      <c r="Z289" s="306">
        <v>0</v>
      </c>
      <c r="AA289" s="266">
        <v>0.5</v>
      </c>
      <c r="AB289" s="268" t="s">
        <v>1306</v>
      </c>
      <c r="AC289" s="268" t="s">
        <v>1307</v>
      </c>
      <c r="AD289" s="306">
        <v>0</v>
      </c>
      <c r="AE289" s="522">
        <v>75</v>
      </c>
      <c r="AF289" s="268" t="s">
        <v>2408</v>
      </c>
      <c r="AG289" s="268" t="s">
        <v>2524</v>
      </c>
      <c r="AH289" s="267"/>
      <c r="AI289" s="268"/>
      <c r="AJ289" s="268"/>
      <c r="AK289" s="269"/>
    </row>
    <row r="290" spans="1:37" ht="87.75" hidden="1" customHeight="1" outlineLevel="1" x14ac:dyDescent="0.2">
      <c r="A290" s="651"/>
      <c r="B290" s="580"/>
      <c r="C290" s="580"/>
      <c r="D290" s="667"/>
      <c r="E290" s="626"/>
      <c r="F290" s="626"/>
      <c r="G290" s="607"/>
      <c r="H290" s="196" t="s">
        <v>1308</v>
      </c>
      <c r="I290" s="607"/>
      <c r="J290" s="246" t="s">
        <v>1309</v>
      </c>
      <c r="K290" s="246" t="s">
        <v>472</v>
      </c>
      <c r="L290" s="306">
        <v>0</v>
      </c>
      <c r="M290" s="263">
        <v>44593</v>
      </c>
      <c r="N290" s="263">
        <v>44925</v>
      </c>
      <c r="O290" s="263">
        <v>44652</v>
      </c>
      <c r="P290" s="264">
        <f t="shared" si="8"/>
        <v>0.17771084337349397</v>
      </c>
      <c r="Q290" s="264">
        <f t="shared" si="10"/>
        <v>0.17771084337349397</v>
      </c>
      <c r="R290" s="265">
        <v>1</v>
      </c>
      <c r="S290" s="266">
        <v>0.25</v>
      </c>
      <c r="T290" s="266">
        <v>0.5</v>
      </c>
      <c r="U290" s="266">
        <v>0.75</v>
      </c>
      <c r="V290" s="266">
        <v>1</v>
      </c>
      <c r="W290" s="266">
        <v>0.33</v>
      </c>
      <c r="X290" s="266" t="s">
        <v>1310</v>
      </c>
      <c r="Y290" s="331" t="s">
        <v>185</v>
      </c>
      <c r="Z290" s="306">
        <v>0</v>
      </c>
      <c r="AA290" s="266">
        <v>0.5</v>
      </c>
      <c r="AB290" s="268" t="s">
        <v>1311</v>
      </c>
      <c r="AC290" s="268" t="s">
        <v>1312</v>
      </c>
      <c r="AD290" s="306">
        <v>0</v>
      </c>
      <c r="AE290" s="522">
        <v>75</v>
      </c>
      <c r="AF290" s="268" t="s">
        <v>2409</v>
      </c>
      <c r="AG290" s="268" t="s">
        <v>2524</v>
      </c>
      <c r="AH290" s="267"/>
      <c r="AI290" s="268"/>
      <c r="AJ290" s="268"/>
      <c r="AK290" s="269"/>
    </row>
    <row r="291" spans="1:37" ht="100.5" hidden="1" customHeight="1" outlineLevel="1" x14ac:dyDescent="0.2">
      <c r="A291" s="651"/>
      <c r="B291" s="580"/>
      <c r="C291" s="580"/>
      <c r="D291" s="667"/>
      <c r="E291" s="593"/>
      <c r="F291" s="593"/>
      <c r="G291" s="721"/>
      <c r="H291" s="196" t="s">
        <v>1313</v>
      </c>
      <c r="I291" s="721"/>
      <c r="J291" s="9" t="s">
        <v>1314</v>
      </c>
      <c r="K291" s="246" t="s">
        <v>472</v>
      </c>
      <c r="L291" s="306">
        <v>0</v>
      </c>
      <c r="M291" s="263">
        <v>44593</v>
      </c>
      <c r="N291" s="263">
        <v>44925</v>
      </c>
      <c r="O291" s="263">
        <v>44652</v>
      </c>
      <c r="P291" s="264">
        <f t="shared" si="8"/>
        <v>0.17771084337349397</v>
      </c>
      <c r="Q291" s="264">
        <f t="shared" si="10"/>
        <v>0.17771084337349397</v>
      </c>
      <c r="R291" s="265">
        <v>1</v>
      </c>
      <c r="S291" s="266">
        <v>0.25</v>
      </c>
      <c r="T291" s="266">
        <v>0.5</v>
      </c>
      <c r="U291" s="266">
        <v>0.75</v>
      </c>
      <c r="V291" s="266">
        <v>1</v>
      </c>
      <c r="W291" s="266">
        <v>0</v>
      </c>
      <c r="X291" s="266" t="s">
        <v>1315</v>
      </c>
      <c r="Y291" s="331" t="s">
        <v>52</v>
      </c>
      <c r="Z291" s="306">
        <v>0</v>
      </c>
      <c r="AA291" s="266">
        <v>0.5</v>
      </c>
      <c r="AB291" s="268" t="s">
        <v>1316</v>
      </c>
      <c r="AC291" s="268" t="s">
        <v>1312</v>
      </c>
      <c r="AD291" s="306">
        <v>0</v>
      </c>
      <c r="AE291" s="522">
        <v>75</v>
      </c>
      <c r="AF291" s="268" t="s">
        <v>2410</v>
      </c>
      <c r="AG291" s="268" t="s">
        <v>2524</v>
      </c>
      <c r="AH291" s="267"/>
      <c r="AI291" s="268"/>
      <c r="AJ291" s="268"/>
      <c r="AK291" s="269"/>
    </row>
    <row r="292" spans="1:37" ht="77.25" hidden="1" customHeight="1" outlineLevel="1" x14ac:dyDescent="0.2">
      <c r="A292" s="651"/>
      <c r="B292" s="580"/>
      <c r="C292" s="581"/>
      <c r="D292" s="667"/>
      <c r="E292" s="242" t="s">
        <v>1134</v>
      </c>
      <c r="F292" s="242" t="s">
        <v>1189</v>
      </c>
      <c r="G292" s="8" t="s">
        <v>1223</v>
      </c>
      <c r="H292" s="196" t="s">
        <v>1317</v>
      </c>
      <c r="I292" s="8" t="s">
        <v>1136</v>
      </c>
      <c r="J292" s="9" t="s">
        <v>1318</v>
      </c>
      <c r="K292" s="246" t="s">
        <v>472</v>
      </c>
      <c r="L292" s="306">
        <v>0</v>
      </c>
      <c r="M292" s="263">
        <v>44593</v>
      </c>
      <c r="N292" s="263">
        <v>44925</v>
      </c>
      <c r="O292" s="263">
        <v>44652</v>
      </c>
      <c r="P292" s="264">
        <f t="shared" si="8"/>
        <v>0.17771084337349397</v>
      </c>
      <c r="Q292" s="264">
        <f t="shared" si="10"/>
        <v>0.17771084337349397</v>
      </c>
      <c r="R292" s="265">
        <v>1</v>
      </c>
      <c r="S292" s="266">
        <v>0.25</v>
      </c>
      <c r="T292" s="266">
        <v>0.5</v>
      </c>
      <c r="U292" s="266">
        <v>0.75</v>
      </c>
      <c r="V292" s="266">
        <v>1</v>
      </c>
      <c r="W292" s="266">
        <v>0.5</v>
      </c>
      <c r="X292" s="266" t="s">
        <v>1319</v>
      </c>
      <c r="Y292" s="331" t="s">
        <v>1320</v>
      </c>
      <c r="Z292" s="306">
        <v>0</v>
      </c>
      <c r="AA292" s="266">
        <v>0.5</v>
      </c>
      <c r="AB292" s="268" t="s">
        <v>1321</v>
      </c>
      <c r="AC292" s="268" t="s">
        <v>1322</v>
      </c>
      <c r="AD292" s="306">
        <v>0</v>
      </c>
      <c r="AE292" s="522">
        <v>75</v>
      </c>
      <c r="AF292" s="268" t="s">
        <v>2408</v>
      </c>
      <c r="AG292" s="268" t="s">
        <v>2524</v>
      </c>
      <c r="AH292" s="267"/>
      <c r="AI292" s="268"/>
      <c r="AJ292" s="268"/>
      <c r="AK292" s="269"/>
    </row>
    <row r="293" spans="1:37" ht="75" hidden="1" customHeight="1" outlineLevel="1" x14ac:dyDescent="0.2">
      <c r="A293" s="651"/>
      <c r="B293" s="580"/>
      <c r="C293" s="579" t="s">
        <v>1140</v>
      </c>
      <c r="D293" s="667"/>
      <c r="E293" s="592" t="s">
        <v>1323</v>
      </c>
      <c r="F293" s="592" t="s">
        <v>99</v>
      </c>
      <c r="G293" s="606" t="s">
        <v>1324</v>
      </c>
      <c r="H293" s="196" t="s">
        <v>1325</v>
      </c>
      <c r="I293" s="8" t="s">
        <v>101</v>
      </c>
      <c r="J293" s="655" t="s">
        <v>1326</v>
      </c>
      <c r="K293" s="246" t="s">
        <v>472</v>
      </c>
      <c r="L293" s="306">
        <v>0</v>
      </c>
      <c r="M293" s="263">
        <v>44593</v>
      </c>
      <c r="N293" s="263">
        <v>44925</v>
      </c>
      <c r="O293" s="263">
        <v>44652</v>
      </c>
      <c r="P293" s="264">
        <f t="shared" si="8"/>
        <v>0.17771084337349397</v>
      </c>
      <c r="Q293" s="264">
        <f>+IF(P293&gt;=100,100,IF(P293&lt;=0,0,P293))</f>
        <v>0.17771084337349397</v>
      </c>
      <c r="R293" s="265">
        <v>1</v>
      </c>
      <c r="S293" s="266">
        <v>0.25</v>
      </c>
      <c r="T293" s="266">
        <v>0.5</v>
      </c>
      <c r="U293" s="266">
        <v>0.75</v>
      </c>
      <c r="V293" s="266">
        <v>1</v>
      </c>
      <c r="W293" s="266">
        <v>0</v>
      </c>
      <c r="X293" s="266" t="s">
        <v>1264</v>
      </c>
      <c r="Y293" s="331" t="s">
        <v>52</v>
      </c>
      <c r="Z293" s="306">
        <v>0</v>
      </c>
      <c r="AA293" s="266">
        <v>0.5</v>
      </c>
      <c r="AB293" s="268" t="s">
        <v>1327</v>
      </c>
      <c r="AC293" s="268" t="s">
        <v>106</v>
      </c>
      <c r="AD293" s="306">
        <v>0</v>
      </c>
      <c r="AE293" s="522">
        <v>50</v>
      </c>
      <c r="AF293" s="268" t="s">
        <v>2411</v>
      </c>
      <c r="AG293" s="268" t="s">
        <v>52</v>
      </c>
      <c r="AH293" s="267"/>
      <c r="AI293" s="268"/>
      <c r="AJ293" s="268"/>
      <c r="AK293" s="269"/>
    </row>
    <row r="294" spans="1:37" ht="73.5" hidden="1" customHeight="1" outlineLevel="1" x14ac:dyDescent="0.2">
      <c r="A294" s="651"/>
      <c r="B294" s="580"/>
      <c r="C294" s="580"/>
      <c r="D294" s="667"/>
      <c r="E294" s="626"/>
      <c r="F294" s="626"/>
      <c r="G294" s="607"/>
      <c r="H294" s="196" t="s">
        <v>1183</v>
      </c>
      <c r="I294" s="8" t="s">
        <v>101</v>
      </c>
      <c r="J294" s="763"/>
      <c r="K294" s="246" t="s">
        <v>472</v>
      </c>
      <c r="L294" s="306">
        <v>0</v>
      </c>
      <c r="M294" s="263">
        <v>44593</v>
      </c>
      <c r="N294" s="263">
        <v>44925</v>
      </c>
      <c r="O294" s="263">
        <v>44652</v>
      </c>
      <c r="P294" s="264">
        <f t="shared" si="8"/>
        <v>0.17771084337349397</v>
      </c>
      <c r="Q294" s="264">
        <f t="shared" ref="Q294:Q300" si="11">+IF(P294&gt;=100,100,IF(P294&lt;=0,0,P294))</f>
        <v>0.17771084337349397</v>
      </c>
      <c r="R294" s="265">
        <v>1</v>
      </c>
      <c r="S294" s="266">
        <v>0.25</v>
      </c>
      <c r="T294" s="266">
        <v>0.5</v>
      </c>
      <c r="U294" s="266">
        <v>0.75</v>
      </c>
      <c r="V294" s="266">
        <v>1</v>
      </c>
      <c r="W294" s="266">
        <v>0.5</v>
      </c>
      <c r="X294" s="266" t="s">
        <v>1328</v>
      </c>
      <c r="Y294" s="331" t="s">
        <v>1329</v>
      </c>
      <c r="Z294" s="306">
        <v>0</v>
      </c>
      <c r="AA294" s="266">
        <v>0.5</v>
      </c>
      <c r="AB294" s="268" t="s">
        <v>1330</v>
      </c>
      <c r="AC294" s="268" t="s">
        <v>106</v>
      </c>
      <c r="AD294" s="306">
        <v>0</v>
      </c>
      <c r="AE294" s="522">
        <v>100</v>
      </c>
      <c r="AF294" s="268" t="s">
        <v>2143</v>
      </c>
      <c r="AG294" s="268" t="s">
        <v>52</v>
      </c>
      <c r="AH294" s="267"/>
      <c r="AI294" s="268"/>
      <c r="AJ294" s="268"/>
      <c r="AK294" s="269"/>
    </row>
    <row r="295" spans="1:37" ht="63.75" hidden="1" customHeight="1" outlineLevel="1" x14ac:dyDescent="0.2">
      <c r="A295" s="651"/>
      <c r="B295" s="580"/>
      <c r="C295" s="580"/>
      <c r="D295" s="667"/>
      <c r="E295" s="626"/>
      <c r="F295" s="626"/>
      <c r="G295" s="607"/>
      <c r="H295" s="196" t="s">
        <v>1331</v>
      </c>
      <c r="I295" s="8" t="s">
        <v>101</v>
      </c>
      <c r="J295" s="763"/>
      <c r="K295" s="246" t="s">
        <v>472</v>
      </c>
      <c r="L295" s="306">
        <v>0</v>
      </c>
      <c r="M295" s="263">
        <v>44593</v>
      </c>
      <c r="N295" s="263">
        <v>44925</v>
      </c>
      <c r="O295" s="263">
        <v>44652</v>
      </c>
      <c r="P295" s="264">
        <f t="shared" si="8"/>
        <v>0.17771084337349397</v>
      </c>
      <c r="Q295" s="264">
        <f t="shared" si="11"/>
        <v>0.17771084337349397</v>
      </c>
      <c r="R295" s="265">
        <v>1</v>
      </c>
      <c r="S295" s="266">
        <v>0.25</v>
      </c>
      <c r="T295" s="266">
        <v>0.5</v>
      </c>
      <c r="U295" s="266">
        <v>0.75</v>
      </c>
      <c r="V295" s="266">
        <v>1</v>
      </c>
      <c r="W295" s="266">
        <v>0</v>
      </c>
      <c r="X295" s="266" t="s">
        <v>1264</v>
      </c>
      <c r="Y295" s="331" t="s">
        <v>52</v>
      </c>
      <c r="Z295" s="306">
        <v>0</v>
      </c>
      <c r="AA295" s="266">
        <v>0</v>
      </c>
      <c r="AB295" s="268" t="s">
        <v>1332</v>
      </c>
      <c r="AC295" s="268" t="s">
        <v>52</v>
      </c>
      <c r="AD295" s="306">
        <v>0</v>
      </c>
      <c r="AE295" s="522">
        <v>100</v>
      </c>
      <c r="AF295" s="268" t="s">
        <v>2412</v>
      </c>
      <c r="AG295" s="268" t="s">
        <v>2524</v>
      </c>
      <c r="AH295" s="267"/>
      <c r="AI295" s="268"/>
      <c r="AJ295" s="268"/>
      <c r="AK295" s="269"/>
    </row>
    <row r="296" spans="1:37" ht="66.75" hidden="1" customHeight="1" outlineLevel="1" x14ac:dyDescent="0.2">
      <c r="A296" s="651"/>
      <c r="B296" s="580"/>
      <c r="C296" s="580"/>
      <c r="D296" s="667"/>
      <c r="E296" s="626"/>
      <c r="F296" s="626"/>
      <c r="G296" s="607"/>
      <c r="H296" s="196" t="s">
        <v>1147</v>
      </c>
      <c r="I296" s="8" t="s">
        <v>101</v>
      </c>
      <c r="J296" s="763"/>
      <c r="K296" s="246" t="s">
        <v>472</v>
      </c>
      <c r="L296" s="306">
        <v>0</v>
      </c>
      <c r="M296" s="263">
        <v>44593</v>
      </c>
      <c r="N296" s="263">
        <v>44925</v>
      </c>
      <c r="O296" s="263">
        <v>44652</v>
      </c>
      <c r="P296" s="264">
        <f t="shared" si="8"/>
        <v>0.17771084337349397</v>
      </c>
      <c r="Q296" s="264">
        <f t="shared" si="11"/>
        <v>0.17771084337349397</v>
      </c>
      <c r="R296" s="265">
        <v>1</v>
      </c>
      <c r="S296" s="266">
        <v>0.25</v>
      </c>
      <c r="T296" s="266">
        <v>0.5</v>
      </c>
      <c r="U296" s="266">
        <v>0.75</v>
      </c>
      <c r="V296" s="266">
        <v>1</v>
      </c>
      <c r="W296" s="266">
        <v>0</v>
      </c>
      <c r="X296" s="266" t="s">
        <v>1264</v>
      </c>
      <c r="Y296" s="331" t="s">
        <v>52</v>
      </c>
      <c r="Z296" s="306">
        <v>0</v>
      </c>
      <c r="AA296" s="266">
        <v>0</v>
      </c>
      <c r="AB296" s="266" t="s">
        <v>1264</v>
      </c>
      <c r="AC296" s="268" t="s">
        <v>52</v>
      </c>
      <c r="AD296" s="306">
        <v>0</v>
      </c>
      <c r="AE296" s="522">
        <v>0</v>
      </c>
      <c r="AF296" s="268" t="s">
        <v>2416</v>
      </c>
      <c r="AG296" s="268" t="s">
        <v>2524</v>
      </c>
      <c r="AH296" s="267"/>
      <c r="AI296" s="268"/>
      <c r="AJ296" s="268"/>
      <c r="AK296" s="269"/>
    </row>
    <row r="297" spans="1:37" ht="77.25" hidden="1" customHeight="1" outlineLevel="1" x14ac:dyDescent="0.2">
      <c r="A297" s="651"/>
      <c r="B297" s="580"/>
      <c r="C297" s="580"/>
      <c r="D297" s="667"/>
      <c r="E297" s="626"/>
      <c r="F297" s="626"/>
      <c r="G297" s="607"/>
      <c r="H297" s="196" t="s">
        <v>1174</v>
      </c>
      <c r="I297" s="8" t="s">
        <v>101</v>
      </c>
      <c r="J297" s="763"/>
      <c r="K297" s="246" t="s">
        <v>472</v>
      </c>
      <c r="L297" s="306">
        <v>0</v>
      </c>
      <c r="M297" s="263">
        <v>44593</v>
      </c>
      <c r="N297" s="263">
        <v>44925</v>
      </c>
      <c r="O297" s="263">
        <v>44652</v>
      </c>
      <c r="P297" s="264">
        <f t="shared" si="8"/>
        <v>0.17771084337349397</v>
      </c>
      <c r="Q297" s="264">
        <f t="shared" si="11"/>
        <v>0.17771084337349397</v>
      </c>
      <c r="R297" s="265">
        <v>1</v>
      </c>
      <c r="S297" s="266">
        <v>0.25</v>
      </c>
      <c r="T297" s="266">
        <v>0.5</v>
      </c>
      <c r="U297" s="266">
        <v>0.75</v>
      </c>
      <c r="V297" s="266">
        <v>1</v>
      </c>
      <c r="W297" s="266">
        <v>0</v>
      </c>
      <c r="X297" s="266" t="s">
        <v>1264</v>
      </c>
      <c r="Y297" s="331" t="s">
        <v>52</v>
      </c>
      <c r="Z297" s="306">
        <v>0</v>
      </c>
      <c r="AA297" s="266">
        <v>0</v>
      </c>
      <c r="AB297" s="266" t="s">
        <v>1264</v>
      </c>
      <c r="AC297" s="268" t="s">
        <v>52</v>
      </c>
      <c r="AD297" s="306">
        <v>0</v>
      </c>
      <c r="AE297" s="522">
        <v>70</v>
      </c>
      <c r="AF297" s="268" t="s">
        <v>2413</v>
      </c>
      <c r="AG297" s="268" t="s">
        <v>2524</v>
      </c>
      <c r="AH297" s="267"/>
      <c r="AI297" s="268"/>
      <c r="AJ297" s="268"/>
      <c r="AK297" s="269"/>
    </row>
    <row r="298" spans="1:37" ht="75" hidden="1" customHeight="1" outlineLevel="1" x14ac:dyDescent="0.2">
      <c r="A298" s="651"/>
      <c r="B298" s="580"/>
      <c r="C298" s="580"/>
      <c r="D298" s="667"/>
      <c r="E298" s="626"/>
      <c r="F298" s="626"/>
      <c r="G298" s="607"/>
      <c r="H298" s="196" t="s">
        <v>1176</v>
      </c>
      <c r="I298" s="8" t="s">
        <v>101</v>
      </c>
      <c r="J298" s="763"/>
      <c r="K298" s="246" t="s">
        <v>472</v>
      </c>
      <c r="L298" s="306">
        <v>0</v>
      </c>
      <c r="M298" s="263">
        <v>44593</v>
      </c>
      <c r="N298" s="263">
        <v>44925</v>
      </c>
      <c r="O298" s="263">
        <v>44652</v>
      </c>
      <c r="P298" s="264">
        <f t="shared" ref="P298:P353" si="12">+(+_xlfn.DAYS(M298,O298))/(+_xlfn.DAYS(M298,N298))</f>
        <v>0.17771084337349397</v>
      </c>
      <c r="Q298" s="264">
        <f t="shared" si="11"/>
        <v>0.17771084337349397</v>
      </c>
      <c r="R298" s="265">
        <v>1</v>
      </c>
      <c r="S298" s="266">
        <v>0.25</v>
      </c>
      <c r="T298" s="266">
        <v>0.5</v>
      </c>
      <c r="U298" s="266">
        <v>0.75</v>
      </c>
      <c r="V298" s="266">
        <v>1</v>
      </c>
      <c r="W298" s="266">
        <v>0.5</v>
      </c>
      <c r="X298" s="266" t="s">
        <v>1333</v>
      </c>
      <c r="Y298" s="331" t="s">
        <v>1334</v>
      </c>
      <c r="Z298" s="306">
        <v>0</v>
      </c>
      <c r="AA298" s="266">
        <v>0</v>
      </c>
      <c r="AB298" s="266" t="s">
        <v>1264</v>
      </c>
      <c r="AC298" s="268" t="s">
        <v>52</v>
      </c>
      <c r="AD298" s="306">
        <v>0</v>
      </c>
      <c r="AE298" s="522">
        <v>70</v>
      </c>
      <c r="AF298" s="268" t="s">
        <v>2414</v>
      </c>
      <c r="AG298" s="268" t="s">
        <v>2524</v>
      </c>
      <c r="AH298" s="267"/>
      <c r="AI298" s="268"/>
      <c r="AJ298" s="268"/>
      <c r="AK298" s="269"/>
    </row>
    <row r="299" spans="1:37" ht="108" hidden="1" customHeight="1" outlineLevel="1" x14ac:dyDescent="0.2">
      <c r="A299" s="651"/>
      <c r="B299" s="580"/>
      <c r="C299" s="580"/>
      <c r="D299" s="667"/>
      <c r="E299" s="626"/>
      <c r="F299" s="626"/>
      <c r="G299" s="607"/>
      <c r="H299" s="196" t="s">
        <v>1177</v>
      </c>
      <c r="I299" s="8" t="s">
        <v>101</v>
      </c>
      <c r="J299" s="763"/>
      <c r="K299" s="246" t="s">
        <v>472</v>
      </c>
      <c r="L299" s="306">
        <v>0</v>
      </c>
      <c r="M299" s="263">
        <v>44593</v>
      </c>
      <c r="N299" s="263">
        <v>44925</v>
      </c>
      <c r="O299" s="263">
        <v>44652</v>
      </c>
      <c r="P299" s="264">
        <f t="shared" si="12"/>
        <v>0.17771084337349397</v>
      </c>
      <c r="Q299" s="264">
        <f t="shared" si="11"/>
        <v>0.17771084337349397</v>
      </c>
      <c r="R299" s="265">
        <v>1</v>
      </c>
      <c r="S299" s="266">
        <v>0.25</v>
      </c>
      <c r="T299" s="266">
        <v>0.5</v>
      </c>
      <c r="U299" s="266">
        <v>0.75</v>
      </c>
      <c r="V299" s="266">
        <v>1</v>
      </c>
      <c r="W299" s="266">
        <v>0.5</v>
      </c>
      <c r="X299" s="266" t="s">
        <v>1335</v>
      </c>
      <c r="Y299" s="331" t="s">
        <v>1334</v>
      </c>
      <c r="Z299" s="306">
        <v>0</v>
      </c>
      <c r="AA299" s="266">
        <v>0.65</v>
      </c>
      <c r="AB299" s="268" t="s">
        <v>1336</v>
      </c>
      <c r="AC299" s="268" t="s">
        <v>52</v>
      </c>
      <c r="AD299" s="306">
        <v>0</v>
      </c>
      <c r="AE299" s="522">
        <v>75</v>
      </c>
      <c r="AF299" s="268" t="s">
        <v>2415</v>
      </c>
      <c r="AG299" s="268" t="s">
        <v>2524</v>
      </c>
      <c r="AH299" s="267"/>
      <c r="AI299" s="268"/>
      <c r="AJ299" s="268"/>
      <c r="AK299" s="269"/>
    </row>
    <row r="300" spans="1:37" ht="135.6" hidden="1" customHeight="1" outlineLevel="1" x14ac:dyDescent="0.2">
      <c r="A300" s="651"/>
      <c r="B300" s="580"/>
      <c r="C300" s="581"/>
      <c r="D300" s="667"/>
      <c r="E300" s="593"/>
      <c r="F300" s="593"/>
      <c r="G300" s="721"/>
      <c r="H300" s="196" t="s">
        <v>1179</v>
      </c>
      <c r="I300" s="8" t="s">
        <v>101</v>
      </c>
      <c r="J300" s="656"/>
      <c r="K300" s="246" t="s">
        <v>472</v>
      </c>
      <c r="L300" s="306">
        <v>0</v>
      </c>
      <c r="M300" s="263">
        <v>44593</v>
      </c>
      <c r="N300" s="263">
        <v>44925</v>
      </c>
      <c r="O300" s="263">
        <v>44652</v>
      </c>
      <c r="P300" s="264">
        <f t="shared" si="12"/>
        <v>0.17771084337349397</v>
      </c>
      <c r="Q300" s="264">
        <f t="shared" si="11"/>
        <v>0.17771084337349397</v>
      </c>
      <c r="R300" s="265">
        <v>1</v>
      </c>
      <c r="S300" s="266">
        <v>0.25</v>
      </c>
      <c r="T300" s="266">
        <v>0.5</v>
      </c>
      <c r="U300" s="266">
        <v>0.75</v>
      </c>
      <c r="V300" s="266">
        <v>1</v>
      </c>
      <c r="W300" s="266">
        <v>0.5</v>
      </c>
      <c r="X300" s="266" t="s">
        <v>1337</v>
      </c>
      <c r="Y300" s="331" t="s">
        <v>1338</v>
      </c>
      <c r="Z300" s="306">
        <v>0</v>
      </c>
      <c r="AA300" s="266">
        <v>0.7</v>
      </c>
      <c r="AB300" s="268" t="s">
        <v>1339</v>
      </c>
      <c r="AC300" s="268" t="s">
        <v>106</v>
      </c>
      <c r="AD300" s="306">
        <v>0</v>
      </c>
      <c r="AE300" s="522">
        <v>75</v>
      </c>
      <c r="AF300" s="268" t="s">
        <v>2417</v>
      </c>
      <c r="AG300" s="268" t="s">
        <v>2524</v>
      </c>
      <c r="AH300" s="267"/>
      <c r="AI300" s="268"/>
      <c r="AJ300" s="268"/>
      <c r="AK300" s="269"/>
    </row>
    <row r="301" spans="1:37" ht="46.15" hidden="1" customHeight="1" outlineLevel="1" x14ac:dyDescent="0.2">
      <c r="A301" s="651"/>
      <c r="B301" s="580"/>
      <c r="C301" s="579" t="s">
        <v>1088</v>
      </c>
      <c r="D301" s="667"/>
      <c r="E301" s="592" t="s">
        <v>760</v>
      </c>
      <c r="F301" s="592" t="s">
        <v>427</v>
      </c>
      <c r="G301" s="8" t="s">
        <v>1340</v>
      </c>
      <c r="H301" s="196" t="s">
        <v>1341</v>
      </c>
      <c r="I301" s="606" t="s">
        <v>430</v>
      </c>
      <c r="J301" s="9" t="s">
        <v>1342</v>
      </c>
      <c r="K301" s="246" t="s">
        <v>472</v>
      </c>
      <c r="L301" s="306">
        <v>0</v>
      </c>
      <c r="M301" s="263">
        <v>44593</v>
      </c>
      <c r="N301" s="263">
        <v>44925</v>
      </c>
      <c r="O301" s="263">
        <v>44652</v>
      </c>
      <c r="P301" s="264">
        <f t="shared" si="12"/>
        <v>0.17771084337349397</v>
      </c>
      <c r="Q301" s="264">
        <f>+IF(P301&gt;=100,100,IF(P301&lt;=0,0,P301))</f>
        <v>0.17771084337349397</v>
      </c>
      <c r="R301" s="265">
        <v>1</v>
      </c>
      <c r="S301" s="266">
        <v>0.25</v>
      </c>
      <c r="T301" s="266">
        <v>0.5</v>
      </c>
      <c r="U301" s="266">
        <v>0.75</v>
      </c>
      <c r="V301" s="266">
        <v>1</v>
      </c>
      <c r="W301" s="266">
        <v>0</v>
      </c>
      <c r="X301" s="266" t="s">
        <v>1315</v>
      </c>
      <c r="Y301" s="331" t="s">
        <v>52</v>
      </c>
      <c r="Z301" s="306">
        <v>0</v>
      </c>
      <c r="AA301" s="266">
        <v>0.2</v>
      </c>
      <c r="AB301" s="268" t="s">
        <v>1343</v>
      </c>
      <c r="AC301" s="268" t="s">
        <v>1344</v>
      </c>
      <c r="AD301" s="306">
        <v>0</v>
      </c>
      <c r="AE301" s="522">
        <v>100</v>
      </c>
      <c r="AF301" s="268" t="s">
        <v>2418</v>
      </c>
      <c r="AG301" s="268" t="s">
        <v>2524</v>
      </c>
      <c r="AH301" s="267"/>
      <c r="AI301" s="268"/>
      <c r="AJ301" s="268"/>
      <c r="AK301" s="269"/>
    </row>
    <row r="302" spans="1:37" ht="46.5" hidden="1" customHeight="1" outlineLevel="1" x14ac:dyDescent="0.2">
      <c r="A302" s="651"/>
      <c r="B302" s="580"/>
      <c r="C302" s="580"/>
      <c r="D302" s="667"/>
      <c r="E302" s="626"/>
      <c r="F302" s="626"/>
      <c r="G302" s="537" t="s">
        <v>76</v>
      </c>
      <c r="H302" s="196" t="s">
        <v>1345</v>
      </c>
      <c r="I302" s="607"/>
      <c r="J302" s="246" t="s">
        <v>1346</v>
      </c>
      <c r="K302" s="246" t="s">
        <v>472</v>
      </c>
      <c r="L302" s="306">
        <v>0</v>
      </c>
      <c r="M302" s="263">
        <v>44593</v>
      </c>
      <c r="N302" s="263">
        <v>44925</v>
      </c>
      <c r="O302" s="263">
        <v>44652</v>
      </c>
      <c r="P302" s="264">
        <f t="shared" si="12"/>
        <v>0.17771084337349397</v>
      </c>
      <c r="Q302" s="264">
        <f>+IF(P302&gt;=100,100,IF(P302&lt;=0,0,P302))</f>
        <v>0.17771084337349397</v>
      </c>
      <c r="R302" s="265">
        <v>1</v>
      </c>
      <c r="S302" s="266">
        <v>0.25</v>
      </c>
      <c r="T302" s="266">
        <v>0.5</v>
      </c>
      <c r="U302" s="266">
        <v>0.75</v>
      </c>
      <c r="V302" s="266">
        <v>1</v>
      </c>
      <c r="W302" s="266">
        <v>0</v>
      </c>
      <c r="X302" s="266" t="s">
        <v>1264</v>
      </c>
      <c r="Y302" s="331" t="s">
        <v>52</v>
      </c>
      <c r="Z302" s="306">
        <v>0</v>
      </c>
      <c r="AA302" s="266">
        <v>0</v>
      </c>
      <c r="AB302" s="268" t="s">
        <v>1347</v>
      </c>
      <c r="AC302" s="268" t="s">
        <v>52</v>
      </c>
      <c r="AD302" s="306">
        <v>0</v>
      </c>
      <c r="AE302" s="522">
        <v>30</v>
      </c>
      <c r="AF302" s="268" t="s">
        <v>2419</v>
      </c>
      <c r="AG302" s="268" t="s">
        <v>2524</v>
      </c>
      <c r="AH302" s="267"/>
      <c r="AI302" s="268"/>
      <c r="AJ302" s="268"/>
      <c r="AK302" s="269"/>
    </row>
    <row r="303" spans="1:37" ht="90.75" hidden="1" customHeight="1" outlineLevel="1" x14ac:dyDescent="0.2">
      <c r="A303" s="651"/>
      <c r="B303" s="579" t="s">
        <v>849</v>
      </c>
      <c r="C303" s="579" t="s">
        <v>850</v>
      </c>
      <c r="D303" s="667"/>
      <c r="E303" s="592" t="s">
        <v>1348</v>
      </c>
      <c r="F303" s="592" t="s">
        <v>1349</v>
      </c>
      <c r="G303" s="8" t="s">
        <v>1350</v>
      </c>
      <c r="H303" s="196" t="s">
        <v>1351</v>
      </c>
      <c r="I303" s="8" t="s">
        <v>261</v>
      </c>
      <c r="J303" s="246" t="s">
        <v>1352</v>
      </c>
      <c r="K303" s="246" t="s">
        <v>472</v>
      </c>
      <c r="L303" s="306">
        <v>0</v>
      </c>
      <c r="M303" s="263">
        <v>44593</v>
      </c>
      <c r="N303" s="263">
        <v>44925</v>
      </c>
      <c r="O303" s="263">
        <v>44652</v>
      </c>
      <c r="P303" s="264">
        <f t="shared" si="12"/>
        <v>0.17771084337349397</v>
      </c>
      <c r="Q303" s="264">
        <f>+IF(P303&gt;=100,100,IF(P303&lt;=0,0,P303))</f>
        <v>0.17771084337349397</v>
      </c>
      <c r="R303" s="265">
        <v>1</v>
      </c>
      <c r="S303" s="266">
        <v>0.25</v>
      </c>
      <c r="T303" s="266">
        <v>0.5</v>
      </c>
      <c r="U303" s="266">
        <v>0.75</v>
      </c>
      <c r="V303" s="266">
        <v>1</v>
      </c>
      <c r="W303" s="266">
        <v>0.5</v>
      </c>
      <c r="X303" s="266" t="s">
        <v>1353</v>
      </c>
      <c r="Y303" s="331" t="s">
        <v>243</v>
      </c>
      <c r="Z303" s="306">
        <v>0</v>
      </c>
      <c r="AA303" s="266">
        <v>0.6</v>
      </c>
      <c r="AB303" s="268" t="s">
        <v>1354</v>
      </c>
      <c r="AC303" s="268"/>
      <c r="AD303" s="306">
        <v>0</v>
      </c>
      <c r="AE303" s="522">
        <v>100</v>
      </c>
      <c r="AF303" s="268" t="s">
        <v>2420</v>
      </c>
      <c r="AG303" s="268" t="s">
        <v>2524</v>
      </c>
      <c r="AH303" s="267"/>
      <c r="AI303" s="268"/>
      <c r="AJ303" s="268"/>
      <c r="AK303" s="269"/>
    </row>
    <row r="304" spans="1:37" ht="72.75" hidden="1" customHeight="1" outlineLevel="1" x14ac:dyDescent="0.2">
      <c r="A304" s="651"/>
      <c r="B304" s="581"/>
      <c r="C304" s="581"/>
      <c r="D304" s="667"/>
      <c r="E304" s="593"/>
      <c r="F304" s="593"/>
      <c r="G304" s="8" t="s">
        <v>1355</v>
      </c>
      <c r="H304" s="196" t="s">
        <v>1356</v>
      </c>
      <c r="I304" s="8" t="s">
        <v>261</v>
      </c>
      <c r="J304" s="246" t="s">
        <v>1357</v>
      </c>
      <c r="K304" s="246" t="s">
        <v>472</v>
      </c>
      <c r="L304" s="306">
        <v>0</v>
      </c>
      <c r="M304" s="263">
        <v>44593</v>
      </c>
      <c r="N304" s="263">
        <v>44925</v>
      </c>
      <c r="O304" s="263">
        <v>44652</v>
      </c>
      <c r="P304" s="264">
        <f t="shared" si="12"/>
        <v>0.17771084337349397</v>
      </c>
      <c r="Q304" s="264">
        <f>+IF(P304&gt;=100,100,IF(P304&lt;=0,0,P304))</f>
        <v>0.17771084337349397</v>
      </c>
      <c r="R304" s="265">
        <v>1</v>
      </c>
      <c r="S304" s="266">
        <v>0.25</v>
      </c>
      <c r="T304" s="266">
        <v>0.5</v>
      </c>
      <c r="U304" s="266">
        <v>0.75</v>
      </c>
      <c r="V304" s="266">
        <v>1</v>
      </c>
      <c r="W304" s="266">
        <v>0</v>
      </c>
      <c r="X304" s="266" t="s">
        <v>1264</v>
      </c>
      <c r="Y304" s="331" t="s">
        <v>52</v>
      </c>
      <c r="Z304" s="306">
        <v>0</v>
      </c>
      <c r="AA304" s="266">
        <v>0</v>
      </c>
      <c r="AB304" s="266" t="s">
        <v>1264</v>
      </c>
      <c r="AC304" s="268" t="s">
        <v>52</v>
      </c>
      <c r="AD304" s="306">
        <v>0</v>
      </c>
      <c r="AE304" s="522">
        <v>45</v>
      </c>
      <c r="AF304" s="268" t="s">
        <v>2421</v>
      </c>
      <c r="AG304" s="268" t="s">
        <v>2524</v>
      </c>
      <c r="AH304" s="267"/>
      <c r="AI304" s="268"/>
      <c r="AJ304" s="268"/>
      <c r="AK304" s="269"/>
    </row>
    <row r="305" spans="1:37" ht="72.75" hidden="1" customHeight="1" outlineLevel="1" x14ac:dyDescent="0.2">
      <c r="A305" s="651"/>
      <c r="B305" s="534"/>
      <c r="C305" s="534"/>
      <c r="D305" s="536"/>
      <c r="E305" s="535"/>
      <c r="F305" s="535"/>
      <c r="G305" s="8"/>
      <c r="H305" s="196" t="s">
        <v>2422</v>
      </c>
      <c r="I305" s="8"/>
      <c r="J305" s="246" t="s">
        <v>2564</v>
      </c>
      <c r="K305" s="246"/>
      <c r="L305" s="306">
        <v>0</v>
      </c>
      <c r="M305" s="263"/>
      <c r="N305" s="263"/>
      <c r="O305" s="263"/>
      <c r="P305" s="264"/>
      <c r="Q305" s="264"/>
      <c r="R305" s="265"/>
      <c r="S305" s="266"/>
      <c r="T305" s="266"/>
      <c r="U305" s="266"/>
      <c r="V305" s="266"/>
      <c r="W305" s="266">
        <v>0</v>
      </c>
      <c r="X305" s="331" t="s">
        <v>52</v>
      </c>
      <c r="Y305" s="331" t="s">
        <v>52</v>
      </c>
      <c r="Z305" s="331" t="s">
        <v>52</v>
      </c>
      <c r="AA305" s="266">
        <v>0</v>
      </c>
      <c r="AB305" s="331" t="s">
        <v>52</v>
      </c>
      <c r="AC305" s="331" t="s">
        <v>52</v>
      </c>
      <c r="AD305" s="306">
        <v>0</v>
      </c>
      <c r="AE305" s="522">
        <v>80</v>
      </c>
      <c r="AF305" s="268" t="s">
        <v>2563</v>
      </c>
      <c r="AG305" s="268" t="s">
        <v>2524</v>
      </c>
      <c r="AH305" s="267"/>
      <c r="AI305" s="268"/>
      <c r="AJ305" s="268"/>
      <c r="AK305" s="269"/>
    </row>
    <row r="306" spans="1:37" ht="162" hidden="1" customHeight="1" outlineLevel="1" x14ac:dyDescent="0.2">
      <c r="A306" s="651"/>
      <c r="B306" s="400" t="s">
        <v>849</v>
      </c>
      <c r="C306" s="400" t="s">
        <v>850</v>
      </c>
      <c r="D306" s="663" t="s">
        <v>1358</v>
      </c>
      <c r="E306" s="248" t="s">
        <v>1348</v>
      </c>
      <c r="F306" s="299" t="s">
        <v>1349</v>
      </c>
      <c r="G306" s="249" t="s">
        <v>1355</v>
      </c>
      <c r="H306" s="196" t="s">
        <v>1359</v>
      </c>
      <c r="I306" s="249" t="s">
        <v>261</v>
      </c>
      <c r="J306" s="246" t="s">
        <v>1360</v>
      </c>
      <c r="K306" s="339">
        <v>129000000</v>
      </c>
      <c r="L306" s="306">
        <v>0</v>
      </c>
      <c r="M306" s="263">
        <v>44593</v>
      </c>
      <c r="N306" s="263">
        <v>44925</v>
      </c>
      <c r="O306" s="263">
        <v>44652</v>
      </c>
      <c r="P306" s="264">
        <f t="shared" si="12"/>
        <v>0.17771084337349397</v>
      </c>
      <c r="Q306" s="264">
        <f t="shared" ref="Q306:Q314" si="13">+IF(P306&gt;=100,100,IF(P306&lt;=0,0,P306))</f>
        <v>0.17771084337349397</v>
      </c>
      <c r="R306" s="265">
        <v>1</v>
      </c>
      <c r="S306" s="266">
        <v>0.25</v>
      </c>
      <c r="T306" s="266">
        <v>0.5</v>
      </c>
      <c r="U306" s="266">
        <v>0.75</v>
      </c>
      <c r="V306" s="266">
        <v>1</v>
      </c>
      <c r="W306" s="266">
        <v>0.25</v>
      </c>
      <c r="X306" s="266" t="s">
        <v>1361</v>
      </c>
      <c r="Y306" s="331" t="s">
        <v>1362</v>
      </c>
      <c r="Z306" s="306">
        <v>0</v>
      </c>
      <c r="AA306" s="266">
        <v>0.45</v>
      </c>
      <c r="AB306" s="268" t="s">
        <v>1363</v>
      </c>
      <c r="AC306" s="268" t="s">
        <v>1364</v>
      </c>
      <c r="AD306" s="306">
        <v>0</v>
      </c>
      <c r="AE306" s="522">
        <v>75</v>
      </c>
      <c r="AF306" s="268" t="s">
        <v>2326</v>
      </c>
      <c r="AG306" s="268" t="s">
        <v>2524</v>
      </c>
      <c r="AH306" s="267"/>
      <c r="AI306" s="268"/>
      <c r="AJ306" s="268"/>
      <c r="AK306" s="269"/>
    </row>
    <row r="307" spans="1:37" ht="109.15" hidden="1" customHeight="1" outlineLevel="1" x14ac:dyDescent="0.2">
      <c r="A307" s="651"/>
      <c r="B307" s="579" t="s">
        <v>270</v>
      </c>
      <c r="C307" s="579" t="s">
        <v>1365</v>
      </c>
      <c r="D307" s="664"/>
      <c r="E307" s="810" t="s">
        <v>1366</v>
      </c>
      <c r="F307" s="808" t="s">
        <v>1367</v>
      </c>
      <c r="G307" s="250" t="s">
        <v>1368</v>
      </c>
      <c r="H307" s="196" t="s">
        <v>1369</v>
      </c>
      <c r="I307" s="806" t="s">
        <v>1370</v>
      </c>
      <c r="J307" s="246" t="s">
        <v>1371</v>
      </c>
      <c r="K307" s="303">
        <v>60000000</v>
      </c>
      <c r="L307" s="306">
        <v>0</v>
      </c>
      <c r="M307" s="263">
        <v>44593</v>
      </c>
      <c r="N307" s="263">
        <v>44925</v>
      </c>
      <c r="O307" s="263">
        <v>44652</v>
      </c>
      <c r="P307" s="264">
        <f t="shared" si="12"/>
        <v>0.17771084337349397</v>
      </c>
      <c r="Q307" s="264">
        <f t="shared" si="13"/>
        <v>0.17771084337349397</v>
      </c>
      <c r="R307" s="265">
        <v>1</v>
      </c>
      <c r="S307" s="266">
        <v>0.25</v>
      </c>
      <c r="T307" s="266">
        <v>0.5</v>
      </c>
      <c r="U307" s="266">
        <v>0.75</v>
      </c>
      <c r="V307" s="266">
        <v>1</v>
      </c>
      <c r="W307" s="266">
        <v>0.25</v>
      </c>
      <c r="X307" s="266" t="s">
        <v>1372</v>
      </c>
      <c r="Y307" s="331" t="s">
        <v>352</v>
      </c>
      <c r="Z307" s="306">
        <v>0</v>
      </c>
      <c r="AA307" s="266">
        <v>0.8</v>
      </c>
      <c r="AB307" s="268" t="s">
        <v>1373</v>
      </c>
      <c r="AC307" s="268" t="s">
        <v>1364</v>
      </c>
      <c r="AD307" s="306">
        <v>0</v>
      </c>
      <c r="AE307" s="522">
        <v>100</v>
      </c>
      <c r="AF307" s="268" t="s">
        <v>2327</v>
      </c>
      <c r="AG307" s="268" t="s">
        <v>2524</v>
      </c>
      <c r="AH307" s="267"/>
      <c r="AI307" s="268"/>
      <c r="AJ307" s="268"/>
      <c r="AK307" s="269"/>
    </row>
    <row r="308" spans="1:37" ht="109.15" hidden="1" customHeight="1" outlineLevel="1" x14ac:dyDescent="0.2">
      <c r="A308" s="651"/>
      <c r="B308" s="581"/>
      <c r="C308" s="581"/>
      <c r="D308" s="665"/>
      <c r="E308" s="845"/>
      <c r="F308" s="809"/>
      <c r="G308" s="249" t="s">
        <v>1374</v>
      </c>
      <c r="H308" s="196" t="s">
        <v>1375</v>
      </c>
      <c r="I308" s="807"/>
      <c r="J308" s="246" t="s">
        <v>1376</v>
      </c>
      <c r="K308" s="303">
        <v>850000000</v>
      </c>
      <c r="L308" s="306">
        <v>0</v>
      </c>
      <c r="M308" s="263">
        <v>44593</v>
      </c>
      <c r="N308" s="263">
        <v>44925</v>
      </c>
      <c r="O308" s="263">
        <v>44652</v>
      </c>
      <c r="P308" s="264">
        <f>+(+_xlfn.DAYS(M308,O308))/(+_xlfn.DAYS(M308,N308))</f>
        <v>0.17771084337349397</v>
      </c>
      <c r="Q308" s="264">
        <f t="shared" si="13"/>
        <v>0.17771084337349397</v>
      </c>
      <c r="R308" s="265">
        <v>1</v>
      </c>
      <c r="S308" s="266">
        <v>0.25</v>
      </c>
      <c r="T308" s="266">
        <v>0.5</v>
      </c>
      <c r="U308" s="266">
        <v>0.75</v>
      </c>
      <c r="V308" s="266">
        <v>1</v>
      </c>
      <c r="W308" s="335">
        <v>0.05</v>
      </c>
      <c r="X308" s="266" t="s">
        <v>1377</v>
      </c>
      <c r="Y308" s="331" t="s">
        <v>1378</v>
      </c>
      <c r="Z308" s="306">
        <v>0</v>
      </c>
      <c r="AA308" s="266">
        <v>0.2</v>
      </c>
      <c r="AB308" s="268" t="s">
        <v>1379</v>
      </c>
      <c r="AC308" s="268" t="s">
        <v>1380</v>
      </c>
      <c r="AD308" s="306">
        <v>0</v>
      </c>
      <c r="AE308" s="522">
        <v>25</v>
      </c>
      <c r="AF308" s="268" t="s">
        <v>2328</v>
      </c>
      <c r="AG308" s="268" t="s">
        <v>2524</v>
      </c>
      <c r="AH308" s="267"/>
      <c r="AI308" s="268"/>
      <c r="AJ308" s="268"/>
      <c r="AK308" s="269"/>
    </row>
    <row r="309" spans="1:37" ht="52.9" hidden="1" customHeight="1" outlineLevel="1" x14ac:dyDescent="0.2">
      <c r="A309" s="651"/>
      <c r="B309" s="579" t="s">
        <v>39</v>
      </c>
      <c r="C309" s="579" t="s">
        <v>758</v>
      </c>
      <c r="D309" s="594" t="s">
        <v>1381</v>
      </c>
      <c r="E309" s="590" t="s">
        <v>426</v>
      </c>
      <c r="F309" s="630" t="s">
        <v>832</v>
      </c>
      <c r="G309" s="815" t="s">
        <v>1382</v>
      </c>
      <c r="H309" s="565" t="s">
        <v>1383</v>
      </c>
      <c r="I309" s="815" t="s">
        <v>834</v>
      </c>
      <c r="J309" s="246" t="s">
        <v>189</v>
      </c>
      <c r="K309" s="337">
        <v>40162500</v>
      </c>
      <c r="L309" s="337">
        <v>10000000</v>
      </c>
      <c r="M309" s="263">
        <v>44593</v>
      </c>
      <c r="N309" s="263">
        <v>44925</v>
      </c>
      <c r="O309" s="263">
        <v>44652</v>
      </c>
      <c r="P309" s="264">
        <f t="shared" si="12"/>
        <v>0.17771084337349397</v>
      </c>
      <c r="Q309" s="264">
        <f t="shared" si="13"/>
        <v>0.17771084337349397</v>
      </c>
      <c r="R309" s="265">
        <v>1</v>
      </c>
      <c r="S309" s="266">
        <v>0.25</v>
      </c>
      <c r="T309" s="266">
        <v>0.5</v>
      </c>
      <c r="U309" s="266">
        <v>0.75</v>
      </c>
      <c r="V309" s="266">
        <v>1</v>
      </c>
      <c r="W309" s="266">
        <v>0.25</v>
      </c>
      <c r="X309" s="266" t="s">
        <v>1384</v>
      </c>
      <c r="Y309" s="331"/>
      <c r="Z309" s="306">
        <v>20000000</v>
      </c>
      <c r="AA309" s="266">
        <v>0.5</v>
      </c>
      <c r="AB309" s="306" t="s">
        <v>1385</v>
      </c>
      <c r="AC309" s="268" t="s">
        <v>1386</v>
      </c>
      <c r="AD309" s="306">
        <v>0</v>
      </c>
      <c r="AE309" s="268">
        <v>75</v>
      </c>
      <c r="AF309" s="522" t="s">
        <v>2180</v>
      </c>
      <c r="AG309" s="268" t="s">
        <v>2524</v>
      </c>
      <c r="AH309" s="267"/>
      <c r="AI309" s="268"/>
      <c r="AJ309" s="268"/>
      <c r="AK309" s="269"/>
    </row>
    <row r="310" spans="1:37" ht="112.5" hidden="1" customHeight="1" outlineLevel="1" x14ac:dyDescent="0.2">
      <c r="A310" s="651"/>
      <c r="B310" s="580"/>
      <c r="C310" s="580"/>
      <c r="D310" s="595"/>
      <c r="E310" s="591"/>
      <c r="F310" s="631"/>
      <c r="G310" s="816"/>
      <c r="H310" s="196" t="s">
        <v>2511</v>
      </c>
      <c r="I310" s="816"/>
      <c r="J310" s="246" t="s">
        <v>1387</v>
      </c>
      <c r="K310" s="303">
        <v>60000000</v>
      </c>
      <c r="L310" s="306">
        <v>0</v>
      </c>
      <c r="M310" s="263">
        <v>44593</v>
      </c>
      <c r="N310" s="263">
        <v>44925</v>
      </c>
      <c r="O310" s="263">
        <v>44652</v>
      </c>
      <c r="P310" s="264">
        <f t="shared" si="12"/>
        <v>0.17771084337349397</v>
      </c>
      <c r="Q310" s="264">
        <f t="shared" si="13"/>
        <v>0.17771084337349397</v>
      </c>
      <c r="R310" s="265">
        <v>1</v>
      </c>
      <c r="S310" s="266">
        <v>0.25</v>
      </c>
      <c r="T310" s="266">
        <v>0.5</v>
      </c>
      <c r="U310" s="266">
        <v>0.75</v>
      </c>
      <c r="V310" s="266">
        <v>1</v>
      </c>
      <c r="W310" s="266">
        <v>0</v>
      </c>
      <c r="X310" s="266" t="s">
        <v>1388</v>
      </c>
      <c r="Y310" s="331" t="s">
        <v>620</v>
      </c>
      <c r="Z310" s="306">
        <v>0</v>
      </c>
      <c r="AA310" s="266">
        <v>0.5</v>
      </c>
      <c r="AB310" s="268" t="s">
        <v>1389</v>
      </c>
      <c r="AC310" s="268" t="s">
        <v>303</v>
      </c>
      <c r="AD310" s="306">
        <v>0</v>
      </c>
      <c r="AE310" s="268">
        <v>50</v>
      </c>
      <c r="AF310" s="522" t="s">
        <v>2182</v>
      </c>
      <c r="AG310" s="268" t="s">
        <v>2524</v>
      </c>
      <c r="AH310" s="267"/>
      <c r="AI310" s="268"/>
      <c r="AJ310" s="268"/>
      <c r="AK310" s="269"/>
    </row>
    <row r="311" spans="1:37" ht="116.25" hidden="1" customHeight="1" outlineLevel="1" x14ac:dyDescent="0.2">
      <c r="A311" s="651"/>
      <c r="B311" s="580"/>
      <c r="C311" s="580"/>
      <c r="D311" s="595"/>
      <c r="E311" s="591"/>
      <c r="F311" s="631"/>
      <c r="G311" s="816"/>
      <c r="H311" s="196" t="s">
        <v>1390</v>
      </c>
      <c r="I311" s="816"/>
      <c r="J311" s="246" t="s">
        <v>1387</v>
      </c>
      <c r="K311" s="303">
        <v>35000000</v>
      </c>
      <c r="L311" s="306">
        <v>0</v>
      </c>
      <c r="M311" s="263">
        <v>44593</v>
      </c>
      <c r="N311" s="263">
        <v>44925</v>
      </c>
      <c r="O311" s="263">
        <v>44652</v>
      </c>
      <c r="P311" s="264">
        <f t="shared" si="12"/>
        <v>0.17771084337349397</v>
      </c>
      <c r="Q311" s="264">
        <f t="shared" si="13"/>
        <v>0.17771084337349397</v>
      </c>
      <c r="R311" s="265">
        <v>1</v>
      </c>
      <c r="S311" s="266">
        <v>0.25</v>
      </c>
      <c r="T311" s="266">
        <v>0.5</v>
      </c>
      <c r="U311" s="266">
        <v>0.75</v>
      </c>
      <c r="V311" s="266">
        <v>1</v>
      </c>
      <c r="W311" s="266">
        <v>0</v>
      </c>
      <c r="X311" s="266" t="s">
        <v>1391</v>
      </c>
      <c r="Y311" s="331" t="s">
        <v>52</v>
      </c>
      <c r="Z311" s="306">
        <v>0</v>
      </c>
      <c r="AA311" s="266">
        <v>0</v>
      </c>
      <c r="AB311" s="268" t="s">
        <v>1392</v>
      </c>
      <c r="AC311" s="268" t="s">
        <v>52</v>
      </c>
      <c r="AD311" s="306">
        <v>0</v>
      </c>
      <c r="AE311" s="268">
        <v>35</v>
      </c>
      <c r="AF311" s="522" t="s">
        <v>2181</v>
      </c>
      <c r="AG311" s="268" t="s">
        <v>2524</v>
      </c>
      <c r="AH311" s="267"/>
      <c r="AI311" s="268"/>
      <c r="AJ311" s="268"/>
      <c r="AK311" s="269"/>
    </row>
    <row r="312" spans="1:37" ht="71.45" hidden="1" customHeight="1" outlineLevel="1" x14ac:dyDescent="0.2">
      <c r="A312" s="651"/>
      <c r="B312" s="580"/>
      <c r="C312" s="580"/>
      <c r="D312" s="595"/>
      <c r="E312" s="591"/>
      <c r="F312" s="631"/>
      <c r="G312" s="816"/>
      <c r="H312" s="196" t="s">
        <v>1393</v>
      </c>
      <c r="I312" s="816"/>
      <c r="J312" s="246" t="s">
        <v>1387</v>
      </c>
      <c r="K312" s="303">
        <v>15000000</v>
      </c>
      <c r="L312" s="306">
        <v>0</v>
      </c>
      <c r="M312" s="263">
        <v>44593</v>
      </c>
      <c r="N312" s="263">
        <v>44925</v>
      </c>
      <c r="O312" s="263">
        <v>44652</v>
      </c>
      <c r="P312" s="264">
        <f t="shared" si="12"/>
        <v>0.17771084337349397</v>
      </c>
      <c r="Q312" s="264">
        <f t="shared" si="13"/>
        <v>0.17771084337349397</v>
      </c>
      <c r="R312" s="265">
        <v>1</v>
      </c>
      <c r="S312" s="266">
        <v>0.25</v>
      </c>
      <c r="T312" s="266">
        <v>0.5</v>
      </c>
      <c r="U312" s="266">
        <v>0.75</v>
      </c>
      <c r="V312" s="266">
        <v>1</v>
      </c>
      <c r="W312" s="266">
        <v>0</v>
      </c>
      <c r="X312" s="266" t="s">
        <v>1394</v>
      </c>
      <c r="Y312" s="331" t="s">
        <v>52</v>
      </c>
      <c r="Z312" s="306">
        <v>0</v>
      </c>
      <c r="AA312" s="266">
        <v>0.5</v>
      </c>
      <c r="AB312" s="268" t="s">
        <v>2183</v>
      </c>
      <c r="AC312" s="268" t="s">
        <v>303</v>
      </c>
      <c r="AD312" s="303">
        <v>14790000</v>
      </c>
      <c r="AE312" s="268">
        <v>75</v>
      </c>
      <c r="AF312" s="522" t="s">
        <v>2184</v>
      </c>
      <c r="AG312" s="268" t="s">
        <v>2524</v>
      </c>
      <c r="AH312" s="267"/>
      <c r="AI312" s="268"/>
      <c r="AJ312" s="268"/>
      <c r="AK312" s="269"/>
    </row>
    <row r="313" spans="1:37" ht="57.75" hidden="1" customHeight="1" outlineLevel="1" x14ac:dyDescent="0.2">
      <c r="A313" s="651"/>
      <c r="B313" s="580"/>
      <c r="C313" s="580"/>
      <c r="D313" s="595"/>
      <c r="E313" s="591"/>
      <c r="F313" s="631"/>
      <c r="G313" s="816"/>
      <c r="H313" s="196" t="s">
        <v>1395</v>
      </c>
      <c r="I313" s="816"/>
      <c r="J313" s="246" t="s">
        <v>1396</v>
      </c>
      <c r="K313" s="303">
        <v>30000000</v>
      </c>
      <c r="L313" s="306">
        <v>0</v>
      </c>
      <c r="M313" s="263">
        <v>44593</v>
      </c>
      <c r="N313" s="263">
        <v>44925</v>
      </c>
      <c r="O313" s="263">
        <v>44652</v>
      </c>
      <c r="P313" s="264">
        <f t="shared" si="12"/>
        <v>0.17771084337349397</v>
      </c>
      <c r="Q313" s="264">
        <f t="shared" si="13"/>
        <v>0.17771084337349397</v>
      </c>
      <c r="R313" s="265">
        <v>1</v>
      </c>
      <c r="S313" s="266">
        <v>0.25</v>
      </c>
      <c r="T313" s="266">
        <v>0.5</v>
      </c>
      <c r="U313" s="266">
        <v>0.75</v>
      </c>
      <c r="V313" s="266">
        <v>1</v>
      </c>
      <c r="W313" s="266">
        <v>0.1</v>
      </c>
      <c r="X313" s="266" t="s">
        <v>1397</v>
      </c>
      <c r="Y313" s="331" t="s">
        <v>1398</v>
      </c>
      <c r="Z313" s="306">
        <v>0</v>
      </c>
      <c r="AA313" s="266">
        <v>0.1</v>
      </c>
      <c r="AB313" s="268" t="s">
        <v>290</v>
      </c>
      <c r="AC313" s="268" t="s">
        <v>52</v>
      </c>
      <c r="AD313" s="306">
        <v>0</v>
      </c>
      <c r="AE313" s="522">
        <v>40</v>
      </c>
      <c r="AF313" s="268" t="s">
        <v>2185</v>
      </c>
      <c r="AG313" s="268" t="s">
        <v>2524</v>
      </c>
      <c r="AH313" s="267"/>
      <c r="AI313" s="268"/>
      <c r="AJ313" s="268"/>
      <c r="AK313" s="269"/>
    </row>
    <row r="314" spans="1:37" ht="94.15" hidden="1" customHeight="1" outlineLevel="1" x14ac:dyDescent="0.2">
      <c r="A314" s="651"/>
      <c r="B314" s="580"/>
      <c r="C314" s="580"/>
      <c r="D314" s="595"/>
      <c r="E314" s="591"/>
      <c r="F314" s="631"/>
      <c r="G314" s="816"/>
      <c r="H314" s="196" t="s">
        <v>1399</v>
      </c>
      <c r="I314" s="816"/>
      <c r="J314" s="246" t="s">
        <v>1400</v>
      </c>
      <c r="K314" s="303">
        <v>25000000</v>
      </c>
      <c r="L314" s="306">
        <v>0</v>
      </c>
      <c r="M314" s="263">
        <v>44593</v>
      </c>
      <c r="N314" s="263">
        <v>44925</v>
      </c>
      <c r="O314" s="263">
        <v>44652</v>
      </c>
      <c r="P314" s="264">
        <f t="shared" si="12"/>
        <v>0.17771084337349397</v>
      </c>
      <c r="Q314" s="264">
        <f t="shared" si="13"/>
        <v>0.17771084337349397</v>
      </c>
      <c r="R314" s="265">
        <v>1</v>
      </c>
      <c r="S314" s="266">
        <v>0.25</v>
      </c>
      <c r="T314" s="266">
        <v>0.5</v>
      </c>
      <c r="U314" s="266">
        <v>0.75</v>
      </c>
      <c r="V314" s="266">
        <v>1</v>
      </c>
      <c r="W314" s="266">
        <v>0.1</v>
      </c>
      <c r="X314" s="266" t="s">
        <v>1391</v>
      </c>
      <c r="Y314" s="331" t="s">
        <v>52</v>
      </c>
      <c r="Z314" s="306">
        <v>0</v>
      </c>
      <c r="AA314" s="266">
        <v>0.1</v>
      </c>
      <c r="AB314" s="268" t="s">
        <v>290</v>
      </c>
      <c r="AC314" s="268" t="s">
        <v>52</v>
      </c>
      <c r="AD314" s="306">
        <v>0</v>
      </c>
      <c r="AE314" s="522">
        <v>40</v>
      </c>
      <c r="AF314" s="268" t="s">
        <v>2186</v>
      </c>
      <c r="AG314" s="268" t="s">
        <v>2524</v>
      </c>
      <c r="AH314" s="267"/>
      <c r="AI314" s="268"/>
      <c r="AJ314" s="268"/>
      <c r="AK314" s="269"/>
    </row>
    <row r="315" spans="1:37" ht="81.75" hidden="1" customHeight="1" outlineLevel="1" x14ac:dyDescent="0.2">
      <c r="A315" s="651"/>
      <c r="B315" s="575" t="s">
        <v>1401</v>
      </c>
      <c r="C315" s="575" t="s">
        <v>758</v>
      </c>
      <c r="D315" s="852" t="s">
        <v>1402</v>
      </c>
      <c r="E315" s="810" t="s">
        <v>1403</v>
      </c>
      <c r="F315" s="810" t="s">
        <v>1404</v>
      </c>
      <c r="G315" s="770" t="s">
        <v>1405</v>
      </c>
      <c r="H315" s="196" t="s">
        <v>1406</v>
      </c>
      <c r="I315" s="817" t="s">
        <v>430</v>
      </c>
      <c r="J315" s="655" t="s">
        <v>1407</v>
      </c>
      <c r="K315" s="303">
        <v>23000000</v>
      </c>
      <c r="L315" s="306">
        <v>0</v>
      </c>
      <c r="M315" s="263">
        <v>44593</v>
      </c>
      <c r="N315" s="263">
        <v>44925</v>
      </c>
      <c r="O315" s="263">
        <v>44652</v>
      </c>
      <c r="P315" s="264">
        <f t="shared" ref="P315:P331" si="14">+(+_xlfn.DAYS(M315,O315))/(+_xlfn.DAYS(M315,N315))</f>
        <v>0.17771084337349397</v>
      </c>
      <c r="Q315" s="264">
        <f t="shared" ref="Q315:Q331" si="15">+IF(P315&gt;=100,100,IF(P315&lt;=0,0,P315))</f>
        <v>0.17771084337349397</v>
      </c>
      <c r="R315" s="265">
        <v>1</v>
      </c>
      <c r="S315" s="266">
        <v>0.25</v>
      </c>
      <c r="T315" s="266">
        <v>0.5</v>
      </c>
      <c r="U315" s="266">
        <v>0.75</v>
      </c>
      <c r="V315" s="266">
        <v>1</v>
      </c>
      <c r="W315" s="266">
        <v>0.1</v>
      </c>
      <c r="X315" s="266" t="s">
        <v>472</v>
      </c>
      <c r="Y315" s="331" t="s">
        <v>52</v>
      </c>
      <c r="Z315" s="306">
        <v>16713550</v>
      </c>
      <c r="AA315" s="266">
        <v>0.5</v>
      </c>
      <c r="AB315" s="268" t="s">
        <v>1408</v>
      </c>
      <c r="AC315" s="268" t="s">
        <v>1409</v>
      </c>
      <c r="AD315" s="268">
        <v>6783000</v>
      </c>
      <c r="AE315" s="522">
        <v>95</v>
      </c>
      <c r="AF315" s="268" t="s">
        <v>2217</v>
      </c>
      <c r="AG315" s="268" t="s">
        <v>2524</v>
      </c>
      <c r="AH315" s="267"/>
      <c r="AI315" s="268"/>
      <c r="AJ315" s="268"/>
      <c r="AK315" s="269"/>
    </row>
    <row r="316" spans="1:37" ht="78" hidden="1" customHeight="1" outlineLevel="1" x14ac:dyDescent="0.2">
      <c r="A316" s="651"/>
      <c r="B316" s="576"/>
      <c r="C316" s="576"/>
      <c r="D316" s="853"/>
      <c r="E316" s="811"/>
      <c r="F316" s="811"/>
      <c r="G316" s="790"/>
      <c r="H316" s="196" t="s">
        <v>1410</v>
      </c>
      <c r="I316" s="818"/>
      <c r="J316" s="763"/>
      <c r="K316" s="303">
        <v>20515600</v>
      </c>
      <c r="L316" s="306">
        <v>0</v>
      </c>
      <c r="M316" s="263">
        <v>44593</v>
      </c>
      <c r="N316" s="263">
        <v>44925</v>
      </c>
      <c r="O316" s="263">
        <v>44652</v>
      </c>
      <c r="P316" s="264">
        <f t="shared" si="14"/>
        <v>0.17771084337349397</v>
      </c>
      <c r="Q316" s="264">
        <f t="shared" si="15"/>
        <v>0.17771084337349397</v>
      </c>
      <c r="R316" s="265">
        <v>1</v>
      </c>
      <c r="S316" s="266">
        <v>0.25</v>
      </c>
      <c r="T316" s="266">
        <v>0.5</v>
      </c>
      <c r="U316" s="266">
        <v>0.75</v>
      </c>
      <c r="V316" s="266">
        <v>1</v>
      </c>
      <c r="W316" s="335">
        <v>0.8</v>
      </c>
      <c r="X316" s="303" t="s">
        <v>1411</v>
      </c>
      <c r="Y316" s="331" t="s">
        <v>1412</v>
      </c>
      <c r="AA316" s="266">
        <v>0.5</v>
      </c>
      <c r="AB316" s="268" t="s">
        <v>1413</v>
      </c>
      <c r="AC316" s="268" t="s">
        <v>1414</v>
      </c>
      <c r="AD316" s="306">
        <v>20515600</v>
      </c>
      <c r="AE316" s="522">
        <v>15</v>
      </c>
      <c r="AF316" s="268" t="s">
        <v>2218</v>
      </c>
      <c r="AG316" s="268" t="s">
        <v>2524</v>
      </c>
      <c r="AH316" s="267"/>
      <c r="AI316" s="268"/>
      <c r="AJ316" s="268"/>
      <c r="AK316" s="269"/>
    </row>
    <row r="317" spans="1:37" ht="56.25" hidden="1" customHeight="1" outlineLevel="1" x14ac:dyDescent="0.2">
      <c r="A317" s="651"/>
      <c r="B317" s="576"/>
      <c r="C317" s="576"/>
      <c r="D317" s="853"/>
      <c r="E317" s="811"/>
      <c r="F317" s="811"/>
      <c r="G317" s="790"/>
      <c r="H317" s="196" t="s">
        <v>1415</v>
      </c>
      <c r="I317" s="818"/>
      <c r="J317" s="763"/>
      <c r="K317" s="303">
        <v>4500000</v>
      </c>
      <c r="L317" s="306">
        <v>0</v>
      </c>
      <c r="M317" s="263">
        <v>44593</v>
      </c>
      <c r="N317" s="263">
        <v>44925</v>
      </c>
      <c r="O317" s="263">
        <v>44652</v>
      </c>
      <c r="P317" s="264">
        <f t="shared" si="14"/>
        <v>0.17771084337349397</v>
      </c>
      <c r="Q317" s="264">
        <f t="shared" si="15"/>
        <v>0.17771084337349397</v>
      </c>
      <c r="R317" s="265">
        <v>1</v>
      </c>
      <c r="S317" s="266">
        <v>0.25</v>
      </c>
      <c r="T317" s="266">
        <v>0.5</v>
      </c>
      <c r="U317" s="266">
        <v>0.75</v>
      </c>
      <c r="V317" s="266">
        <v>1</v>
      </c>
      <c r="W317" s="266">
        <v>0.15</v>
      </c>
      <c r="X317" s="266" t="s">
        <v>1416</v>
      </c>
      <c r="Y317" s="331" t="s">
        <v>352</v>
      </c>
      <c r="Z317" s="306">
        <v>12150436</v>
      </c>
      <c r="AA317" s="266">
        <v>1</v>
      </c>
      <c r="AB317" s="268" t="s">
        <v>1417</v>
      </c>
      <c r="AC317" s="268" t="s">
        <v>1414</v>
      </c>
      <c r="AD317" s="306">
        <v>0</v>
      </c>
      <c r="AE317" s="522">
        <v>100</v>
      </c>
      <c r="AF317" s="268" t="s">
        <v>2219</v>
      </c>
      <c r="AG317" s="268" t="s">
        <v>2524</v>
      </c>
      <c r="AH317" s="267"/>
      <c r="AI317" s="268"/>
      <c r="AJ317" s="268"/>
      <c r="AK317" s="269"/>
    </row>
    <row r="318" spans="1:37" ht="46.5" hidden="1" customHeight="1" outlineLevel="1" x14ac:dyDescent="0.2">
      <c r="A318" s="651"/>
      <c r="B318" s="576"/>
      <c r="C318" s="576"/>
      <c r="D318" s="853"/>
      <c r="E318" s="811"/>
      <c r="F318" s="811"/>
      <c r="G318" s="790"/>
      <c r="H318" s="196" t="s">
        <v>1418</v>
      </c>
      <c r="I318" s="818"/>
      <c r="J318" s="763"/>
      <c r="K318" s="303">
        <v>22000000</v>
      </c>
      <c r="L318" s="306">
        <v>0</v>
      </c>
      <c r="M318" s="263">
        <v>44593</v>
      </c>
      <c r="N318" s="263">
        <v>44925</v>
      </c>
      <c r="O318" s="263">
        <v>44652</v>
      </c>
      <c r="P318" s="264">
        <f t="shared" si="14"/>
        <v>0.17771084337349397</v>
      </c>
      <c r="Q318" s="264">
        <f t="shared" si="15"/>
        <v>0.17771084337349397</v>
      </c>
      <c r="R318" s="265">
        <v>1</v>
      </c>
      <c r="S318" s="266">
        <v>0.25</v>
      </c>
      <c r="T318" s="266">
        <v>0.5</v>
      </c>
      <c r="U318" s="266">
        <v>0.75</v>
      </c>
      <c r="V318" s="266">
        <v>1</v>
      </c>
      <c r="W318" s="266">
        <v>0.25</v>
      </c>
      <c r="X318" s="266" t="s">
        <v>1416</v>
      </c>
      <c r="Y318" s="331" t="s">
        <v>352</v>
      </c>
      <c r="Z318" s="306">
        <v>0</v>
      </c>
      <c r="AA318" s="266">
        <v>0.4</v>
      </c>
      <c r="AB318" s="268" t="s">
        <v>1419</v>
      </c>
      <c r="AC318" s="268" t="s">
        <v>352</v>
      </c>
      <c r="AD318" s="268">
        <v>7800000</v>
      </c>
      <c r="AE318" s="522">
        <v>75</v>
      </c>
      <c r="AF318" s="268" t="s">
        <v>2220</v>
      </c>
      <c r="AG318" s="268" t="s">
        <v>2524</v>
      </c>
      <c r="AH318" s="267"/>
      <c r="AI318" s="268"/>
      <c r="AJ318" s="268"/>
      <c r="AK318" s="269"/>
    </row>
    <row r="319" spans="1:37" ht="77.25" hidden="1" customHeight="1" outlineLevel="1" x14ac:dyDescent="0.2">
      <c r="A319" s="651"/>
      <c r="B319" s="576"/>
      <c r="C319" s="576"/>
      <c r="D319" s="853"/>
      <c r="E319" s="811"/>
      <c r="F319" s="811"/>
      <c r="G319" s="790"/>
      <c r="H319" s="196" t="s">
        <v>1420</v>
      </c>
      <c r="I319" s="818"/>
      <c r="J319" s="763"/>
      <c r="K319" s="303">
        <v>158000000</v>
      </c>
      <c r="L319" s="306">
        <v>0</v>
      </c>
      <c r="M319" s="263">
        <v>44593</v>
      </c>
      <c r="N319" s="263">
        <v>44925</v>
      </c>
      <c r="O319" s="263">
        <v>44652</v>
      </c>
      <c r="P319" s="264">
        <f t="shared" si="14"/>
        <v>0.17771084337349397</v>
      </c>
      <c r="Q319" s="264">
        <f t="shared" si="15"/>
        <v>0.17771084337349397</v>
      </c>
      <c r="R319" s="265">
        <v>1</v>
      </c>
      <c r="S319" s="266">
        <v>0.25</v>
      </c>
      <c r="T319" s="266">
        <v>0.5</v>
      </c>
      <c r="U319" s="266">
        <v>0.75</v>
      </c>
      <c r="V319" s="266">
        <v>1</v>
      </c>
      <c r="W319" s="266">
        <v>0.15</v>
      </c>
      <c r="X319" s="266" t="s">
        <v>1416</v>
      </c>
      <c r="Y319" s="331" t="s">
        <v>352</v>
      </c>
      <c r="Z319" s="306">
        <v>0</v>
      </c>
      <c r="AA319" s="266">
        <v>0.4</v>
      </c>
      <c r="AB319" s="268" t="s">
        <v>1421</v>
      </c>
      <c r="AC319" s="268" t="s">
        <v>352</v>
      </c>
      <c r="AD319" s="268">
        <v>24681612</v>
      </c>
      <c r="AE319" s="522">
        <v>95</v>
      </c>
      <c r="AF319" s="268" t="s">
        <v>2221</v>
      </c>
      <c r="AG319" s="268" t="s">
        <v>2524</v>
      </c>
      <c r="AH319" s="267"/>
      <c r="AI319" s="268"/>
      <c r="AJ319" s="268"/>
      <c r="AK319" s="269"/>
    </row>
    <row r="320" spans="1:37" ht="56.25" hidden="1" customHeight="1" outlineLevel="1" x14ac:dyDescent="0.2">
      <c r="A320" s="651"/>
      <c r="B320" s="576"/>
      <c r="C320" s="576"/>
      <c r="D320" s="853"/>
      <c r="E320" s="811"/>
      <c r="F320" s="811"/>
      <c r="G320" s="790"/>
      <c r="H320" s="196" t="s">
        <v>1422</v>
      </c>
      <c r="I320" s="818"/>
      <c r="J320" s="763"/>
      <c r="K320" s="303">
        <v>18000000</v>
      </c>
      <c r="L320" s="306">
        <v>0</v>
      </c>
      <c r="M320" s="263">
        <v>44593</v>
      </c>
      <c r="N320" s="263">
        <v>44925</v>
      </c>
      <c r="O320" s="263">
        <v>44652</v>
      </c>
      <c r="P320" s="264">
        <f t="shared" si="14"/>
        <v>0.17771084337349397</v>
      </c>
      <c r="Q320" s="264">
        <f t="shared" si="15"/>
        <v>0.17771084337349397</v>
      </c>
      <c r="R320" s="265">
        <v>1</v>
      </c>
      <c r="S320" s="266">
        <v>0.25</v>
      </c>
      <c r="T320" s="266">
        <v>0.5</v>
      </c>
      <c r="U320" s="266">
        <v>0.75</v>
      </c>
      <c r="V320" s="266">
        <v>1</v>
      </c>
      <c r="W320" s="266">
        <v>0.15</v>
      </c>
      <c r="X320" s="266" t="s">
        <v>1416</v>
      </c>
      <c r="Y320" s="331" t="s">
        <v>352</v>
      </c>
      <c r="Z320" s="306">
        <v>0</v>
      </c>
      <c r="AA320" s="266">
        <v>0.3</v>
      </c>
      <c r="AB320" s="268" t="s">
        <v>1423</v>
      </c>
      <c r="AC320" s="268" t="s">
        <v>1424</v>
      </c>
      <c r="AD320" s="306">
        <v>0</v>
      </c>
      <c r="AE320" s="266">
        <v>0.3</v>
      </c>
      <c r="AF320" s="268" t="s">
        <v>2222</v>
      </c>
      <c r="AG320" s="268" t="s">
        <v>2524</v>
      </c>
      <c r="AH320" s="267"/>
      <c r="AI320" s="268"/>
      <c r="AJ320" s="268"/>
      <c r="AK320" s="269"/>
    </row>
    <row r="321" spans="1:37" ht="151.5" hidden="1" customHeight="1" outlineLevel="1" x14ac:dyDescent="0.2">
      <c r="A321" s="651"/>
      <c r="B321" s="576"/>
      <c r="C321" s="576"/>
      <c r="D321" s="853"/>
      <c r="E321" s="811"/>
      <c r="F321" s="811"/>
      <c r="G321" s="790"/>
      <c r="H321" s="196" t="s">
        <v>1425</v>
      </c>
      <c r="I321" s="818"/>
      <c r="J321" s="763"/>
      <c r="K321" s="303">
        <v>39104886</v>
      </c>
      <c r="L321" s="306">
        <v>0</v>
      </c>
      <c r="M321" s="263">
        <v>44593</v>
      </c>
      <c r="N321" s="263">
        <v>44925</v>
      </c>
      <c r="O321" s="263">
        <v>44652</v>
      </c>
      <c r="P321" s="264">
        <f t="shared" si="14"/>
        <v>0.17771084337349397</v>
      </c>
      <c r="Q321" s="264">
        <f t="shared" si="15"/>
        <v>0.17771084337349397</v>
      </c>
      <c r="R321" s="265">
        <v>1</v>
      </c>
      <c r="S321" s="266">
        <v>0.25</v>
      </c>
      <c r="T321" s="266">
        <v>0.5</v>
      </c>
      <c r="U321" s="266">
        <v>0.75</v>
      </c>
      <c r="V321" s="266">
        <v>1</v>
      </c>
      <c r="W321" s="266">
        <v>0.15</v>
      </c>
      <c r="X321" s="266" t="s">
        <v>1416</v>
      </c>
      <c r="Y321" s="331" t="s">
        <v>352</v>
      </c>
      <c r="Z321" s="306">
        <v>0</v>
      </c>
      <c r="AA321" s="266">
        <v>0.3</v>
      </c>
      <c r="AB321" s="268" t="s">
        <v>1423</v>
      </c>
      <c r="AC321" s="268" t="s">
        <v>1424</v>
      </c>
      <c r="AD321" s="268">
        <v>38713881</v>
      </c>
      <c r="AE321" s="522">
        <v>50</v>
      </c>
      <c r="AF321" s="268" t="s">
        <v>2223</v>
      </c>
      <c r="AG321" s="268" t="s">
        <v>2524</v>
      </c>
      <c r="AH321" s="267"/>
      <c r="AI321" s="268"/>
      <c r="AJ321" s="268"/>
      <c r="AK321" s="269"/>
    </row>
    <row r="322" spans="1:37" ht="168.75" hidden="1" customHeight="1" outlineLevel="1" x14ac:dyDescent="0.2">
      <c r="A322" s="651"/>
      <c r="B322" s="576"/>
      <c r="C322" s="576"/>
      <c r="D322" s="853"/>
      <c r="E322" s="811"/>
      <c r="F322" s="811"/>
      <c r="G322" s="790"/>
      <c r="H322" s="196" t="s">
        <v>1426</v>
      </c>
      <c r="I322" s="818"/>
      <c r="J322" s="763"/>
      <c r="K322" s="303">
        <v>27649174</v>
      </c>
      <c r="L322" s="306">
        <v>0</v>
      </c>
      <c r="M322" s="263">
        <v>44593</v>
      </c>
      <c r="N322" s="263">
        <v>44925</v>
      </c>
      <c r="O322" s="263">
        <v>44652</v>
      </c>
      <c r="P322" s="264">
        <f t="shared" si="14"/>
        <v>0.17771084337349397</v>
      </c>
      <c r="Q322" s="264">
        <f t="shared" si="15"/>
        <v>0.17771084337349397</v>
      </c>
      <c r="R322" s="265">
        <v>1</v>
      </c>
      <c r="S322" s="266">
        <v>0.25</v>
      </c>
      <c r="T322" s="266">
        <v>0.5</v>
      </c>
      <c r="U322" s="266">
        <v>0.75</v>
      </c>
      <c r="V322" s="266">
        <v>1</v>
      </c>
      <c r="W322" s="266">
        <v>0.18</v>
      </c>
      <c r="X322" s="266" t="s">
        <v>1416</v>
      </c>
      <c r="Y322" s="331" t="s">
        <v>352</v>
      </c>
      <c r="Z322" s="306">
        <v>0</v>
      </c>
      <c r="AA322" s="266">
        <v>0.3</v>
      </c>
      <c r="AB322" s="268" t="s">
        <v>1427</v>
      </c>
      <c r="AC322" s="268" t="s">
        <v>1428</v>
      </c>
      <c r="AD322" s="306">
        <v>0</v>
      </c>
      <c r="AE322" s="522">
        <v>85</v>
      </c>
      <c r="AF322" s="268" t="s">
        <v>2224</v>
      </c>
      <c r="AG322" s="268" t="s">
        <v>2524</v>
      </c>
      <c r="AH322" s="267"/>
      <c r="AI322" s="268"/>
      <c r="AJ322" s="268"/>
      <c r="AK322" s="269"/>
    </row>
    <row r="323" spans="1:37" ht="316.5" hidden="1" customHeight="1" outlineLevel="1" x14ac:dyDescent="0.2">
      <c r="A323" s="651"/>
      <c r="B323" s="576"/>
      <c r="C323" s="576"/>
      <c r="D323" s="853"/>
      <c r="E323" s="811"/>
      <c r="F323" s="811"/>
      <c r="G323" s="771"/>
      <c r="H323" s="196" t="s">
        <v>1429</v>
      </c>
      <c r="I323" s="818"/>
      <c r="J323" s="656"/>
      <c r="K323" s="303">
        <v>146000000</v>
      </c>
      <c r="L323" s="306">
        <v>0</v>
      </c>
      <c r="M323" s="263">
        <v>44593</v>
      </c>
      <c r="N323" s="263">
        <v>44925</v>
      </c>
      <c r="O323" s="263">
        <v>44652</v>
      </c>
      <c r="P323" s="264">
        <f t="shared" si="14"/>
        <v>0.17771084337349397</v>
      </c>
      <c r="Q323" s="264">
        <f t="shared" si="15"/>
        <v>0.17771084337349397</v>
      </c>
      <c r="R323" s="265">
        <v>1</v>
      </c>
      <c r="S323" s="266">
        <v>0.25</v>
      </c>
      <c r="T323" s="266">
        <v>0.5</v>
      </c>
      <c r="U323" s="266">
        <v>0.75</v>
      </c>
      <c r="V323" s="266">
        <v>1</v>
      </c>
      <c r="W323" s="266">
        <v>0.5</v>
      </c>
      <c r="X323" s="266" t="s">
        <v>1430</v>
      </c>
      <c r="Y323" s="331" t="s">
        <v>1431</v>
      </c>
      <c r="Z323" s="306">
        <v>0</v>
      </c>
      <c r="AA323" s="266">
        <v>0.55000000000000004</v>
      </c>
      <c r="AB323" s="268" t="s">
        <v>1432</v>
      </c>
      <c r="AC323" s="268" t="s">
        <v>1428</v>
      </c>
      <c r="AD323" s="306">
        <v>0</v>
      </c>
      <c r="AE323" s="522">
        <v>75</v>
      </c>
      <c r="AF323" s="268" t="s">
        <v>2513</v>
      </c>
      <c r="AG323" s="268" t="s">
        <v>2514</v>
      </c>
      <c r="AH323" s="267"/>
      <c r="AI323" s="268"/>
      <c r="AJ323" s="268"/>
      <c r="AK323" s="269"/>
    </row>
    <row r="324" spans="1:37" ht="104.45" hidden="1" customHeight="1" outlineLevel="1" x14ac:dyDescent="0.2">
      <c r="A324" s="651"/>
      <c r="B324" s="576"/>
      <c r="C324" s="576"/>
      <c r="D324" s="853"/>
      <c r="E324" s="811"/>
      <c r="F324" s="811"/>
      <c r="G324" s="770" t="s">
        <v>1433</v>
      </c>
      <c r="H324" s="196" t="s">
        <v>1434</v>
      </c>
      <c r="I324" s="818"/>
      <c r="J324" s="655" t="s">
        <v>298</v>
      </c>
      <c r="K324" s="303">
        <v>29190861</v>
      </c>
      <c r="L324" s="306">
        <v>0</v>
      </c>
      <c r="M324" s="263">
        <v>44593</v>
      </c>
      <c r="N324" s="263">
        <v>44925</v>
      </c>
      <c r="O324" s="263">
        <v>44652</v>
      </c>
      <c r="P324" s="264">
        <f t="shared" si="14"/>
        <v>0.17771084337349397</v>
      </c>
      <c r="Q324" s="264">
        <f t="shared" si="15"/>
        <v>0.17771084337349397</v>
      </c>
      <c r="R324" s="265">
        <v>1</v>
      </c>
      <c r="S324" s="266">
        <v>0.25</v>
      </c>
      <c r="T324" s="266">
        <v>0.5</v>
      </c>
      <c r="U324" s="266">
        <v>0.75</v>
      </c>
      <c r="V324" s="266">
        <v>1</v>
      </c>
      <c r="W324" s="266">
        <v>0.4</v>
      </c>
      <c r="X324" s="266" t="s">
        <v>1435</v>
      </c>
      <c r="Y324" s="331" t="s">
        <v>1436</v>
      </c>
      <c r="Z324" s="306"/>
      <c r="AA324" s="266">
        <v>0.3</v>
      </c>
      <c r="AB324" s="268" t="s">
        <v>1437</v>
      </c>
      <c r="AC324" s="268"/>
      <c r="AD324" s="306">
        <v>0</v>
      </c>
      <c r="AE324" s="522">
        <v>100</v>
      </c>
      <c r="AF324" s="268" t="s">
        <v>2225</v>
      </c>
      <c r="AG324" s="268" t="s">
        <v>2524</v>
      </c>
      <c r="AH324" s="267"/>
      <c r="AI324" s="268"/>
      <c r="AJ324" s="268"/>
      <c r="AK324" s="269"/>
    </row>
    <row r="325" spans="1:37" ht="172.5" hidden="1" customHeight="1" outlineLevel="1" x14ac:dyDescent="0.2">
      <c r="A325" s="651"/>
      <c r="B325" s="576"/>
      <c r="C325" s="576"/>
      <c r="D325" s="853"/>
      <c r="E325" s="811"/>
      <c r="F325" s="811"/>
      <c r="G325" s="790"/>
      <c r="H325" s="196" t="s">
        <v>2226</v>
      </c>
      <c r="I325" s="818"/>
      <c r="J325" s="763"/>
      <c r="K325" s="303">
        <v>433510000</v>
      </c>
      <c r="L325" s="306">
        <v>0</v>
      </c>
      <c r="M325" s="263">
        <v>44593</v>
      </c>
      <c r="N325" s="263">
        <v>44925</v>
      </c>
      <c r="O325" s="263">
        <v>44652</v>
      </c>
      <c r="P325" s="264">
        <f t="shared" si="14"/>
        <v>0.17771084337349397</v>
      </c>
      <c r="Q325" s="264">
        <f t="shared" si="15"/>
        <v>0.17771084337349397</v>
      </c>
      <c r="R325" s="265">
        <v>1</v>
      </c>
      <c r="S325" s="266">
        <v>0.25</v>
      </c>
      <c r="T325" s="266">
        <v>0.5</v>
      </c>
      <c r="U325" s="266">
        <v>0.75</v>
      </c>
      <c r="V325" s="266">
        <v>1</v>
      </c>
      <c r="W325" s="266">
        <v>0.15</v>
      </c>
      <c r="X325" s="266" t="s">
        <v>1438</v>
      </c>
      <c r="Y325" s="331" t="s">
        <v>52</v>
      </c>
      <c r="Z325" s="306">
        <v>0</v>
      </c>
      <c r="AA325" s="266">
        <v>0.3</v>
      </c>
      <c r="AB325" s="268" t="s">
        <v>1439</v>
      </c>
      <c r="AC325" s="268" t="s">
        <v>1428</v>
      </c>
      <c r="AD325" s="306">
        <v>0</v>
      </c>
      <c r="AE325" s="522">
        <v>100</v>
      </c>
      <c r="AF325" s="268" t="s">
        <v>2227</v>
      </c>
      <c r="AG325" s="268" t="s">
        <v>2524</v>
      </c>
      <c r="AH325" s="267"/>
      <c r="AI325" s="268"/>
      <c r="AJ325" s="268"/>
      <c r="AK325" s="269"/>
    </row>
    <row r="326" spans="1:37" ht="46.5" hidden="1" customHeight="1" outlineLevel="1" x14ac:dyDescent="0.2">
      <c r="A326" s="651"/>
      <c r="B326" s="576"/>
      <c r="C326" s="576"/>
      <c r="D326" s="853"/>
      <c r="E326" s="811"/>
      <c r="F326" s="811"/>
      <c r="G326" s="790"/>
      <c r="H326" s="196" t="s">
        <v>1440</v>
      </c>
      <c r="I326" s="818"/>
      <c r="J326" s="763"/>
      <c r="K326" s="303">
        <v>30300000</v>
      </c>
      <c r="L326" s="306">
        <v>0</v>
      </c>
      <c r="M326" s="263">
        <v>44593</v>
      </c>
      <c r="N326" s="263">
        <v>44925</v>
      </c>
      <c r="O326" s="263">
        <v>44652</v>
      </c>
      <c r="P326" s="264">
        <f t="shared" si="14"/>
        <v>0.17771084337349397</v>
      </c>
      <c r="Q326" s="264">
        <f t="shared" si="15"/>
        <v>0.17771084337349397</v>
      </c>
      <c r="R326" s="265">
        <v>1</v>
      </c>
      <c r="S326" s="266">
        <v>0.25</v>
      </c>
      <c r="T326" s="266">
        <v>0.5</v>
      </c>
      <c r="U326" s="266">
        <v>0.75</v>
      </c>
      <c r="V326" s="266">
        <v>1</v>
      </c>
      <c r="W326" s="266">
        <v>0.15</v>
      </c>
      <c r="X326" s="266" t="s">
        <v>52</v>
      </c>
      <c r="Y326" s="331" t="s">
        <v>52</v>
      </c>
      <c r="Z326" s="306">
        <v>0</v>
      </c>
      <c r="AA326" s="266">
        <v>0.15</v>
      </c>
      <c r="AB326" s="268" t="s">
        <v>1441</v>
      </c>
      <c r="AC326" s="268" t="s">
        <v>52</v>
      </c>
      <c r="AD326" s="268" t="s">
        <v>2229</v>
      </c>
      <c r="AE326" s="522">
        <v>100</v>
      </c>
      <c r="AF326" s="268" t="s">
        <v>2228</v>
      </c>
      <c r="AG326" s="268" t="s">
        <v>2524</v>
      </c>
      <c r="AH326" s="267"/>
      <c r="AI326" s="268"/>
      <c r="AJ326" s="268"/>
      <c r="AK326" s="269"/>
    </row>
    <row r="327" spans="1:37" ht="104.45" hidden="1" customHeight="1" outlineLevel="1" x14ac:dyDescent="0.2">
      <c r="A327" s="651"/>
      <c r="B327" s="576"/>
      <c r="C327" s="576"/>
      <c r="D327" s="853"/>
      <c r="E327" s="811"/>
      <c r="F327" s="811"/>
      <c r="G327" s="790"/>
      <c r="H327" s="196" t="s">
        <v>1442</v>
      </c>
      <c r="I327" s="818"/>
      <c r="J327" s="763"/>
      <c r="K327" s="306">
        <v>403000000</v>
      </c>
      <c r="L327" s="306">
        <v>0</v>
      </c>
      <c r="M327" s="263">
        <v>44593</v>
      </c>
      <c r="N327" s="263">
        <v>44925</v>
      </c>
      <c r="O327" s="263">
        <v>44652</v>
      </c>
      <c r="P327" s="264">
        <f t="shared" si="14"/>
        <v>0.17771084337349397</v>
      </c>
      <c r="Q327" s="264">
        <f t="shared" si="15"/>
        <v>0.17771084337349397</v>
      </c>
      <c r="R327" s="265">
        <v>1</v>
      </c>
      <c r="S327" s="266">
        <v>0.25</v>
      </c>
      <c r="T327" s="266">
        <v>0.5</v>
      </c>
      <c r="U327" s="266">
        <v>0.75</v>
      </c>
      <c r="V327" s="266">
        <v>1</v>
      </c>
      <c r="W327" s="266">
        <v>0.15</v>
      </c>
      <c r="X327" s="266" t="s">
        <v>1443</v>
      </c>
      <c r="Y327" s="331" t="s">
        <v>52</v>
      </c>
      <c r="Z327" s="306">
        <v>403000000</v>
      </c>
      <c r="AA327" s="266">
        <v>0.3</v>
      </c>
      <c r="AB327" s="268" t="s">
        <v>1444</v>
      </c>
      <c r="AC327" s="268" t="s">
        <v>352</v>
      </c>
      <c r="AD327" s="306">
        <v>0</v>
      </c>
      <c r="AE327" s="522">
        <v>30</v>
      </c>
      <c r="AF327" s="268" t="s">
        <v>2230</v>
      </c>
      <c r="AG327" s="268" t="s">
        <v>2524</v>
      </c>
      <c r="AH327" s="267"/>
      <c r="AI327" s="268"/>
      <c r="AJ327" s="268"/>
      <c r="AK327" s="269"/>
    </row>
    <row r="328" spans="1:37" ht="104.45" hidden="1" customHeight="1" outlineLevel="1" x14ac:dyDescent="0.2">
      <c r="A328" s="651"/>
      <c r="B328" s="576"/>
      <c r="C328" s="576"/>
      <c r="D328" s="853"/>
      <c r="E328" s="811"/>
      <c r="F328" s="811"/>
      <c r="G328" s="771"/>
      <c r="H328" s="196" t="s">
        <v>1445</v>
      </c>
      <c r="I328" s="818"/>
      <c r="J328" s="656"/>
      <c r="K328" s="303">
        <v>27761200</v>
      </c>
      <c r="L328" s="306">
        <v>0</v>
      </c>
      <c r="M328" s="263">
        <v>44593</v>
      </c>
      <c r="N328" s="263">
        <v>44925</v>
      </c>
      <c r="O328" s="263">
        <v>44652</v>
      </c>
      <c r="P328" s="264">
        <f t="shared" si="14"/>
        <v>0.17771084337349397</v>
      </c>
      <c r="Q328" s="264">
        <f t="shared" si="15"/>
        <v>0.17771084337349397</v>
      </c>
      <c r="R328" s="265">
        <v>1</v>
      </c>
      <c r="S328" s="266">
        <v>0.25</v>
      </c>
      <c r="T328" s="266">
        <v>0.5</v>
      </c>
      <c r="U328" s="266">
        <v>0.75</v>
      </c>
      <c r="V328" s="266">
        <v>1</v>
      </c>
      <c r="W328" s="266">
        <v>0.15</v>
      </c>
      <c r="X328" s="266" t="s">
        <v>1446</v>
      </c>
      <c r="Y328" s="331" t="s">
        <v>52</v>
      </c>
      <c r="Z328" s="306">
        <v>0</v>
      </c>
      <c r="AA328" s="266">
        <v>0.3</v>
      </c>
      <c r="AB328" s="268" t="s">
        <v>1447</v>
      </c>
      <c r="AC328" s="268" t="s">
        <v>1428</v>
      </c>
      <c r="AD328" s="268">
        <v>26460435</v>
      </c>
      <c r="AE328" s="522">
        <v>100</v>
      </c>
      <c r="AF328" s="268" t="s">
        <v>2231</v>
      </c>
      <c r="AG328" s="268" t="s">
        <v>2524</v>
      </c>
      <c r="AH328" s="267"/>
      <c r="AI328" s="268"/>
      <c r="AJ328" s="268"/>
      <c r="AK328" s="269"/>
    </row>
    <row r="329" spans="1:37" ht="46.5" hidden="1" customHeight="1" outlineLevel="1" x14ac:dyDescent="0.2">
      <c r="A329" s="651"/>
      <c r="B329" s="576"/>
      <c r="C329" s="576"/>
      <c r="D329" s="853"/>
      <c r="E329" s="811"/>
      <c r="F329" s="811"/>
      <c r="G329" s="388"/>
      <c r="H329" s="196" t="s">
        <v>1448</v>
      </c>
      <c r="I329" s="818"/>
      <c r="J329" s="389"/>
      <c r="K329" s="303"/>
      <c r="L329" s="306">
        <v>0</v>
      </c>
      <c r="M329" s="263">
        <v>44593</v>
      </c>
      <c r="N329" s="263">
        <v>44925</v>
      </c>
      <c r="O329" s="263">
        <v>44652</v>
      </c>
      <c r="P329" s="264">
        <f t="shared" si="14"/>
        <v>0.17771084337349397</v>
      </c>
      <c r="Q329" s="264">
        <f t="shared" si="15"/>
        <v>0.17771084337349397</v>
      </c>
      <c r="R329" s="265">
        <v>1</v>
      </c>
      <c r="S329" s="266">
        <v>0.25</v>
      </c>
      <c r="T329" s="266">
        <v>0.5</v>
      </c>
      <c r="U329" s="266">
        <v>0.75</v>
      </c>
      <c r="V329" s="266">
        <v>1</v>
      </c>
      <c r="W329" s="334">
        <v>0.15</v>
      </c>
      <c r="X329" s="335" t="s">
        <v>1449</v>
      </c>
      <c r="Y329" s="331" t="s">
        <v>52</v>
      </c>
      <c r="Z329" s="306">
        <v>0</v>
      </c>
      <c r="AA329" s="266">
        <v>0.4</v>
      </c>
      <c r="AB329" s="268" t="s">
        <v>1450</v>
      </c>
      <c r="AC329" s="268" t="s">
        <v>2005</v>
      </c>
      <c r="AD329" s="306">
        <v>0</v>
      </c>
      <c r="AE329" s="522">
        <v>40</v>
      </c>
      <c r="AF329" s="268" t="s">
        <v>1449</v>
      </c>
      <c r="AG329" s="268" t="s">
        <v>2524</v>
      </c>
      <c r="AH329" s="267"/>
      <c r="AI329" s="268"/>
      <c r="AJ329" s="268"/>
      <c r="AK329" s="269"/>
    </row>
    <row r="330" spans="1:37" ht="93.75" hidden="1" customHeight="1" outlineLevel="1" x14ac:dyDescent="0.2">
      <c r="A330" s="651"/>
      <c r="B330" s="576"/>
      <c r="C330" s="576"/>
      <c r="D330" s="853"/>
      <c r="E330" s="811"/>
      <c r="F330" s="811"/>
      <c r="G330" s="243" t="s">
        <v>1451</v>
      </c>
      <c r="H330" s="196" t="s">
        <v>2433</v>
      </c>
      <c r="I330" s="818"/>
      <c r="J330" s="246" t="s">
        <v>2432</v>
      </c>
      <c r="K330" s="303">
        <v>1000000000</v>
      </c>
      <c r="L330" s="306">
        <v>0</v>
      </c>
      <c r="M330" s="263">
        <v>44593</v>
      </c>
      <c r="N330" s="263">
        <v>44925</v>
      </c>
      <c r="O330" s="263">
        <v>44652</v>
      </c>
      <c r="P330" s="264">
        <f t="shared" si="14"/>
        <v>0.17771084337349397</v>
      </c>
      <c r="Q330" s="264">
        <f t="shared" si="15"/>
        <v>0.17771084337349397</v>
      </c>
      <c r="R330" s="265">
        <v>1</v>
      </c>
      <c r="S330" s="266">
        <v>0.25</v>
      </c>
      <c r="T330" s="266">
        <v>0.5</v>
      </c>
      <c r="U330" s="266">
        <v>0.75</v>
      </c>
      <c r="V330" s="266">
        <v>1</v>
      </c>
      <c r="W330" s="266">
        <v>0.2</v>
      </c>
      <c r="X330" s="266" t="s">
        <v>1416</v>
      </c>
      <c r="Y330" s="331" t="s">
        <v>352</v>
      </c>
      <c r="Z330" s="306">
        <v>0</v>
      </c>
      <c r="AA330" s="266">
        <v>0.25</v>
      </c>
      <c r="AB330" s="268" t="s">
        <v>1452</v>
      </c>
      <c r="AC330" s="268" t="s">
        <v>52</v>
      </c>
      <c r="AD330" s="306">
        <v>0</v>
      </c>
      <c r="AE330" s="522">
        <v>45</v>
      </c>
      <c r="AF330" s="268" t="s">
        <v>2232</v>
      </c>
      <c r="AG330" s="268" t="s">
        <v>2524</v>
      </c>
      <c r="AH330" s="267"/>
      <c r="AI330" s="268"/>
      <c r="AJ330" s="268"/>
      <c r="AK330" s="269"/>
    </row>
    <row r="331" spans="1:37" ht="104.45" hidden="1" customHeight="1" outlineLevel="1" x14ac:dyDescent="0.2">
      <c r="A331" s="651"/>
      <c r="B331" s="576"/>
      <c r="C331" s="576"/>
      <c r="D331" s="853"/>
      <c r="E331" s="811"/>
      <c r="F331" s="811"/>
      <c r="G331" s="388" t="s">
        <v>1453</v>
      </c>
      <c r="H331" s="196" t="s">
        <v>1454</v>
      </c>
      <c r="I331" s="818"/>
      <c r="J331" s="389" t="s">
        <v>620</v>
      </c>
      <c r="K331" s="303">
        <v>411600000</v>
      </c>
      <c r="L331" s="306">
        <v>0</v>
      </c>
      <c r="M331" s="263">
        <v>44593</v>
      </c>
      <c r="N331" s="263">
        <v>44925</v>
      </c>
      <c r="O331" s="263">
        <v>44652</v>
      </c>
      <c r="P331" s="264">
        <f t="shared" si="14"/>
        <v>0.17771084337349397</v>
      </c>
      <c r="Q331" s="264">
        <f t="shared" si="15"/>
        <v>0.17771084337349397</v>
      </c>
      <c r="R331" s="265">
        <v>1</v>
      </c>
      <c r="S331" s="266">
        <v>0.25</v>
      </c>
      <c r="T331" s="266">
        <v>0.5</v>
      </c>
      <c r="U331" s="266">
        <v>0.75</v>
      </c>
      <c r="V331" s="266">
        <v>1</v>
      </c>
      <c r="W331" s="266">
        <v>0.25</v>
      </c>
      <c r="X331" s="266" t="s">
        <v>1455</v>
      </c>
      <c r="Y331" s="331" t="s">
        <v>620</v>
      </c>
      <c r="Z331" s="306">
        <v>200000000</v>
      </c>
      <c r="AA331" s="266">
        <v>0.52</v>
      </c>
      <c r="AB331" s="266" t="s">
        <v>1455</v>
      </c>
      <c r="AC331" s="268" t="s">
        <v>2006</v>
      </c>
      <c r="AD331" s="306">
        <v>0</v>
      </c>
      <c r="AE331" s="522">
        <v>78</v>
      </c>
      <c r="AF331" s="266" t="s">
        <v>1455</v>
      </c>
      <c r="AG331" s="268" t="s">
        <v>2524</v>
      </c>
      <c r="AH331" s="267"/>
      <c r="AI331" s="268"/>
      <c r="AJ331" s="268"/>
      <c r="AK331" s="269"/>
    </row>
    <row r="332" spans="1:37" ht="127.5" hidden="1" customHeight="1" outlineLevel="1" x14ac:dyDescent="0.2">
      <c r="A332" s="403"/>
      <c r="B332" s="579" t="s">
        <v>1401</v>
      </c>
      <c r="C332" s="579" t="s">
        <v>1456</v>
      </c>
      <c r="D332" s="854" t="s">
        <v>1457</v>
      </c>
      <c r="E332" s="660" t="s">
        <v>1458</v>
      </c>
      <c r="F332" s="660" t="s">
        <v>1459</v>
      </c>
      <c r="G332" s="812" t="s">
        <v>1460</v>
      </c>
      <c r="H332" s="196" t="s">
        <v>1461</v>
      </c>
      <c r="I332" s="812" t="s">
        <v>1462</v>
      </c>
      <c r="J332" s="389" t="s">
        <v>1463</v>
      </c>
      <c r="K332" s="303" t="s">
        <v>52</v>
      </c>
      <c r="L332" s="303"/>
      <c r="M332" s="263">
        <v>44593</v>
      </c>
      <c r="N332" s="263">
        <v>44925</v>
      </c>
      <c r="O332" s="263">
        <v>44652</v>
      </c>
      <c r="P332" s="264">
        <f t="shared" si="12"/>
        <v>0.17771084337349397</v>
      </c>
      <c r="Q332" s="264">
        <f t="shared" ref="Q332:Q337" si="16">+IF(P332&gt;=100,100,IF(P332&lt;=0,0,P332))</f>
        <v>0.17771084337349397</v>
      </c>
      <c r="R332" s="265">
        <v>1</v>
      </c>
      <c r="S332" s="266">
        <v>0.25</v>
      </c>
      <c r="T332" s="266">
        <v>0.5</v>
      </c>
      <c r="U332" s="266">
        <v>0.75</v>
      </c>
      <c r="V332" s="266">
        <v>1</v>
      </c>
      <c r="W332" s="266">
        <v>0.7</v>
      </c>
      <c r="X332" s="266" t="s">
        <v>1464</v>
      </c>
      <c r="Y332" s="331" t="s">
        <v>1465</v>
      </c>
      <c r="Z332" s="306">
        <v>0</v>
      </c>
      <c r="AA332" s="266">
        <v>0.9</v>
      </c>
      <c r="AB332" s="266" t="s">
        <v>2252</v>
      </c>
      <c r="AC332" s="268"/>
      <c r="AD332" s="306">
        <v>0</v>
      </c>
      <c r="AE332" s="522">
        <v>100</v>
      </c>
      <c r="AF332" s="268" t="s">
        <v>2253</v>
      </c>
      <c r="AG332" s="268" t="s">
        <v>2524</v>
      </c>
      <c r="AH332" s="267"/>
      <c r="AI332" s="268"/>
      <c r="AJ332" s="268"/>
      <c r="AK332" s="269"/>
    </row>
    <row r="333" spans="1:37" ht="104.45" hidden="1" customHeight="1" outlineLevel="1" x14ac:dyDescent="0.2">
      <c r="A333" s="403"/>
      <c r="B333" s="580"/>
      <c r="C333" s="580"/>
      <c r="D333" s="854"/>
      <c r="E333" s="661"/>
      <c r="F333" s="661"/>
      <c r="G333" s="814"/>
      <c r="H333" s="196" t="s">
        <v>1466</v>
      </c>
      <c r="I333" s="813"/>
      <c r="J333" s="389" t="s">
        <v>1407</v>
      </c>
      <c r="K333" s="303">
        <v>25000000</v>
      </c>
      <c r="L333" s="303"/>
      <c r="M333" s="263">
        <v>44593</v>
      </c>
      <c r="N333" s="263">
        <v>44925</v>
      </c>
      <c r="O333" s="263">
        <v>44652</v>
      </c>
      <c r="P333" s="264">
        <f t="shared" si="12"/>
        <v>0.17771084337349397</v>
      </c>
      <c r="Q333" s="264">
        <f t="shared" si="16"/>
        <v>0.17771084337349397</v>
      </c>
      <c r="R333" s="265">
        <v>1</v>
      </c>
      <c r="S333" s="266">
        <v>0.25</v>
      </c>
      <c r="T333" s="266">
        <v>0.5</v>
      </c>
      <c r="U333" s="266">
        <v>0.75</v>
      </c>
      <c r="V333" s="266">
        <v>1</v>
      </c>
      <c r="W333" s="266">
        <v>0.25</v>
      </c>
      <c r="X333" s="266" t="s">
        <v>2004</v>
      </c>
      <c r="Y333" s="331" t="s">
        <v>52</v>
      </c>
      <c r="Z333" s="306">
        <v>0</v>
      </c>
      <c r="AA333" s="266">
        <v>0.5</v>
      </c>
      <c r="AB333" s="266" t="s">
        <v>2101</v>
      </c>
      <c r="AC333" s="268"/>
      <c r="AD333" s="306">
        <v>0</v>
      </c>
      <c r="AE333" s="522">
        <v>75</v>
      </c>
      <c r="AF333" s="268" t="s">
        <v>2254</v>
      </c>
      <c r="AG333" s="268" t="s">
        <v>2524</v>
      </c>
      <c r="AH333" s="267"/>
      <c r="AI333" s="268"/>
      <c r="AJ333" s="268"/>
      <c r="AK333" s="269"/>
    </row>
    <row r="334" spans="1:37" ht="79.5" hidden="1" customHeight="1" outlineLevel="1" x14ac:dyDescent="0.2">
      <c r="A334" s="403"/>
      <c r="B334" s="580"/>
      <c r="C334" s="580"/>
      <c r="D334" s="854"/>
      <c r="E334" s="661"/>
      <c r="F334" s="661"/>
      <c r="G334" s="423" t="s">
        <v>1460</v>
      </c>
      <c r="H334" s="196" t="s">
        <v>1467</v>
      </c>
      <c r="I334" s="814"/>
      <c r="J334" s="389" t="s">
        <v>431</v>
      </c>
      <c r="K334" s="303">
        <v>125000000</v>
      </c>
      <c r="L334" s="303"/>
      <c r="M334" s="263">
        <v>44593</v>
      </c>
      <c r="N334" s="263">
        <v>44925</v>
      </c>
      <c r="O334" s="263">
        <v>44652</v>
      </c>
      <c r="P334" s="264">
        <f t="shared" si="12"/>
        <v>0.17771084337349397</v>
      </c>
      <c r="Q334" s="264">
        <f t="shared" si="16"/>
        <v>0.17771084337349397</v>
      </c>
      <c r="R334" s="265">
        <v>1</v>
      </c>
      <c r="S334" s="266">
        <v>0.25</v>
      </c>
      <c r="T334" s="266">
        <v>0.5</v>
      </c>
      <c r="U334" s="266">
        <v>0.75</v>
      </c>
      <c r="V334" s="266">
        <v>1</v>
      </c>
      <c r="W334" s="266">
        <v>0.25</v>
      </c>
      <c r="X334" s="266" t="s">
        <v>1468</v>
      </c>
      <c r="Y334" s="331" t="s">
        <v>1469</v>
      </c>
      <c r="Z334" s="306">
        <v>0</v>
      </c>
      <c r="AA334" s="266">
        <v>0.4</v>
      </c>
      <c r="AB334" s="266" t="s">
        <v>2102</v>
      </c>
      <c r="AC334" s="268"/>
      <c r="AD334" s="306">
        <v>0</v>
      </c>
      <c r="AE334" s="522">
        <v>75</v>
      </c>
      <c r="AF334" s="268" t="s">
        <v>2255</v>
      </c>
      <c r="AG334" s="268" t="s">
        <v>2524</v>
      </c>
      <c r="AH334" s="267"/>
      <c r="AI334" s="268"/>
      <c r="AJ334" s="268"/>
      <c r="AK334" s="269"/>
    </row>
    <row r="335" spans="1:37" ht="104.45" hidden="1" customHeight="1" outlineLevel="1" x14ac:dyDescent="0.2">
      <c r="A335" s="403"/>
      <c r="B335" s="580"/>
      <c r="C335" s="580"/>
      <c r="D335" s="854"/>
      <c r="E335" s="661"/>
      <c r="F335" s="661"/>
      <c r="G335" s="423" t="s">
        <v>1460</v>
      </c>
      <c r="H335" s="196" t="s">
        <v>1471</v>
      </c>
      <c r="I335" s="813"/>
      <c r="J335" s="389" t="s">
        <v>298</v>
      </c>
      <c r="K335" s="303">
        <v>272097792</v>
      </c>
      <c r="L335" s="303"/>
      <c r="M335" s="263">
        <v>44593</v>
      </c>
      <c r="N335" s="263">
        <v>44925</v>
      </c>
      <c r="O335" s="263">
        <v>44652</v>
      </c>
      <c r="P335" s="264">
        <f t="shared" si="12"/>
        <v>0.17771084337349397</v>
      </c>
      <c r="Q335" s="264">
        <f t="shared" si="16"/>
        <v>0.17771084337349397</v>
      </c>
      <c r="R335" s="265">
        <v>1</v>
      </c>
      <c r="S335" s="266">
        <v>0.25</v>
      </c>
      <c r="T335" s="266">
        <v>0.5</v>
      </c>
      <c r="U335" s="266">
        <v>0.75</v>
      </c>
      <c r="V335" s="266">
        <v>1</v>
      </c>
      <c r="W335" s="266">
        <v>0</v>
      </c>
      <c r="X335" s="266" t="s">
        <v>1472</v>
      </c>
      <c r="Y335" s="331" t="s">
        <v>52</v>
      </c>
      <c r="Z335" s="306">
        <v>0</v>
      </c>
      <c r="AA335" s="266">
        <v>0</v>
      </c>
      <c r="AB335" s="266" t="s">
        <v>2103</v>
      </c>
      <c r="AC335" s="268"/>
      <c r="AD335" s="306">
        <v>0</v>
      </c>
      <c r="AE335" s="522">
        <v>50</v>
      </c>
      <c r="AF335" s="268" t="s">
        <v>2256</v>
      </c>
      <c r="AG335" s="268" t="s">
        <v>2524</v>
      </c>
      <c r="AH335" s="267"/>
      <c r="AI335" s="268"/>
      <c r="AJ335" s="268"/>
      <c r="AK335" s="269"/>
    </row>
    <row r="336" spans="1:37" ht="104.45" hidden="1" customHeight="1" outlineLevel="1" x14ac:dyDescent="0.2">
      <c r="A336" s="517"/>
      <c r="B336" s="580"/>
      <c r="C336" s="580"/>
      <c r="D336" s="854"/>
      <c r="E336" s="661"/>
      <c r="F336" s="661"/>
      <c r="G336" s="516"/>
      <c r="H336" s="196" t="s">
        <v>2259</v>
      </c>
      <c r="I336" s="813"/>
      <c r="J336" s="515" t="s">
        <v>2565</v>
      </c>
      <c r="K336" s="331" t="s">
        <v>52</v>
      </c>
      <c r="L336" s="303"/>
      <c r="M336" s="263"/>
      <c r="N336" s="263"/>
      <c r="O336" s="263"/>
      <c r="P336" s="264"/>
      <c r="Q336" s="264"/>
      <c r="R336" s="265"/>
      <c r="S336" s="266"/>
      <c r="T336" s="266"/>
      <c r="U336" s="266"/>
      <c r="V336" s="266"/>
      <c r="W336" s="266">
        <v>0</v>
      </c>
      <c r="X336" s="331" t="s">
        <v>52</v>
      </c>
      <c r="Y336" s="331" t="s">
        <v>52</v>
      </c>
      <c r="Z336" s="306">
        <v>0</v>
      </c>
      <c r="AA336" s="266">
        <v>0</v>
      </c>
      <c r="AB336" s="331" t="s">
        <v>52</v>
      </c>
      <c r="AC336" s="268"/>
      <c r="AD336" s="306">
        <v>0</v>
      </c>
      <c r="AE336" s="522">
        <v>100</v>
      </c>
      <c r="AF336" s="268" t="s">
        <v>2260</v>
      </c>
      <c r="AG336" s="268" t="s">
        <v>2524</v>
      </c>
      <c r="AH336" s="267"/>
      <c r="AI336" s="268"/>
      <c r="AJ336" s="268"/>
      <c r="AK336" s="269"/>
    </row>
    <row r="337" spans="1:37" ht="104.45" hidden="1" customHeight="1" outlineLevel="1" x14ac:dyDescent="0.2">
      <c r="A337" s="403"/>
      <c r="B337" s="581"/>
      <c r="C337" s="581"/>
      <c r="D337" s="854"/>
      <c r="E337" s="662"/>
      <c r="F337" s="662"/>
      <c r="G337" s="423" t="s">
        <v>1460</v>
      </c>
      <c r="H337" s="196" t="s">
        <v>1473</v>
      </c>
      <c r="I337" s="814"/>
      <c r="J337" s="389" t="s">
        <v>431</v>
      </c>
      <c r="K337" s="302">
        <v>250000004</v>
      </c>
      <c r="L337" s="302"/>
      <c r="M337" s="263">
        <v>44593</v>
      </c>
      <c r="N337" s="263">
        <v>44925</v>
      </c>
      <c r="O337" s="263">
        <v>44652</v>
      </c>
      <c r="P337" s="264">
        <f t="shared" si="12"/>
        <v>0.17771084337349397</v>
      </c>
      <c r="Q337" s="264">
        <f t="shared" si="16"/>
        <v>0.17771084337349397</v>
      </c>
      <c r="R337" s="265">
        <v>1</v>
      </c>
      <c r="S337" s="266">
        <v>0.25</v>
      </c>
      <c r="T337" s="266">
        <v>0.5</v>
      </c>
      <c r="U337" s="266">
        <v>0.75</v>
      </c>
      <c r="V337" s="266">
        <v>1</v>
      </c>
      <c r="W337" s="266">
        <v>0.25</v>
      </c>
      <c r="X337" s="266" t="s">
        <v>1474</v>
      </c>
      <c r="Y337" s="331" t="s">
        <v>52</v>
      </c>
      <c r="Z337" s="306">
        <v>0</v>
      </c>
      <c r="AA337" s="266">
        <v>0.5</v>
      </c>
      <c r="AB337" s="266" t="s">
        <v>2257</v>
      </c>
      <c r="AC337" s="268"/>
      <c r="AD337" s="306">
        <v>0</v>
      </c>
      <c r="AE337" s="522">
        <v>75</v>
      </c>
      <c r="AF337" s="268" t="s">
        <v>2258</v>
      </c>
      <c r="AG337" s="268" t="s">
        <v>2524</v>
      </c>
      <c r="AH337" s="267"/>
      <c r="AI337" s="268"/>
      <c r="AJ337" s="268"/>
      <c r="AK337" s="269"/>
    </row>
    <row r="338" spans="1:37" ht="55.15" customHeight="1" collapsed="1" thickBot="1" x14ac:dyDescent="0.25">
      <c r="A338" s="789" t="s">
        <v>1475</v>
      </c>
      <c r="B338" s="789"/>
      <c r="C338" s="789"/>
      <c r="D338" s="789"/>
      <c r="E338" s="789"/>
      <c r="F338" s="789"/>
      <c r="G338" s="789"/>
      <c r="H338" s="789"/>
      <c r="I338" s="789"/>
      <c r="J338" s="789"/>
      <c r="K338" s="789"/>
      <c r="L338" s="789"/>
      <c r="M338" s="789"/>
      <c r="N338" s="789"/>
      <c r="O338" s="296">
        <v>44652</v>
      </c>
      <c r="P338" s="264"/>
      <c r="Q338" s="275">
        <f t="array" ref="Q338">+AVERAGE((Q265:Q337)*100)</f>
        <v>17.284205314408304</v>
      </c>
      <c r="R338" s="276">
        <v>100</v>
      </c>
      <c r="S338" s="266"/>
      <c r="T338" s="266"/>
      <c r="U338" s="266"/>
      <c r="V338" s="266"/>
      <c r="W338" s="276">
        <v>23</v>
      </c>
      <c r="X338" s="266"/>
      <c r="Y338" s="331"/>
      <c r="Z338" s="306"/>
      <c r="AA338" s="276">
        <v>41</v>
      </c>
      <c r="AB338" s="268"/>
      <c r="AC338" s="268"/>
      <c r="AD338" s="268"/>
      <c r="AE338" s="276">
        <v>66</v>
      </c>
      <c r="AF338" s="268"/>
      <c r="AG338" s="268"/>
      <c r="AH338" s="267"/>
      <c r="AI338" s="268"/>
      <c r="AJ338" s="268"/>
      <c r="AK338" s="279"/>
    </row>
    <row r="339" spans="1:37" ht="93" hidden="1" customHeight="1" outlineLevel="1" x14ac:dyDescent="0.2">
      <c r="A339" s="650" t="s">
        <v>1476</v>
      </c>
      <c r="B339" s="579" t="s">
        <v>1477</v>
      </c>
      <c r="C339" s="579" t="s">
        <v>1478</v>
      </c>
      <c r="D339" s="666" t="s">
        <v>1479</v>
      </c>
      <c r="E339" s="596" t="s">
        <v>1480</v>
      </c>
      <c r="F339" s="596" t="s">
        <v>1481</v>
      </c>
      <c r="G339" s="424" t="s">
        <v>472</v>
      </c>
      <c r="H339" s="569" t="s">
        <v>1482</v>
      </c>
      <c r="I339" s="846" t="s">
        <v>1483</v>
      </c>
      <c r="J339" s="258" t="s">
        <v>1484</v>
      </c>
      <c r="K339" s="782">
        <v>150000000</v>
      </c>
      <c r="L339" s="306">
        <v>0</v>
      </c>
      <c r="M339" s="280">
        <v>44593</v>
      </c>
      <c r="N339" s="280">
        <v>44925</v>
      </c>
      <c r="O339" s="263">
        <v>44652</v>
      </c>
      <c r="P339" s="264">
        <f t="shared" si="12"/>
        <v>0.17771084337349397</v>
      </c>
      <c r="Q339" s="264">
        <f t="shared" ref="Q339:Q366" si="17">+IF(P339&gt;=100,100,IF(P339&lt;=0,0,P339))</f>
        <v>0.17771084337349397</v>
      </c>
      <c r="R339" s="265">
        <v>1</v>
      </c>
      <c r="S339" s="266">
        <v>0.65</v>
      </c>
      <c r="T339" s="266">
        <v>0.75</v>
      </c>
      <c r="U339" s="266">
        <v>0.85</v>
      </c>
      <c r="V339" s="266">
        <v>0.1</v>
      </c>
      <c r="W339" s="266">
        <v>0.2</v>
      </c>
      <c r="X339" s="266" t="s">
        <v>1485</v>
      </c>
      <c r="Y339" s="331" t="s">
        <v>1486</v>
      </c>
      <c r="Z339" s="306">
        <v>0</v>
      </c>
      <c r="AA339" s="462">
        <v>1</v>
      </c>
      <c r="AB339" s="466" t="s">
        <v>2007</v>
      </c>
      <c r="AC339" s="268" t="s">
        <v>2008</v>
      </c>
      <c r="AD339" s="306">
        <v>0</v>
      </c>
      <c r="AE339" s="522">
        <v>100</v>
      </c>
      <c r="AF339" s="268" t="s">
        <v>2261</v>
      </c>
      <c r="AG339" s="268" t="s">
        <v>2008</v>
      </c>
      <c r="AH339" s="267"/>
      <c r="AI339" s="268"/>
      <c r="AJ339" s="268"/>
      <c r="AK339" s="269"/>
    </row>
    <row r="340" spans="1:37" ht="63" hidden="1" customHeight="1" outlineLevel="1" x14ac:dyDescent="0.2">
      <c r="A340" s="651"/>
      <c r="B340" s="580"/>
      <c r="C340" s="580"/>
      <c r="D340" s="667"/>
      <c r="E340" s="597"/>
      <c r="F340" s="597"/>
      <c r="G340" s="425"/>
      <c r="H340" s="569" t="s">
        <v>1487</v>
      </c>
      <c r="I340" s="847"/>
      <c r="J340" s="365" t="s">
        <v>1488</v>
      </c>
      <c r="K340" s="783"/>
      <c r="L340" s="306">
        <v>0</v>
      </c>
      <c r="M340" s="280">
        <v>44593</v>
      </c>
      <c r="N340" s="280">
        <v>44925</v>
      </c>
      <c r="O340" s="263">
        <v>44652</v>
      </c>
      <c r="P340" s="264">
        <f t="shared" si="12"/>
        <v>0.17771084337349397</v>
      </c>
      <c r="Q340" s="264">
        <f t="shared" si="17"/>
        <v>0.17771084337349397</v>
      </c>
      <c r="R340" s="265">
        <v>1</v>
      </c>
      <c r="S340" s="266">
        <v>0.25</v>
      </c>
      <c r="T340" s="266">
        <v>0.5</v>
      </c>
      <c r="U340" s="266">
        <v>0.75</v>
      </c>
      <c r="V340" s="266">
        <v>1</v>
      </c>
      <c r="W340" s="266">
        <v>0</v>
      </c>
      <c r="X340" s="266" t="s">
        <v>1489</v>
      </c>
      <c r="Y340" s="331" t="s">
        <v>52</v>
      </c>
      <c r="Z340" s="306">
        <v>0</v>
      </c>
      <c r="AA340" s="462">
        <v>0.5</v>
      </c>
      <c r="AB340" s="463" t="s">
        <v>2009</v>
      </c>
      <c r="AC340" s="268" t="s">
        <v>2010</v>
      </c>
      <c r="AD340" s="306">
        <v>0</v>
      </c>
      <c r="AE340" s="522">
        <v>90</v>
      </c>
      <c r="AF340" s="268" t="s">
        <v>2348</v>
      </c>
      <c r="AG340" s="268" t="s">
        <v>2349</v>
      </c>
      <c r="AH340" s="267"/>
      <c r="AI340" s="268"/>
      <c r="AJ340" s="268"/>
      <c r="AK340" s="269"/>
    </row>
    <row r="341" spans="1:37" ht="63" hidden="1" customHeight="1" outlineLevel="1" x14ac:dyDescent="0.2">
      <c r="A341" s="651"/>
      <c r="B341" s="580"/>
      <c r="C341" s="580"/>
      <c r="D341" s="667"/>
      <c r="E341" s="597"/>
      <c r="F341" s="597"/>
      <c r="G341" s="425"/>
      <c r="H341" s="569" t="s">
        <v>1490</v>
      </c>
      <c r="I341" s="847"/>
      <c r="J341" s="365" t="s">
        <v>1491</v>
      </c>
      <c r="K341" s="783"/>
      <c r="L341" s="306">
        <v>0</v>
      </c>
      <c r="M341" s="280"/>
      <c r="N341" s="280"/>
      <c r="O341" s="263"/>
      <c r="P341" s="264"/>
      <c r="Q341" s="264"/>
      <c r="R341" s="265"/>
      <c r="S341" s="266"/>
      <c r="T341" s="266"/>
      <c r="U341" s="266"/>
      <c r="V341" s="266"/>
      <c r="W341" s="266">
        <v>0</v>
      </c>
      <c r="X341" s="266" t="s">
        <v>1489</v>
      </c>
      <c r="Y341" s="331" t="s">
        <v>52</v>
      </c>
      <c r="Z341" s="306">
        <v>0</v>
      </c>
      <c r="AA341" s="266">
        <v>0</v>
      </c>
      <c r="AB341" s="268" t="s">
        <v>472</v>
      </c>
      <c r="AC341" s="268" t="s">
        <v>52</v>
      </c>
      <c r="AD341" s="306">
        <v>0</v>
      </c>
      <c r="AE341" s="522">
        <v>75</v>
      </c>
      <c r="AF341" s="268" t="s">
        <v>2350</v>
      </c>
      <c r="AG341" s="268" t="s">
        <v>2349</v>
      </c>
      <c r="AH341" s="267"/>
      <c r="AI341" s="268"/>
      <c r="AJ341" s="268"/>
      <c r="AK341" s="269"/>
    </row>
    <row r="342" spans="1:37" ht="71.25" hidden="1" customHeight="1" outlineLevel="1" x14ac:dyDescent="0.2">
      <c r="A342" s="651"/>
      <c r="B342" s="580"/>
      <c r="C342" s="580"/>
      <c r="D342" s="667"/>
      <c r="E342" s="597"/>
      <c r="F342" s="597"/>
      <c r="G342" s="425"/>
      <c r="H342" s="569" t="s">
        <v>1492</v>
      </c>
      <c r="I342" s="847"/>
      <c r="J342" s="365" t="s">
        <v>1493</v>
      </c>
      <c r="K342" s="783"/>
      <c r="L342" s="306">
        <v>0</v>
      </c>
      <c r="M342" s="280">
        <v>44593</v>
      </c>
      <c r="N342" s="280">
        <v>44925</v>
      </c>
      <c r="O342" s="263">
        <v>44652</v>
      </c>
      <c r="P342" s="264">
        <f t="shared" si="12"/>
        <v>0.17771084337349397</v>
      </c>
      <c r="Q342" s="264">
        <f t="shared" si="17"/>
        <v>0.17771084337349397</v>
      </c>
      <c r="R342" s="265">
        <v>1</v>
      </c>
      <c r="S342" s="266">
        <v>0.25</v>
      </c>
      <c r="T342" s="266">
        <v>0.5</v>
      </c>
      <c r="U342" s="266">
        <v>0.75</v>
      </c>
      <c r="V342" s="266">
        <v>1</v>
      </c>
      <c r="W342" s="266">
        <v>0</v>
      </c>
      <c r="X342" s="266" t="s">
        <v>1489</v>
      </c>
      <c r="Y342" s="331" t="s">
        <v>52</v>
      </c>
      <c r="Z342" s="306">
        <v>0</v>
      </c>
      <c r="AA342" s="462">
        <v>0.5</v>
      </c>
      <c r="AB342" s="268" t="s">
        <v>2011</v>
      </c>
      <c r="AC342" s="268" t="s">
        <v>2012</v>
      </c>
      <c r="AD342" s="527">
        <v>56800000</v>
      </c>
      <c r="AE342" s="522">
        <v>100</v>
      </c>
      <c r="AF342" s="268" t="s">
        <v>2351</v>
      </c>
      <c r="AG342" s="268" t="s">
        <v>2349</v>
      </c>
      <c r="AH342" s="267"/>
      <c r="AI342" s="268"/>
      <c r="AJ342" s="268"/>
      <c r="AK342" s="269"/>
    </row>
    <row r="343" spans="1:37" ht="47.25" hidden="1" customHeight="1" outlineLevel="1" x14ac:dyDescent="0.2">
      <c r="A343" s="651"/>
      <c r="B343" s="580"/>
      <c r="C343" s="580"/>
      <c r="D343" s="667"/>
      <c r="E343" s="597"/>
      <c r="F343" s="598"/>
      <c r="G343" s="425"/>
      <c r="H343" s="569" t="s">
        <v>1494</v>
      </c>
      <c r="I343" s="848"/>
      <c r="J343" s="365" t="s">
        <v>1495</v>
      </c>
      <c r="K343" s="784"/>
      <c r="L343" s="306">
        <v>0</v>
      </c>
      <c r="M343" s="280">
        <v>44593</v>
      </c>
      <c r="N343" s="280">
        <v>44925</v>
      </c>
      <c r="O343" s="263">
        <v>44652</v>
      </c>
      <c r="P343" s="264">
        <f t="shared" si="12"/>
        <v>0.17771084337349397</v>
      </c>
      <c r="Q343" s="264">
        <f t="shared" si="17"/>
        <v>0.17771084337349397</v>
      </c>
      <c r="R343" s="265">
        <v>1</v>
      </c>
      <c r="S343" s="266">
        <v>0.25</v>
      </c>
      <c r="T343" s="266">
        <v>0.5</v>
      </c>
      <c r="U343" s="266">
        <v>0.75</v>
      </c>
      <c r="V343" s="266">
        <v>1</v>
      </c>
      <c r="W343" s="266">
        <v>0</v>
      </c>
      <c r="X343" s="266" t="s">
        <v>1489</v>
      </c>
      <c r="Y343" s="331" t="s">
        <v>52</v>
      </c>
      <c r="Z343" s="306">
        <v>0</v>
      </c>
      <c r="AA343" s="462">
        <v>0.5</v>
      </c>
      <c r="AB343" s="268" t="s">
        <v>2013</v>
      </c>
      <c r="AC343" s="268" t="s">
        <v>2014</v>
      </c>
      <c r="AD343" s="306">
        <v>0</v>
      </c>
      <c r="AE343" s="522">
        <v>75</v>
      </c>
      <c r="AF343" s="268" t="s">
        <v>2352</v>
      </c>
      <c r="AG343" s="268" t="s">
        <v>2349</v>
      </c>
      <c r="AH343" s="267"/>
      <c r="AI343" s="268"/>
      <c r="AJ343" s="268"/>
      <c r="AK343" s="269"/>
    </row>
    <row r="344" spans="1:37" ht="94.5" hidden="1" customHeight="1" outlineLevel="1" x14ac:dyDescent="0.2">
      <c r="A344" s="651"/>
      <c r="B344" s="580"/>
      <c r="C344" s="580"/>
      <c r="D344" s="667"/>
      <c r="E344" s="597"/>
      <c r="F344" s="448" t="s">
        <v>1496</v>
      </c>
      <c r="G344" s="425"/>
      <c r="H344" s="569" t="s">
        <v>1497</v>
      </c>
      <c r="I344" s="424" t="s">
        <v>1498</v>
      </c>
      <c r="J344" s="258" t="s">
        <v>1499</v>
      </c>
      <c r="K344" s="313" t="s">
        <v>117</v>
      </c>
      <c r="L344" s="306">
        <v>0</v>
      </c>
      <c r="M344" s="280">
        <v>44593</v>
      </c>
      <c r="N344" s="280">
        <v>44925</v>
      </c>
      <c r="O344" s="263">
        <v>44652</v>
      </c>
      <c r="P344" s="264">
        <f t="shared" si="12"/>
        <v>0.17771084337349397</v>
      </c>
      <c r="Q344" s="264">
        <f t="shared" si="17"/>
        <v>0.17771084337349397</v>
      </c>
      <c r="R344" s="265">
        <v>0.6</v>
      </c>
      <c r="S344" s="266">
        <v>0.35</v>
      </c>
      <c r="T344" s="266">
        <v>0.45</v>
      </c>
      <c r="U344" s="266">
        <v>0.55000000000000004</v>
      </c>
      <c r="V344" s="266">
        <v>0.6</v>
      </c>
      <c r="W344" s="266">
        <v>0</v>
      </c>
      <c r="X344" s="266" t="s">
        <v>1500</v>
      </c>
      <c r="Y344" s="331" t="s">
        <v>52</v>
      </c>
      <c r="Z344" s="306">
        <v>0</v>
      </c>
      <c r="AA344" s="462">
        <v>0.2</v>
      </c>
      <c r="AB344" s="268" t="s">
        <v>2015</v>
      </c>
      <c r="AC344" s="268" t="s">
        <v>2016</v>
      </c>
      <c r="AD344" s="306">
        <v>0</v>
      </c>
      <c r="AE344" s="522">
        <v>90</v>
      </c>
      <c r="AF344" s="268" t="s">
        <v>2353</v>
      </c>
      <c r="AG344" s="268" t="s">
        <v>2349</v>
      </c>
      <c r="AH344" s="267"/>
      <c r="AI344" s="268"/>
      <c r="AJ344" s="268"/>
      <c r="AK344" s="269"/>
    </row>
    <row r="345" spans="1:37" ht="59.25" hidden="1" customHeight="1" outlineLevel="1" x14ac:dyDescent="0.2">
      <c r="A345" s="651"/>
      <c r="B345" s="580"/>
      <c r="C345" s="580"/>
      <c r="D345" s="667"/>
      <c r="E345" s="596" t="s">
        <v>1501</v>
      </c>
      <c r="F345" s="596" t="s">
        <v>1502</v>
      </c>
      <c r="G345" s="425"/>
      <c r="H345" s="569" t="s">
        <v>1503</v>
      </c>
      <c r="I345" s="799" t="s">
        <v>1504</v>
      </c>
      <c r="J345" s="258" t="s">
        <v>1505</v>
      </c>
      <c r="K345" s="314">
        <v>12000000</v>
      </c>
      <c r="L345" s="306">
        <v>0</v>
      </c>
      <c r="M345" s="280">
        <v>44593</v>
      </c>
      <c r="N345" s="280">
        <v>44925</v>
      </c>
      <c r="O345" s="263">
        <v>44652</v>
      </c>
      <c r="P345" s="264">
        <f t="shared" si="12"/>
        <v>0.17771084337349397</v>
      </c>
      <c r="Q345" s="264">
        <f t="shared" si="17"/>
        <v>0.17771084337349397</v>
      </c>
      <c r="R345" s="265">
        <v>1</v>
      </c>
      <c r="S345" s="266">
        <v>0.25</v>
      </c>
      <c r="T345" s="266">
        <v>0.5</v>
      </c>
      <c r="U345" s="266">
        <v>0.75</v>
      </c>
      <c r="V345" s="266">
        <v>1</v>
      </c>
      <c r="W345" s="266">
        <v>0</v>
      </c>
      <c r="X345" s="266" t="s">
        <v>1506</v>
      </c>
      <c r="Y345" s="331" t="s">
        <v>52</v>
      </c>
      <c r="Z345" s="306">
        <v>0</v>
      </c>
      <c r="AA345" s="266">
        <v>0</v>
      </c>
      <c r="AB345" s="268" t="s">
        <v>472</v>
      </c>
      <c r="AC345" s="268" t="s">
        <v>52</v>
      </c>
      <c r="AD345" s="306">
        <v>0</v>
      </c>
      <c r="AE345" s="522">
        <v>90</v>
      </c>
      <c r="AF345" s="268" t="s">
        <v>2354</v>
      </c>
      <c r="AG345" s="268" t="s">
        <v>2349</v>
      </c>
      <c r="AH345" s="267"/>
      <c r="AI345" s="268"/>
      <c r="AJ345" s="268"/>
      <c r="AK345" s="269"/>
    </row>
    <row r="346" spans="1:37" ht="72" hidden="1" customHeight="1" outlineLevel="1" x14ac:dyDescent="0.2">
      <c r="A346" s="651"/>
      <c r="B346" s="580"/>
      <c r="C346" s="580"/>
      <c r="D346" s="667"/>
      <c r="E346" s="597"/>
      <c r="F346" s="597"/>
      <c r="G346" s="425"/>
      <c r="H346" s="569" t="s">
        <v>1507</v>
      </c>
      <c r="I346" s="800"/>
      <c r="J346" s="258" t="s">
        <v>1508</v>
      </c>
      <c r="K346" s="314">
        <v>80000000</v>
      </c>
      <c r="L346" s="306">
        <v>0</v>
      </c>
      <c r="M346" s="280">
        <v>44593</v>
      </c>
      <c r="N346" s="280">
        <v>44925</v>
      </c>
      <c r="O346" s="263">
        <v>44652</v>
      </c>
      <c r="P346" s="264">
        <f t="shared" si="12"/>
        <v>0.17771084337349397</v>
      </c>
      <c r="Q346" s="264">
        <f t="shared" si="17"/>
        <v>0.17771084337349397</v>
      </c>
      <c r="R346" s="265">
        <v>1</v>
      </c>
      <c r="S346" s="266">
        <v>0.25</v>
      </c>
      <c r="T346" s="266">
        <v>0.5</v>
      </c>
      <c r="U346" s="266">
        <v>0.75</v>
      </c>
      <c r="V346" s="266">
        <v>1</v>
      </c>
      <c r="W346" s="266">
        <v>0.8</v>
      </c>
      <c r="X346" s="266" t="s">
        <v>1509</v>
      </c>
      <c r="Y346" s="331" t="s">
        <v>352</v>
      </c>
      <c r="Z346" s="306">
        <v>0</v>
      </c>
      <c r="AA346" s="462">
        <v>0.8</v>
      </c>
      <c r="AB346" s="268" t="s">
        <v>472</v>
      </c>
      <c r="AC346" s="268" t="s">
        <v>52</v>
      </c>
      <c r="AD346" s="306">
        <v>0</v>
      </c>
      <c r="AE346" s="522">
        <v>100</v>
      </c>
      <c r="AF346" s="268" t="s">
        <v>2355</v>
      </c>
      <c r="AG346" s="268" t="s">
        <v>2349</v>
      </c>
      <c r="AH346" s="267"/>
      <c r="AI346" s="268"/>
      <c r="AJ346" s="268"/>
      <c r="AK346" s="269"/>
    </row>
    <row r="347" spans="1:37" ht="46.5" hidden="1" customHeight="1" outlineLevel="1" x14ac:dyDescent="0.2">
      <c r="A347" s="651"/>
      <c r="B347" s="580"/>
      <c r="C347" s="580"/>
      <c r="D347" s="667"/>
      <c r="E347" s="597"/>
      <c r="F347" s="598"/>
      <c r="G347" s="425"/>
      <c r="H347" s="569" t="s">
        <v>1510</v>
      </c>
      <c r="I347" s="801"/>
      <c r="J347" s="258" t="s">
        <v>1511</v>
      </c>
      <c r="K347" s="314">
        <v>30000000</v>
      </c>
      <c r="L347" s="306">
        <v>0</v>
      </c>
      <c r="M347" s="280">
        <v>44593</v>
      </c>
      <c r="N347" s="280">
        <v>44925</v>
      </c>
      <c r="O347" s="263">
        <v>44652</v>
      </c>
      <c r="P347" s="264">
        <f t="shared" si="12"/>
        <v>0.17771084337349397</v>
      </c>
      <c r="Q347" s="264">
        <f t="shared" si="17"/>
        <v>0.17771084337349397</v>
      </c>
      <c r="R347" s="265">
        <v>1</v>
      </c>
      <c r="S347" s="266">
        <v>0.25</v>
      </c>
      <c r="T347" s="266">
        <v>0.5</v>
      </c>
      <c r="U347" s="266">
        <v>0.75</v>
      </c>
      <c r="V347" s="266">
        <v>1</v>
      </c>
      <c r="W347" s="266">
        <v>0</v>
      </c>
      <c r="X347" s="266" t="s">
        <v>1512</v>
      </c>
      <c r="Y347" s="331" t="s">
        <v>52</v>
      </c>
      <c r="Z347" s="306">
        <v>0</v>
      </c>
      <c r="AA347" s="462">
        <v>0.4</v>
      </c>
      <c r="AB347" s="467" t="s">
        <v>2017</v>
      </c>
      <c r="AC347" s="268" t="s">
        <v>2018</v>
      </c>
      <c r="AD347" s="527">
        <v>33574000</v>
      </c>
      <c r="AE347" s="522">
        <v>100</v>
      </c>
      <c r="AF347" s="268" t="s">
        <v>2356</v>
      </c>
      <c r="AG347" s="268" t="s">
        <v>2349</v>
      </c>
      <c r="AH347" s="267"/>
      <c r="AI347" s="268"/>
      <c r="AJ347" s="268"/>
      <c r="AK347" s="269"/>
    </row>
    <row r="348" spans="1:37" ht="56.25" hidden="1" customHeight="1" outlineLevel="1" x14ac:dyDescent="0.2">
      <c r="A348" s="651"/>
      <c r="B348" s="580"/>
      <c r="C348" s="580"/>
      <c r="D348" s="667"/>
      <c r="E348" s="597"/>
      <c r="F348" s="596" t="s">
        <v>1513</v>
      </c>
      <c r="G348" s="425"/>
      <c r="H348" s="569" t="s">
        <v>1514</v>
      </c>
      <c r="I348" s="799" t="s">
        <v>1515</v>
      </c>
      <c r="J348" s="258" t="s">
        <v>2491</v>
      </c>
      <c r="K348" s="314">
        <v>40000000</v>
      </c>
      <c r="L348" s="314">
        <v>177845094</v>
      </c>
      <c r="M348" s="280">
        <v>44593</v>
      </c>
      <c r="N348" s="280">
        <v>44925</v>
      </c>
      <c r="O348" s="263">
        <v>44652</v>
      </c>
      <c r="P348" s="264">
        <f t="shared" si="12"/>
        <v>0.17771084337349397</v>
      </c>
      <c r="Q348" s="264">
        <f t="shared" si="17"/>
        <v>0.17771084337349397</v>
      </c>
      <c r="R348" s="265">
        <v>1</v>
      </c>
      <c r="S348" s="266">
        <v>0.25</v>
      </c>
      <c r="T348" s="266">
        <v>0.5</v>
      </c>
      <c r="U348" s="266">
        <v>0.75</v>
      </c>
      <c r="V348" s="266">
        <v>1</v>
      </c>
      <c r="W348" s="266">
        <v>0.3</v>
      </c>
      <c r="X348" s="266" t="s">
        <v>1516</v>
      </c>
      <c r="Y348" s="331" t="s">
        <v>1517</v>
      </c>
      <c r="Z348" s="306">
        <v>0</v>
      </c>
      <c r="AA348" s="266">
        <v>0.52</v>
      </c>
      <c r="AB348" s="266" t="s">
        <v>1516</v>
      </c>
      <c r="AC348" s="268" t="s">
        <v>303</v>
      </c>
      <c r="AD348" s="306">
        <v>0</v>
      </c>
      <c r="AE348" s="522">
        <v>80</v>
      </c>
      <c r="AF348" s="266" t="s">
        <v>1516</v>
      </c>
      <c r="AG348" s="268" t="s">
        <v>2349</v>
      </c>
      <c r="AH348" s="267"/>
      <c r="AI348" s="268"/>
      <c r="AJ348" s="268"/>
      <c r="AK348" s="269"/>
    </row>
    <row r="349" spans="1:37" ht="150" hidden="1" customHeight="1" outlineLevel="1" x14ac:dyDescent="0.2">
      <c r="A349" s="651"/>
      <c r="B349" s="580"/>
      <c r="C349" s="580"/>
      <c r="D349" s="667"/>
      <c r="E349" s="597"/>
      <c r="F349" s="597"/>
      <c r="G349" s="425"/>
      <c r="H349" s="569" t="s">
        <v>1518</v>
      </c>
      <c r="I349" s="800"/>
      <c r="J349" s="258" t="s">
        <v>1519</v>
      </c>
      <c r="K349" s="314">
        <v>105000000</v>
      </c>
      <c r="L349" s="314">
        <v>10008369</v>
      </c>
      <c r="M349" s="280">
        <v>44593</v>
      </c>
      <c r="N349" s="280">
        <v>44925</v>
      </c>
      <c r="O349" s="263">
        <v>44652</v>
      </c>
      <c r="P349" s="264">
        <f t="shared" si="12"/>
        <v>0.17771084337349397</v>
      </c>
      <c r="Q349" s="264">
        <f t="shared" si="17"/>
        <v>0.17771084337349397</v>
      </c>
      <c r="R349" s="265">
        <v>1</v>
      </c>
      <c r="S349" s="266">
        <v>0.25</v>
      </c>
      <c r="T349" s="266">
        <v>0.5</v>
      </c>
      <c r="U349" s="266">
        <v>0.75</v>
      </c>
      <c r="V349" s="266">
        <v>1</v>
      </c>
      <c r="W349" s="266">
        <v>0.25</v>
      </c>
      <c r="X349" s="266" t="s">
        <v>1520</v>
      </c>
      <c r="Y349" s="331" t="s">
        <v>1521</v>
      </c>
      <c r="Z349" s="306">
        <v>0</v>
      </c>
      <c r="AA349" s="462">
        <v>0.5</v>
      </c>
      <c r="AB349" s="268" t="s">
        <v>2019</v>
      </c>
      <c r="AC349" s="268" t="s">
        <v>2020</v>
      </c>
      <c r="AD349" s="268" t="s">
        <v>2266</v>
      </c>
      <c r="AE349" s="522">
        <v>80</v>
      </c>
      <c r="AF349" s="268" t="s">
        <v>2357</v>
      </c>
      <c r="AG349" s="268" t="s">
        <v>2349</v>
      </c>
      <c r="AH349" s="267"/>
      <c r="AI349" s="268"/>
      <c r="AJ349" s="268"/>
      <c r="AK349" s="269"/>
    </row>
    <row r="350" spans="1:37" ht="46.5" hidden="1" customHeight="1" outlineLevel="1" x14ac:dyDescent="0.2">
      <c r="A350" s="651"/>
      <c r="B350" s="580"/>
      <c r="C350" s="580"/>
      <c r="D350" s="667"/>
      <c r="E350" s="597"/>
      <c r="F350" s="597"/>
      <c r="G350" s="425"/>
      <c r="H350" s="569" t="s">
        <v>1522</v>
      </c>
      <c r="I350" s="800"/>
      <c r="J350" s="258" t="s">
        <v>1523</v>
      </c>
      <c r="K350" s="314">
        <v>30000000</v>
      </c>
      <c r="L350" s="306">
        <v>0</v>
      </c>
      <c r="M350" s="280">
        <v>44593</v>
      </c>
      <c r="N350" s="280">
        <v>44925</v>
      </c>
      <c r="O350" s="263">
        <v>44652</v>
      </c>
      <c r="P350" s="264">
        <f t="shared" si="12"/>
        <v>0.17771084337349397</v>
      </c>
      <c r="Q350" s="264">
        <f t="shared" si="17"/>
        <v>0.17771084337349397</v>
      </c>
      <c r="R350" s="265">
        <v>1</v>
      </c>
      <c r="S350" s="266">
        <v>0.25</v>
      </c>
      <c r="T350" s="266">
        <v>0.5</v>
      </c>
      <c r="U350" s="266">
        <v>0.75</v>
      </c>
      <c r="V350" s="266">
        <v>1</v>
      </c>
      <c r="W350" s="266">
        <v>0</v>
      </c>
      <c r="X350" s="266" t="s">
        <v>1506</v>
      </c>
      <c r="Y350" s="331" t="s">
        <v>52</v>
      </c>
      <c r="Z350" s="306">
        <v>0</v>
      </c>
      <c r="AA350" s="462">
        <v>0.5</v>
      </c>
      <c r="AB350" s="268" t="s">
        <v>2021</v>
      </c>
      <c r="AC350" s="453" t="s">
        <v>2022</v>
      </c>
      <c r="AD350" s="306">
        <v>0</v>
      </c>
      <c r="AE350" s="522">
        <v>55</v>
      </c>
      <c r="AF350" s="268" t="s">
        <v>2262</v>
      </c>
      <c r="AG350" s="268" t="s">
        <v>2349</v>
      </c>
      <c r="AH350" s="267"/>
      <c r="AI350" s="268"/>
      <c r="AJ350" s="268"/>
      <c r="AK350" s="269"/>
    </row>
    <row r="351" spans="1:37" ht="94.5" hidden="1" customHeight="1" outlineLevel="1" x14ac:dyDescent="0.2">
      <c r="A351" s="651"/>
      <c r="B351" s="580"/>
      <c r="C351" s="580"/>
      <c r="D351" s="667"/>
      <c r="E351" s="597"/>
      <c r="F351" s="597"/>
      <c r="G351" s="425"/>
      <c r="H351" s="569" t="s">
        <v>1524</v>
      </c>
      <c r="I351" s="800"/>
      <c r="J351" s="258" t="s">
        <v>1525</v>
      </c>
      <c r="K351" s="314">
        <v>5000000</v>
      </c>
      <c r="L351" s="306">
        <v>0</v>
      </c>
      <c r="M351" s="280">
        <v>44593</v>
      </c>
      <c r="N351" s="280">
        <v>44925</v>
      </c>
      <c r="O351" s="263">
        <v>44652</v>
      </c>
      <c r="P351" s="264">
        <f t="shared" si="12"/>
        <v>0.17771084337349397</v>
      </c>
      <c r="Q351" s="264">
        <f t="shared" si="17"/>
        <v>0.17771084337349397</v>
      </c>
      <c r="R351" s="265">
        <v>1</v>
      </c>
      <c r="S351" s="266">
        <v>0.25</v>
      </c>
      <c r="T351" s="266">
        <v>0.5</v>
      </c>
      <c r="U351" s="266">
        <v>0.75</v>
      </c>
      <c r="V351" s="266">
        <v>1</v>
      </c>
      <c r="W351" s="266">
        <v>0.2</v>
      </c>
      <c r="X351" s="266" t="s">
        <v>1526</v>
      </c>
      <c r="Y351" s="331" t="s">
        <v>1527</v>
      </c>
      <c r="Z351" s="306">
        <v>0</v>
      </c>
      <c r="AA351" s="462">
        <v>0.2</v>
      </c>
      <c r="AB351" s="268" t="s">
        <v>2263</v>
      </c>
      <c r="AC351" s="268" t="s">
        <v>2023</v>
      </c>
      <c r="AD351" s="306">
        <v>0</v>
      </c>
      <c r="AE351" s="522">
        <v>100</v>
      </c>
      <c r="AF351" s="268" t="s">
        <v>2358</v>
      </c>
      <c r="AG351" s="268" t="s">
        <v>2349</v>
      </c>
      <c r="AH351" s="267"/>
      <c r="AI351" s="268"/>
      <c r="AJ351" s="268"/>
      <c r="AK351" s="269"/>
    </row>
    <row r="352" spans="1:37" ht="82.5" hidden="1" customHeight="1" outlineLevel="1" x14ac:dyDescent="0.2">
      <c r="A352" s="651"/>
      <c r="B352" s="580"/>
      <c r="C352" s="580"/>
      <c r="D352" s="667"/>
      <c r="E352" s="597"/>
      <c r="F352" s="597"/>
      <c r="G352" s="425"/>
      <c r="H352" s="569" t="s">
        <v>1528</v>
      </c>
      <c r="I352" s="800"/>
      <c r="J352" s="258" t="s">
        <v>1529</v>
      </c>
      <c r="K352" s="314">
        <v>5000000</v>
      </c>
      <c r="L352" s="306">
        <v>0</v>
      </c>
      <c r="M352" s="280"/>
      <c r="N352" s="280"/>
      <c r="O352" s="263"/>
      <c r="P352" s="264"/>
      <c r="Q352" s="264"/>
      <c r="R352" s="265"/>
      <c r="S352" s="266"/>
      <c r="T352" s="266"/>
      <c r="U352" s="266"/>
      <c r="V352" s="266"/>
      <c r="W352" s="266">
        <v>0</v>
      </c>
      <c r="X352" s="266" t="s">
        <v>1506</v>
      </c>
      <c r="Y352" s="331" t="s">
        <v>52</v>
      </c>
      <c r="Z352" s="306">
        <v>0</v>
      </c>
      <c r="AA352" s="266">
        <v>0</v>
      </c>
      <c r="AB352" s="266" t="s">
        <v>1506</v>
      </c>
      <c r="AC352" s="268" t="s">
        <v>2023</v>
      </c>
      <c r="AD352" s="306">
        <v>0</v>
      </c>
      <c r="AE352" s="522">
        <v>100</v>
      </c>
      <c r="AF352" s="268" t="s">
        <v>2359</v>
      </c>
      <c r="AG352" s="268" t="s">
        <v>2349</v>
      </c>
      <c r="AH352" s="267"/>
      <c r="AI352" s="268"/>
      <c r="AJ352" s="268"/>
      <c r="AK352" s="269"/>
    </row>
    <row r="353" spans="1:37" ht="43.15" hidden="1" customHeight="1" outlineLevel="1" x14ac:dyDescent="0.2">
      <c r="A353" s="651"/>
      <c r="B353" s="580"/>
      <c r="C353" s="580"/>
      <c r="D353" s="667"/>
      <c r="E353" s="597"/>
      <c r="F353" s="597"/>
      <c r="G353" s="425"/>
      <c r="H353" s="569" t="s">
        <v>1530</v>
      </c>
      <c r="I353" s="800"/>
      <c r="J353" s="258" t="s">
        <v>1531</v>
      </c>
      <c r="K353" s="314">
        <v>10000000</v>
      </c>
      <c r="L353" s="306">
        <v>0</v>
      </c>
      <c r="M353" s="280">
        <v>44593</v>
      </c>
      <c r="N353" s="280">
        <v>44925</v>
      </c>
      <c r="O353" s="263">
        <v>44652</v>
      </c>
      <c r="P353" s="264">
        <f t="shared" si="12"/>
        <v>0.17771084337349397</v>
      </c>
      <c r="Q353" s="264">
        <f t="shared" si="17"/>
        <v>0.17771084337349397</v>
      </c>
      <c r="R353" s="265">
        <v>1</v>
      </c>
      <c r="S353" s="266">
        <v>0.25</v>
      </c>
      <c r="T353" s="266">
        <v>0.5</v>
      </c>
      <c r="U353" s="266">
        <v>0.75</v>
      </c>
      <c r="V353" s="266">
        <v>1</v>
      </c>
      <c r="W353" s="266">
        <v>0</v>
      </c>
      <c r="X353" s="266" t="s">
        <v>1506</v>
      </c>
      <c r="Y353" s="331"/>
      <c r="Z353" s="306">
        <v>0</v>
      </c>
      <c r="AA353" s="266">
        <v>0</v>
      </c>
      <c r="AB353" s="268" t="s">
        <v>2024</v>
      </c>
      <c r="AC353" s="268" t="s">
        <v>2023</v>
      </c>
      <c r="AD353" s="306">
        <v>0</v>
      </c>
      <c r="AE353" s="522">
        <v>0</v>
      </c>
      <c r="AF353" s="268" t="s">
        <v>2360</v>
      </c>
      <c r="AG353" s="268" t="s">
        <v>2349</v>
      </c>
      <c r="AH353" s="267"/>
      <c r="AI353" s="268"/>
      <c r="AJ353" s="268"/>
      <c r="AK353" s="269"/>
    </row>
    <row r="354" spans="1:37" ht="53.25" hidden="1" customHeight="1" outlineLevel="1" x14ac:dyDescent="0.2">
      <c r="A354" s="651"/>
      <c r="B354" s="580"/>
      <c r="C354" s="580"/>
      <c r="D354" s="667"/>
      <c r="E354" s="597"/>
      <c r="F354" s="597"/>
      <c r="G354" s="425"/>
      <c r="H354" s="569" t="s">
        <v>1532</v>
      </c>
      <c r="I354" s="800"/>
      <c r="J354" s="258" t="s">
        <v>1533</v>
      </c>
      <c r="K354" s="314">
        <v>1000000</v>
      </c>
      <c r="L354" s="314">
        <v>900000</v>
      </c>
      <c r="M354" s="280">
        <v>44593</v>
      </c>
      <c r="N354" s="280">
        <v>44925</v>
      </c>
      <c r="O354" s="263">
        <v>44652</v>
      </c>
      <c r="P354" s="264">
        <f t="shared" ref="P354:P397" si="18">+(+_xlfn.DAYS(M354,O354))/(+_xlfn.DAYS(M354,N354))</f>
        <v>0.17771084337349397</v>
      </c>
      <c r="Q354" s="264">
        <f t="shared" si="17"/>
        <v>0.17771084337349397</v>
      </c>
      <c r="R354" s="265">
        <v>1</v>
      </c>
      <c r="S354" s="266">
        <v>0.25</v>
      </c>
      <c r="T354" s="266">
        <v>0.5</v>
      </c>
      <c r="U354" s="266">
        <v>0.75</v>
      </c>
      <c r="V354" s="266">
        <v>1</v>
      </c>
      <c r="W354" s="266">
        <v>1</v>
      </c>
      <c r="X354" s="266" t="s">
        <v>1534</v>
      </c>
      <c r="Y354" s="331" t="s">
        <v>1535</v>
      </c>
      <c r="Z354" s="306">
        <v>0</v>
      </c>
      <c r="AA354" s="462">
        <v>1</v>
      </c>
      <c r="AB354" s="266" t="s">
        <v>1534</v>
      </c>
      <c r="AC354" s="268" t="s">
        <v>2025</v>
      </c>
      <c r="AD354" s="306">
        <v>0</v>
      </c>
      <c r="AE354" s="522">
        <v>100</v>
      </c>
      <c r="AF354" s="268" t="s">
        <v>2264</v>
      </c>
      <c r="AG354" s="268" t="s">
        <v>2349</v>
      </c>
      <c r="AH354" s="267"/>
      <c r="AI354" s="268"/>
      <c r="AJ354" s="268"/>
      <c r="AK354" s="269"/>
    </row>
    <row r="355" spans="1:37" ht="79.5" hidden="1" customHeight="1" outlineLevel="1" x14ac:dyDescent="0.2">
      <c r="A355" s="651"/>
      <c r="B355" s="580"/>
      <c r="C355" s="580"/>
      <c r="D355" s="667"/>
      <c r="E355" s="597"/>
      <c r="F355" s="597"/>
      <c r="G355" s="425"/>
      <c r="H355" s="569" t="s">
        <v>1536</v>
      </c>
      <c r="I355" s="800"/>
      <c r="J355" s="258" t="s">
        <v>459</v>
      </c>
      <c r="K355" s="314">
        <v>25000000</v>
      </c>
      <c r="L355" s="306">
        <v>0</v>
      </c>
      <c r="M355" s="280">
        <v>44593</v>
      </c>
      <c r="N355" s="280">
        <v>44925</v>
      </c>
      <c r="O355" s="263">
        <v>44652</v>
      </c>
      <c r="P355" s="264">
        <f t="shared" si="18"/>
        <v>0.17771084337349397</v>
      </c>
      <c r="Q355" s="264">
        <f t="shared" si="17"/>
        <v>0.17771084337349397</v>
      </c>
      <c r="R355" s="265">
        <v>1</v>
      </c>
      <c r="S355" s="266">
        <v>0.25</v>
      </c>
      <c r="T355" s="266">
        <v>0.5</v>
      </c>
      <c r="U355" s="266">
        <v>0.75</v>
      </c>
      <c r="V355" s="266">
        <v>1</v>
      </c>
      <c r="W355" s="266">
        <v>0</v>
      </c>
      <c r="X355" s="266" t="s">
        <v>1526</v>
      </c>
      <c r="Y355" s="331" t="s">
        <v>1537</v>
      </c>
      <c r="Z355" s="306">
        <v>0</v>
      </c>
      <c r="AA355" s="462">
        <v>0.5</v>
      </c>
      <c r="AB355" s="268" t="s">
        <v>2026</v>
      </c>
      <c r="AC355" s="268" t="s">
        <v>2027</v>
      </c>
      <c r="AD355" s="306">
        <v>0</v>
      </c>
      <c r="AE355" s="522">
        <v>100</v>
      </c>
      <c r="AF355" s="268" t="s">
        <v>2265</v>
      </c>
      <c r="AG355" s="268" t="s">
        <v>2349</v>
      </c>
      <c r="AH355" s="267"/>
      <c r="AI355" s="268"/>
      <c r="AJ355" s="268"/>
      <c r="AK355" s="269"/>
    </row>
    <row r="356" spans="1:37" ht="46.5" hidden="1" customHeight="1" outlineLevel="1" x14ac:dyDescent="0.2">
      <c r="A356" s="651"/>
      <c r="B356" s="580"/>
      <c r="C356" s="580"/>
      <c r="D356" s="667"/>
      <c r="E356" s="597"/>
      <c r="F356" s="597"/>
      <c r="G356" s="425"/>
      <c r="H356" s="569" t="s">
        <v>1538</v>
      </c>
      <c r="I356" s="800"/>
      <c r="J356" s="258" t="s">
        <v>1531</v>
      </c>
      <c r="K356" s="315">
        <v>1000000</v>
      </c>
      <c r="L356" s="306">
        <v>0</v>
      </c>
      <c r="M356" s="280">
        <v>44593</v>
      </c>
      <c r="N356" s="280">
        <v>44925</v>
      </c>
      <c r="O356" s="263">
        <v>44652</v>
      </c>
      <c r="P356" s="264">
        <f t="shared" si="18"/>
        <v>0.17771084337349397</v>
      </c>
      <c r="Q356" s="264">
        <f t="shared" si="17"/>
        <v>0.17771084337349397</v>
      </c>
      <c r="R356" s="265">
        <v>1</v>
      </c>
      <c r="S356" s="266">
        <v>0.25</v>
      </c>
      <c r="T356" s="266">
        <v>0.5</v>
      </c>
      <c r="U356" s="266">
        <v>0.75</v>
      </c>
      <c r="V356" s="266">
        <v>1</v>
      </c>
      <c r="W356" s="266">
        <v>0</v>
      </c>
      <c r="X356" s="266" t="s">
        <v>1506</v>
      </c>
      <c r="Y356" s="331" t="s">
        <v>52</v>
      </c>
      <c r="Z356" s="306">
        <v>0</v>
      </c>
      <c r="AA356" s="462">
        <v>0.5</v>
      </c>
      <c r="AB356" s="268" t="s">
        <v>2028</v>
      </c>
      <c r="AC356" s="268" t="s">
        <v>2029</v>
      </c>
      <c r="AD356" s="306">
        <v>0</v>
      </c>
      <c r="AE356" s="522">
        <v>100</v>
      </c>
      <c r="AF356" s="268" t="s">
        <v>2361</v>
      </c>
      <c r="AG356" s="268" t="s">
        <v>2349</v>
      </c>
      <c r="AH356" s="267"/>
      <c r="AI356" s="268"/>
      <c r="AJ356" s="268"/>
      <c r="AK356" s="269"/>
    </row>
    <row r="357" spans="1:37" ht="28.9" hidden="1" customHeight="1" outlineLevel="1" x14ac:dyDescent="0.2">
      <c r="A357" s="651"/>
      <c r="B357" s="580"/>
      <c r="C357" s="580"/>
      <c r="D357" s="667"/>
      <c r="E357" s="597"/>
      <c r="F357" s="597"/>
      <c r="G357" s="425"/>
      <c r="H357" s="569" t="s">
        <v>1539</v>
      </c>
      <c r="I357" s="800"/>
      <c r="J357" s="258" t="s">
        <v>1531</v>
      </c>
      <c r="K357" s="315">
        <v>11000000</v>
      </c>
      <c r="L357" s="306">
        <v>0</v>
      </c>
      <c r="M357" s="280">
        <v>44593</v>
      </c>
      <c r="N357" s="280">
        <v>44925</v>
      </c>
      <c r="O357" s="263">
        <v>44652</v>
      </c>
      <c r="P357" s="264">
        <f t="shared" si="18"/>
        <v>0.17771084337349397</v>
      </c>
      <c r="Q357" s="264">
        <f t="shared" si="17"/>
        <v>0.17771084337349397</v>
      </c>
      <c r="R357" s="265">
        <v>1</v>
      </c>
      <c r="S357" s="266">
        <v>0.25</v>
      </c>
      <c r="T357" s="266">
        <v>0.5</v>
      </c>
      <c r="U357" s="266">
        <v>0.75</v>
      </c>
      <c r="V357" s="266">
        <v>1</v>
      </c>
      <c r="W357" s="266">
        <v>0</v>
      </c>
      <c r="X357" s="266" t="s">
        <v>1506</v>
      </c>
      <c r="Y357" s="331" t="s">
        <v>52</v>
      </c>
      <c r="Z357" s="306">
        <v>0</v>
      </c>
      <c r="AA357" s="462">
        <v>0</v>
      </c>
      <c r="AB357" s="268" t="s">
        <v>2030</v>
      </c>
      <c r="AC357" s="268" t="s">
        <v>2023</v>
      </c>
      <c r="AD357" s="306">
        <v>0</v>
      </c>
      <c r="AE357" s="522">
        <v>100</v>
      </c>
      <c r="AF357" s="268" t="s">
        <v>2362</v>
      </c>
      <c r="AG357" s="268" t="s">
        <v>2349</v>
      </c>
      <c r="AH357" s="267"/>
      <c r="AI357" s="268"/>
      <c r="AJ357" s="268"/>
      <c r="AK357" s="269"/>
    </row>
    <row r="358" spans="1:37" ht="28.9" hidden="1" customHeight="1" outlineLevel="1" x14ac:dyDescent="0.2">
      <c r="A358" s="651"/>
      <c r="B358" s="580"/>
      <c r="C358" s="580"/>
      <c r="D358" s="667"/>
      <c r="E358" s="597"/>
      <c r="F358" s="597"/>
      <c r="G358" s="425"/>
      <c r="H358" s="569" t="s">
        <v>1540</v>
      </c>
      <c r="I358" s="800"/>
      <c r="J358" s="258" t="s">
        <v>1531</v>
      </c>
      <c r="K358" s="315">
        <v>5000000</v>
      </c>
      <c r="L358" s="306">
        <v>0</v>
      </c>
      <c r="M358" s="280"/>
      <c r="N358" s="280"/>
      <c r="O358" s="263"/>
      <c r="P358" s="264"/>
      <c r="Q358" s="264"/>
      <c r="R358" s="265"/>
      <c r="S358" s="266"/>
      <c r="T358" s="266"/>
      <c r="U358" s="266"/>
      <c r="V358" s="266"/>
      <c r="W358" s="266">
        <v>0</v>
      </c>
      <c r="X358" s="266" t="s">
        <v>1506</v>
      </c>
      <c r="Y358" s="331" t="s">
        <v>52</v>
      </c>
      <c r="Z358" s="306">
        <v>0</v>
      </c>
      <c r="AA358" s="266">
        <v>0</v>
      </c>
      <c r="AB358" s="266" t="s">
        <v>1506</v>
      </c>
      <c r="AC358" s="268" t="s">
        <v>2023</v>
      </c>
      <c r="AD358" s="306">
        <v>0</v>
      </c>
      <c r="AE358" s="522">
        <v>85</v>
      </c>
      <c r="AF358" s="268" t="s">
        <v>2363</v>
      </c>
      <c r="AG358" s="268" t="s">
        <v>2349</v>
      </c>
      <c r="AH358" s="267"/>
      <c r="AI358" s="268"/>
      <c r="AJ358" s="268"/>
      <c r="AK358" s="269"/>
    </row>
    <row r="359" spans="1:37" ht="46.5" hidden="1" customHeight="1" outlineLevel="1" x14ac:dyDescent="0.2">
      <c r="A359" s="651"/>
      <c r="B359" s="580"/>
      <c r="C359" s="580"/>
      <c r="D359" s="668"/>
      <c r="E359" s="598"/>
      <c r="F359" s="598"/>
      <c r="G359" s="426"/>
      <c r="H359" s="569" t="s">
        <v>1541</v>
      </c>
      <c r="I359" s="801"/>
      <c r="J359" s="258" t="s">
        <v>459</v>
      </c>
      <c r="K359" s="314">
        <v>7000000</v>
      </c>
      <c r="L359" s="306">
        <v>0</v>
      </c>
      <c r="M359" s="280">
        <v>44593</v>
      </c>
      <c r="N359" s="280">
        <v>44925</v>
      </c>
      <c r="O359" s="263">
        <v>44652</v>
      </c>
      <c r="P359" s="264">
        <f t="shared" si="18"/>
        <v>0.17771084337349397</v>
      </c>
      <c r="Q359" s="264">
        <f t="shared" si="17"/>
        <v>0.17771084337349397</v>
      </c>
      <c r="R359" s="265">
        <v>1</v>
      </c>
      <c r="S359" s="266">
        <v>0.25</v>
      </c>
      <c r="T359" s="266">
        <v>0.5</v>
      </c>
      <c r="U359" s="266">
        <v>0.75</v>
      </c>
      <c r="V359" s="266">
        <v>1</v>
      </c>
      <c r="W359" s="266">
        <v>0</v>
      </c>
      <c r="X359" s="266" t="s">
        <v>1506</v>
      </c>
      <c r="Y359" s="331" t="s">
        <v>52</v>
      </c>
      <c r="Z359" s="306">
        <v>0</v>
      </c>
      <c r="AA359" s="462">
        <v>0</v>
      </c>
      <c r="AB359" s="268" t="s">
        <v>2031</v>
      </c>
      <c r="AC359" s="268" t="s">
        <v>2023</v>
      </c>
      <c r="AD359" s="306">
        <v>0</v>
      </c>
      <c r="AE359" s="522">
        <v>90</v>
      </c>
      <c r="AF359" s="268" t="s">
        <v>2364</v>
      </c>
      <c r="AG359" s="268" t="s">
        <v>2349</v>
      </c>
      <c r="AH359" s="267"/>
      <c r="AI359" s="268"/>
      <c r="AJ359" s="268"/>
      <c r="AK359" s="269"/>
    </row>
    <row r="360" spans="1:37" ht="184.5" hidden="1" customHeight="1" outlineLevel="1" x14ac:dyDescent="0.2">
      <c r="A360" s="651"/>
      <c r="B360" s="580"/>
      <c r="C360" s="580"/>
      <c r="D360" s="669" t="s">
        <v>1542</v>
      </c>
      <c r="E360" s="585"/>
      <c r="F360" s="352" t="s">
        <v>1543</v>
      </c>
      <c r="G360" s="428"/>
      <c r="H360" s="569" t="s">
        <v>1544</v>
      </c>
      <c r="I360" s="353" t="s">
        <v>1545</v>
      </c>
      <c r="J360" s="258" t="s">
        <v>1511</v>
      </c>
      <c r="K360" s="315">
        <v>28304410</v>
      </c>
      <c r="L360" s="306">
        <v>0</v>
      </c>
      <c r="M360" s="280">
        <v>44593</v>
      </c>
      <c r="N360" s="280">
        <v>44925</v>
      </c>
      <c r="O360" s="263">
        <v>44652</v>
      </c>
      <c r="P360" s="264">
        <f t="shared" si="18"/>
        <v>0.17771084337349397</v>
      </c>
      <c r="Q360" s="264">
        <f t="shared" si="17"/>
        <v>0.17771084337349397</v>
      </c>
      <c r="R360" s="265">
        <v>1</v>
      </c>
      <c r="S360" s="266">
        <v>0.25</v>
      </c>
      <c r="T360" s="266">
        <v>0.5</v>
      </c>
      <c r="U360" s="266">
        <v>0.75</v>
      </c>
      <c r="V360" s="266">
        <v>1</v>
      </c>
      <c r="W360" s="266">
        <v>0.2</v>
      </c>
      <c r="X360" s="266" t="s">
        <v>1546</v>
      </c>
      <c r="Y360" s="333" t="s">
        <v>1547</v>
      </c>
      <c r="Z360" s="306">
        <v>0</v>
      </c>
      <c r="AA360" s="462">
        <v>0.2</v>
      </c>
      <c r="AB360" s="268" t="s">
        <v>2031</v>
      </c>
      <c r="AC360" s="268" t="s">
        <v>2023</v>
      </c>
      <c r="AD360" s="306">
        <v>0</v>
      </c>
      <c r="AE360" s="522">
        <v>90</v>
      </c>
      <c r="AF360" s="268" t="s">
        <v>2365</v>
      </c>
      <c r="AG360" s="268" t="s">
        <v>2349</v>
      </c>
      <c r="AH360" s="267"/>
      <c r="AI360" s="268"/>
      <c r="AJ360" s="268"/>
      <c r="AK360" s="269"/>
    </row>
    <row r="361" spans="1:37" ht="60" hidden="1" customHeight="1" outlineLevel="1" x14ac:dyDescent="0.2">
      <c r="A361" s="651"/>
      <c r="B361" s="580"/>
      <c r="C361" s="580"/>
      <c r="D361" s="669"/>
      <c r="E361" s="585"/>
      <c r="F361" s="300" t="s">
        <v>1548</v>
      </c>
      <c r="G361" s="428"/>
      <c r="H361" s="569" t="s">
        <v>1549</v>
      </c>
      <c r="I361" s="428"/>
      <c r="J361" s="258" t="s">
        <v>1511</v>
      </c>
      <c r="K361" s="314">
        <v>18000000</v>
      </c>
      <c r="L361" s="306">
        <v>0</v>
      </c>
      <c r="M361" s="280">
        <v>44593</v>
      </c>
      <c r="N361" s="280">
        <v>44925</v>
      </c>
      <c r="O361" s="263">
        <v>44652</v>
      </c>
      <c r="P361" s="264">
        <f t="shared" si="18"/>
        <v>0.17771084337349397</v>
      </c>
      <c r="Q361" s="264">
        <f t="shared" si="17"/>
        <v>0.17771084337349397</v>
      </c>
      <c r="R361" s="265">
        <v>1</v>
      </c>
      <c r="S361" s="266">
        <v>0.25</v>
      </c>
      <c r="T361" s="266">
        <v>0.5</v>
      </c>
      <c r="U361" s="266">
        <v>0.75</v>
      </c>
      <c r="V361" s="266">
        <v>1</v>
      </c>
      <c r="W361" s="266">
        <v>0</v>
      </c>
      <c r="X361" s="266" t="s">
        <v>1550</v>
      </c>
      <c r="Y361" s="331" t="s">
        <v>52</v>
      </c>
      <c r="Z361" s="306">
        <v>0</v>
      </c>
      <c r="AA361" s="462">
        <v>0.5</v>
      </c>
      <c r="AB361" s="268" t="s">
        <v>2032</v>
      </c>
      <c r="AC361" s="268" t="s">
        <v>2033</v>
      </c>
      <c r="AD361" s="306">
        <v>0</v>
      </c>
      <c r="AE361" s="522">
        <v>75</v>
      </c>
      <c r="AF361" s="268" t="s">
        <v>2366</v>
      </c>
      <c r="AG361" s="268" t="s">
        <v>2349</v>
      </c>
      <c r="AH361" s="267"/>
      <c r="AI361" s="268"/>
      <c r="AJ361" s="268"/>
      <c r="AK361" s="269"/>
    </row>
    <row r="362" spans="1:37" ht="88.5" hidden="1" customHeight="1" outlineLevel="1" x14ac:dyDescent="0.2">
      <c r="A362" s="651"/>
      <c r="B362" s="580"/>
      <c r="C362" s="580"/>
      <c r="D362" s="669"/>
      <c r="E362" s="585"/>
      <c r="F362" s="781" t="s">
        <v>1551</v>
      </c>
      <c r="G362" s="428"/>
      <c r="H362" s="569" t="s">
        <v>2367</v>
      </c>
      <c r="I362" s="819" t="s">
        <v>1186</v>
      </c>
      <c r="J362" s="258" t="s">
        <v>1511</v>
      </c>
      <c r="K362" s="314">
        <v>8000000</v>
      </c>
      <c r="L362" s="306">
        <v>0</v>
      </c>
      <c r="M362" s="280">
        <v>44593</v>
      </c>
      <c r="N362" s="280">
        <v>44925</v>
      </c>
      <c r="O362" s="263">
        <v>44652</v>
      </c>
      <c r="P362" s="264">
        <f t="shared" si="18"/>
        <v>0.17771084337349397</v>
      </c>
      <c r="Q362" s="264">
        <f t="shared" si="17"/>
        <v>0.17771084337349397</v>
      </c>
      <c r="R362" s="265">
        <v>1</v>
      </c>
      <c r="S362" s="266">
        <v>0.25</v>
      </c>
      <c r="T362" s="266">
        <v>0.5</v>
      </c>
      <c r="U362" s="266">
        <v>0.75</v>
      </c>
      <c r="V362" s="266">
        <v>1</v>
      </c>
      <c r="W362" s="266">
        <v>0.15</v>
      </c>
      <c r="X362" s="266" t="s">
        <v>1552</v>
      </c>
      <c r="Y362" s="331" t="s">
        <v>1553</v>
      </c>
      <c r="Z362" s="306">
        <v>0</v>
      </c>
      <c r="AA362" s="462">
        <v>0.5</v>
      </c>
      <c r="AB362" s="268" t="s">
        <v>2086</v>
      </c>
      <c r="AC362" s="268" t="s">
        <v>2034</v>
      </c>
      <c r="AD362" s="306">
        <v>0</v>
      </c>
      <c r="AE362" s="522">
        <v>75</v>
      </c>
      <c r="AF362" s="268" t="s">
        <v>2350</v>
      </c>
      <c r="AG362" s="268" t="s">
        <v>2349</v>
      </c>
      <c r="AH362" s="267"/>
      <c r="AI362" s="268"/>
      <c r="AJ362" s="268"/>
      <c r="AK362" s="269"/>
    </row>
    <row r="363" spans="1:37" ht="106.5" hidden="1" customHeight="1" outlineLevel="1" x14ac:dyDescent="0.2">
      <c r="A363" s="651"/>
      <c r="B363" s="580"/>
      <c r="C363" s="580"/>
      <c r="D363" s="669"/>
      <c r="E363" s="585"/>
      <c r="F363" s="586"/>
      <c r="G363" s="428"/>
      <c r="H363" s="569" t="s">
        <v>1554</v>
      </c>
      <c r="I363" s="820"/>
      <c r="J363" s="258" t="s">
        <v>1511</v>
      </c>
      <c r="K363" s="314">
        <v>10000000</v>
      </c>
      <c r="L363" s="314">
        <v>548000</v>
      </c>
      <c r="M363" s="280">
        <v>44593</v>
      </c>
      <c r="N363" s="280">
        <v>44925</v>
      </c>
      <c r="O363" s="263">
        <v>44652</v>
      </c>
      <c r="P363" s="264">
        <f t="shared" si="18"/>
        <v>0.17771084337349397</v>
      </c>
      <c r="Q363" s="264">
        <f t="shared" si="17"/>
        <v>0.17771084337349397</v>
      </c>
      <c r="R363" s="265">
        <v>1</v>
      </c>
      <c r="S363" s="266">
        <v>0.25</v>
      </c>
      <c r="T363" s="266">
        <v>0.5</v>
      </c>
      <c r="U363" s="266">
        <v>0.75</v>
      </c>
      <c r="V363" s="266">
        <v>1</v>
      </c>
      <c r="W363" s="266">
        <v>1</v>
      </c>
      <c r="X363" s="266" t="s">
        <v>1555</v>
      </c>
      <c r="Y363" s="331" t="s">
        <v>1556</v>
      </c>
      <c r="Z363" s="306">
        <v>0</v>
      </c>
      <c r="AA363" s="462">
        <v>0.5</v>
      </c>
      <c r="AB363" s="268" t="s">
        <v>2035</v>
      </c>
      <c r="AC363" s="268" t="s">
        <v>2036</v>
      </c>
      <c r="AD363" s="306">
        <v>0</v>
      </c>
      <c r="AE363" s="522">
        <v>75</v>
      </c>
      <c r="AF363" s="268" t="s">
        <v>2368</v>
      </c>
      <c r="AG363" s="268" t="s">
        <v>2349</v>
      </c>
      <c r="AH363" s="267"/>
      <c r="AI363" s="268"/>
      <c r="AJ363" s="268"/>
      <c r="AK363" s="269"/>
    </row>
    <row r="364" spans="1:37" ht="60" hidden="1" customHeight="1" outlineLevel="1" x14ac:dyDescent="0.2">
      <c r="A364" s="651"/>
      <c r="B364" s="580"/>
      <c r="C364" s="580"/>
      <c r="D364" s="669"/>
      <c r="E364" s="585"/>
      <c r="F364" s="427" t="s">
        <v>1557</v>
      </c>
      <c r="G364" s="428"/>
      <c r="H364" s="569" t="s">
        <v>1558</v>
      </c>
      <c r="I364" s="245"/>
      <c r="J364" s="258" t="s">
        <v>1559</v>
      </c>
      <c r="K364" s="314">
        <v>8500000</v>
      </c>
      <c r="L364" s="306">
        <v>0</v>
      </c>
      <c r="M364" s="280">
        <v>44593</v>
      </c>
      <c r="N364" s="280">
        <v>44925</v>
      </c>
      <c r="O364" s="263">
        <v>44652</v>
      </c>
      <c r="P364" s="264">
        <f t="shared" si="18"/>
        <v>0.17771084337349397</v>
      </c>
      <c r="Q364" s="264">
        <f t="shared" si="17"/>
        <v>0.17771084337349397</v>
      </c>
      <c r="R364" s="265">
        <v>0.5</v>
      </c>
      <c r="S364" s="266">
        <v>0.35</v>
      </c>
      <c r="T364" s="266">
        <v>0.4</v>
      </c>
      <c r="U364" s="266">
        <v>0.45</v>
      </c>
      <c r="V364" s="266">
        <v>0.5</v>
      </c>
      <c r="W364" s="266">
        <v>0.1</v>
      </c>
      <c r="X364" s="266" t="s">
        <v>1560</v>
      </c>
      <c r="Y364" s="331" t="s">
        <v>1511</v>
      </c>
      <c r="Z364" s="306">
        <v>0</v>
      </c>
      <c r="AA364" s="462">
        <v>0.4</v>
      </c>
      <c r="AB364" s="268" t="s">
        <v>2037</v>
      </c>
      <c r="AC364" s="268" t="s">
        <v>2038</v>
      </c>
      <c r="AD364" s="306">
        <v>0</v>
      </c>
      <c r="AE364" s="522">
        <v>75</v>
      </c>
      <c r="AF364" s="268" t="s">
        <v>2369</v>
      </c>
      <c r="AG364" s="268" t="s">
        <v>2349</v>
      </c>
      <c r="AH364" s="267"/>
      <c r="AI364" s="268"/>
      <c r="AJ364" s="268"/>
      <c r="AK364" s="269"/>
    </row>
    <row r="365" spans="1:37" ht="108" hidden="1" customHeight="1" outlineLevel="1" x14ac:dyDescent="0.2">
      <c r="A365" s="651"/>
      <c r="B365" s="580"/>
      <c r="C365" s="580"/>
      <c r="D365" s="669"/>
      <c r="E365" s="585"/>
      <c r="F365" s="781" t="s">
        <v>1561</v>
      </c>
      <c r="G365" s="428"/>
      <c r="H365" s="569" t="s">
        <v>1562</v>
      </c>
      <c r="I365" s="245"/>
      <c r="J365" s="258" t="s">
        <v>1563</v>
      </c>
      <c r="K365" s="314">
        <v>800000</v>
      </c>
      <c r="L365" s="306">
        <v>0</v>
      </c>
      <c r="M365" s="280">
        <v>44593</v>
      </c>
      <c r="N365" s="280">
        <v>44925</v>
      </c>
      <c r="O365" s="263">
        <v>44652</v>
      </c>
      <c r="P365" s="264">
        <f>+(+_xlfn.DAYS(M365,O365))/(+_xlfn.DAYS(M365,N365))</f>
        <v>0.17771084337349397</v>
      </c>
      <c r="Q365" s="264">
        <f>+IF(P365&gt;=100,100,IF(P365&lt;=0,0,P365))</f>
        <v>0.17771084337349397</v>
      </c>
      <c r="R365" s="265">
        <v>1</v>
      </c>
      <c r="S365" s="266">
        <v>0.25</v>
      </c>
      <c r="T365" s="266">
        <v>0.5</v>
      </c>
      <c r="U365" s="266">
        <v>0.75</v>
      </c>
      <c r="V365" s="266">
        <v>1</v>
      </c>
      <c r="W365" s="266">
        <v>0</v>
      </c>
      <c r="X365" s="266" t="s">
        <v>1564</v>
      </c>
      <c r="Y365" s="331" t="s">
        <v>52</v>
      </c>
      <c r="Z365" s="306">
        <v>0</v>
      </c>
      <c r="AA365" s="462">
        <v>0.3</v>
      </c>
      <c r="AB365" s="268" t="s">
        <v>2039</v>
      </c>
      <c r="AC365" s="268" t="s">
        <v>2040</v>
      </c>
      <c r="AD365" s="306">
        <v>0</v>
      </c>
      <c r="AE365" s="522">
        <v>50</v>
      </c>
      <c r="AF365" s="268" t="s">
        <v>2370</v>
      </c>
      <c r="AG365" s="268" t="s">
        <v>2349</v>
      </c>
      <c r="AH365" s="267"/>
      <c r="AI365" s="268"/>
      <c r="AJ365" s="268"/>
      <c r="AK365" s="269"/>
    </row>
    <row r="366" spans="1:37" ht="119.45" hidden="1" customHeight="1" outlineLevel="1" x14ac:dyDescent="0.2">
      <c r="A366" s="651"/>
      <c r="B366" s="581"/>
      <c r="C366" s="581"/>
      <c r="D366" s="670"/>
      <c r="E366" s="586"/>
      <c r="F366" s="586"/>
      <c r="G366" s="429"/>
      <c r="H366" s="569" t="s">
        <v>1565</v>
      </c>
      <c r="I366" s="245"/>
      <c r="J366" s="258" t="s">
        <v>1566</v>
      </c>
      <c r="K366" s="314">
        <v>4998000</v>
      </c>
      <c r="L366" s="306">
        <v>0</v>
      </c>
      <c r="M366" s="280">
        <v>44593</v>
      </c>
      <c r="N366" s="280">
        <v>44925</v>
      </c>
      <c r="O366" s="263">
        <v>44652</v>
      </c>
      <c r="P366" s="264">
        <f t="shared" si="18"/>
        <v>0.17771084337349397</v>
      </c>
      <c r="Q366" s="264">
        <f t="shared" si="17"/>
        <v>0.17771084337349397</v>
      </c>
      <c r="R366" s="265">
        <v>1</v>
      </c>
      <c r="S366" s="266">
        <v>0.25</v>
      </c>
      <c r="T366" s="266">
        <v>0.5</v>
      </c>
      <c r="U366" s="266">
        <v>0.75</v>
      </c>
      <c r="V366" s="266">
        <v>1</v>
      </c>
      <c r="W366" s="266">
        <v>0</v>
      </c>
      <c r="X366" s="266" t="s">
        <v>1567</v>
      </c>
      <c r="Y366" s="331" t="s">
        <v>52</v>
      </c>
      <c r="Z366" s="306">
        <v>0</v>
      </c>
      <c r="AA366" s="462">
        <v>0.4</v>
      </c>
      <c r="AB366" s="268" t="s">
        <v>2041</v>
      </c>
      <c r="AC366" s="268" t="s">
        <v>2040</v>
      </c>
      <c r="AD366" s="306">
        <v>0</v>
      </c>
      <c r="AE366" s="522">
        <v>60</v>
      </c>
      <c r="AF366" s="268" t="s">
        <v>2372</v>
      </c>
      <c r="AG366" s="453" t="s">
        <v>2371</v>
      </c>
      <c r="AH366" s="267"/>
      <c r="AI366" s="268"/>
      <c r="AJ366" s="268"/>
      <c r="AK366" s="269"/>
    </row>
    <row r="367" spans="1:37" ht="161.25" hidden="1" customHeight="1" outlineLevel="1" x14ac:dyDescent="0.2">
      <c r="A367" s="651"/>
      <c r="B367" s="575" t="s">
        <v>849</v>
      </c>
      <c r="C367" s="575" t="s">
        <v>1166</v>
      </c>
      <c r="D367" s="587" t="s">
        <v>1568</v>
      </c>
      <c r="E367" s="1" t="s">
        <v>1569</v>
      </c>
      <c r="F367" s="1" t="s">
        <v>1570</v>
      </c>
      <c r="G367" s="2" t="s">
        <v>213</v>
      </c>
      <c r="H367" s="196" t="s">
        <v>1571</v>
      </c>
      <c r="I367" s="2" t="s">
        <v>1572</v>
      </c>
      <c r="J367" s="9" t="s">
        <v>1573</v>
      </c>
      <c r="K367" s="9" t="s">
        <v>1574</v>
      </c>
      <c r="L367" s="306">
        <v>0</v>
      </c>
      <c r="M367" s="280">
        <v>44593</v>
      </c>
      <c r="N367" s="280">
        <v>44925</v>
      </c>
      <c r="O367" s="263">
        <v>44652</v>
      </c>
      <c r="P367" s="264">
        <f t="shared" si="18"/>
        <v>0.17771084337349397</v>
      </c>
      <c r="Q367" s="264">
        <f t="shared" ref="Q367:Q411" si="19">+IF(P367&gt;=100,100,IF(P367&lt;=0,0,P367))</f>
        <v>0.17771084337349397</v>
      </c>
      <c r="R367" s="265">
        <v>0.5</v>
      </c>
      <c r="S367" s="266">
        <v>0.32</v>
      </c>
      <c r="T367" s="266">
        <v>0.35</v>
      </c>
      <c r="U367" s="266">
        <v>0.42</v>
      </c>
      <c r="V367" s="266">
        <v>1</v>
      </c>
      <c r="W367" s="266">
        <v>0.1</v>
      </c>
      <c r="X367" s="266" t="s">
        <v>1575</v>
      </c>
      <c r="Y367" s="331" t="s">
        <v>249</v>
      </c>
      <c r="Z367" s="306">
        <v>0</v>
      </c>
      <c r="AA367" s="266">
        <v>0.2</v>
      </c>
      <c r="AB367" s="268" t="s">
        <v>1576</v>
      </c>
      <c r="AC367" s="268" t="s">
        <v>52</v>
      </c>
      <c r="AD367" s="306">
        <v>0</v>
      </c>
      <c r="AE367" s="522">
        <v>35</v>
      </c>
      <c r="AF367" s="268" t="s">
        <v>2492</v>
      </c>
      <c r="AG367" s="268" t="s">
        <v>2524</v>
      </c>
      <c r="AH367" s="267"/>
      <c r="AI367" s="268"/>
      <c r="AJ367" s="268"/>
      <c r="AK367" s="269"/>
    </row>
    <row r="368" spans="1:37" ht="208.5" hidden="1" customHeight="1" outlineLevel="1" x14ac:dyDescent="0.2">
      <c r="A368" s="651"/>
      <c r="B368" s="576"/>
      <c r="C368" s="576"/>
      <c r="D368" s="588"/>
      <c r="E368" s="582" t="s">
        <v>1577</v>
      </c>
      <c r="F368" s="682" t="s">
        <v>1167</v>
      </c>
      <c r="G368" s="679" t="s">
        <v>213</v>
      </c>
      <c r="H368" s="196" t="s">
        <v>1578</v>
      </c>
      <c r="I368" s="679" t="s">
        <v>1168</v>
      </c>
      <c r="J368" s="9" t="s">
        <v>1579</v>
      </c>
      <c r="K368" s="9" t="s">
        <v>1574</v>
      </c>
      <c r="L368" s="306">
        <v>0</v>
      </c>
      <c r="M368" s="280">
        <v>44593</v>
      </c>
      <c r="N368" s="280">
        <v>44925</v>
      </c>
      <c r="O368" s="263">
        <v>44652</v>
      </c>
      <c r="P368" s="264">
        <f t="shared" si="18"/>
        <v>0.17771084337349397</v>
      </c>
      <c r="Q368" s="264">
        <f t="shared" si="19"/>
        <v>0.17771084337349397</v>
      </c>
      <c r="R368" s="265">
        <v>0.5</v>
      </c>
      <c r="S368" s="266">
        <v>0.35</v>
      </c>
      <c r="T368" s="266">
        <v>0.4</v>
      </c>
      <c r="U368" s="266">
        <v>0.45</v>
      </c>
      <c r="V368" s="266">
        <v>0.5</v>
      </c>
      <c r="W368" s="266">
        <v>0.1</v>
      </c>
      <c r="X368" s="266" t="s">
        <v>1580</v>
      </c>
      <c r="Y368" s="331" t="s">
        <v>52</v>
      </c>
      <c r="Z368" s="306">
        <v>0</v>
      </c>
      <c r="AA368" s="266">
        <v>0.5</v>
      </c>
      <c r="AB368" s="268" t="s">
        <v>1581</v>
      </c>
      <c r="AC368" s="268" t="s">
        <v>52</v>
      </c>
      <c r="AD368" s="306">
        <v>0</v>
      </c>
      <c r="AE368" s="522">
        <v>75</v>
      </c>
      <c r="AF368" s="268" t="s">
        <v>2373</v>
      </c>
      <c r="AG368" s="268" t="s">
        <v>2524</v>
      </c>
      <c r="AH368" s="267"/>
      <c r="AI368" s="268"/>
      <c r="AJ368" s="268"/>
      <c r="AK368" s="269"/>
    </row>
    <row r="369" spans="1:37" ht="96" hidden="1" customHeight="1" outlineLevel="1" x14ac:dyDescent="0.2">
      <c r="A369" s="651"/>
      <c r="B369" s="576"/>
      <c r="C369" s="576"/>
      <c r="D369" s="588"/>
      <c r="E369" s="583"/>
      <c r="F369" s="683"/>
      <c r="G369" s="680"/>
      <c r="H369" s="196" t="s">
        <v>1582</v>
      </c>
      <c r="I369" s="680"/>
      <c r="J369" s="9" t="s">
        <v>1583</v>
      </c>
      <c r="K369" s="316">
        <v>24000000</v>
      </c>
      <c r="L369" s="306">
        <v>0</v>
      </c>
      <c r="M369" s="280">
        <v>44593</v>
      </c>
      <c r="N369" s="280">
        <v>44925</v>
      </c>
      <c r="O369" s="263">
        <v>44652</v>
      </c>
      <c r="P369" s="264">
        <f t="shared" si="18"/>
        <v>0.17771084337349397</v>
      </c>
      <c r="Q369" s="264">
        <f t="shared" si="19"/>
        <v>0.17771084337349397</v>
      </c>
      <c r="R369" s="265">
        <v>1</v>
      </c>
      <c r="S369" s="266">
        <v>0.25</v>
      </c>
      <c r="T369" s="266">
        <v>0.5</v>
      </c>
      <c r="U369" s="266">
        <v>0.75</v>
      </c>
      <c r="V369" s="266">
        <v>1</v>
      </c>
      <c r="W369" s="266">
        <v>0</v>
      </c>
      <c r="X369" s="266" t="s">
        <v>1584</v>
      </c>
      <c r="Y369" s="331" t="s">
        <v>52</v>
      </c>
      <c r="Z369" s="306">
        <v>0</v>
      </c>
      <c r="AA369" s="266">
        <v>0</v>
      </c>
      <c r="AB369" s="268" t="s">
        <v>1585</v>
      </c>
      <c r="AC369" s="268" t="s">
        <v>52</v>
      </c>
      <c r="AD369" s="306">
        <v>0</v>
      </c>
      <c r="AE369" s="522">
        <v>0</v>
      </c>
      <c r="AF369" s="268" t="s">
        <v>2374</v>
      </c>
      <c r="AG369" s="268" t="s">
        <v>2507</v>
      </c>
      <c r="AH369" s="267"/>
      <c r="AI369" s="268"/>
      <c r="AJ369" s="268"/>
      <c r="AK369" s="269"/>
    </row>
    <row r="370" spans="1:37" ht="96" hidden="1" customHeight="1" outlineLevel="1" x14ac:dyDescent="0.2">
      <c r="A370" s="651"/>
      <c r="B370" s="576"/>
      <c r="C370" s="576"/>
      <c r="D370" s="588"/>
      <c r="E370" s="583"/>
      <c r="F370" s="683"/>
      <c r="G370" s="680"/>
      <c r="H370" s="196" t="s">
        <v>1586</v>
      </c>
      <c r="I370" s="680"/>
      <c r="J370" s="9" t="s">
        <v>1587</v>
      </c>
      <c r="K370" s="316">
        <v>2200000</v>
      </c>
      <c r="L370" s="306">
        <v>0</v>
      </c>
      <c r="M370" s="280">
        <v>44593</v>
      </c>
      <c r="N370" s="280">
        <v>44925</v>
      </c>
      <c r="O370" s="263">
        <v>44652</v>
      </c>
      <c r="P370" s="264">
        <f t="shared" si="18"/>
        <v>0.17771084337349397</v>
      </c>
      <c r="Q370" s="264">
        <f t="shared" si="19"/>
        <v>0.17771084337349397</v>
      </c>
      <c r="R370" s="265">
        <v>1</v>
      </c>
      <c r="S370" s="266">
        <v>0.25</v>
      </c>
      <c r="T370" s="266">
        <v>0.5</v>
      </c>
      <c r="U370" s="266">
        <v>0.75</v>
      </c>
      <c r="V370" s="266">
        <v>1</v>
      </c>
      <c r="W370" s="266">
        <v>0.15</v>
      </c>
      <c r="X370" s="266" t="s">
        <v>1588</v>
      </c>
      <c r="Y370" s="331" t="s">
        <v>52</v>
      </c>
      <c r="Z370" s="306">
        <v>0</v>
      </c>
      <c r="AA370" s="266">
        <v>0.5</v>
      </c>
      <c r="AB370" s="268" t="s">
        <v>1589</v>
      </c>
      <c r="AC370" s="268" t="s">
        <v>52</v>
      </c>
      <c r="AD370" s="306">
        <v>0</v>
      </c>
      <c r="AE370" s="522">
        <v>50</v>
      </c>
      <c r="AF370" s="268" t="s">
        <v>2374</v>
      </c>
      <c r="AG370" s="268" t="s">
        <v>2524</v>
      </c>
      <c r="AH370" s="267"/>
      <c r="AI370" s="268"/>
      <c r="AJ370" s="268"/>
      <c r="AK370" s="269"/>
    </row>
    <row r="371" spans="1:37" ht="96" hidden="1" customHeight="1" outlineLevel="1" x14ac:dyDescent="0.2">
      <c r="A371" s="651"/>
      <c r="B371" s="576"/>
      <c r="C371" s="576"/>
      <c r="D371" s="588"/>
      <c r="E371" s="583"/>
      <c r="F371" s="684"/>
      <c r="G371" s="681"/>
      <c r="H371" s="196" t="s">
        <v>1590</v>
      </c>
      <c r="I371" s="681"/>
      <c r="J371" s="9" t="s">
        <v>1591</v>
      </c>
      <c r="K371" s="316">
        <v>4400000</v>
      </c>
      <c r="L371" s="306">
        <v>0</v>
      </c>
      <c r="M371" s="280">
        <v>44593</v>
      </c>
      <c r="N371" s="280">
        <v>44925</v>
      </c>
      <c r="O371" s="263">
        <v>44652</v>
      </c>
      <c r="P371" s="264">
        <f t="shared" si="18"/>
        <v>0.17771084337349397</v>
      </c>
      <c r="Q371" s="264">
        <f t="shared" si="19"/>
        <v>0.17771084337349397</v>
      </c>
      <c r="R371" s="265">
        <v>1</v>
      </c>
      <c r="S371" s="266">
        <v>0.25</v>
      </c>
      <c r="T371" s="266">
        <v>0.5</v>
      </c>
      <c r="U371" s="266">
        <v>0.75</v>
      </c>
      <c r="V371" s="266">
        <v>1</v>
      </c>
      <c r="W371" s="266">
        <v>0.15</v>
      </c>
      <c r="X371" s="266" t="s">
        <v>1592</v>
      </c>
      <c r="Y371" s="331" t="s">
        <v>52</v>
      </c>
      <c r="Z371" s="306">
        <v>0</v>
      </c>
      <c r="AA371" s="266">
        <v>0.15</v>
      </c>
      <c r="AB371" s="268" t="s">
        <v>472</v>
      </c>
      <c r="AC371" s="268" t="s">
        <v>52</v>
      </c>
      <c r="AD371" s="306">
        <v>0</v>
      </c>
      <c r="AE371" s="522">
        <v>75</v>
      </c>
      <c r="AF371" s="268" t="s">
        <v>2375</v>
      </c>
      <c r="AG371" s="268" t="s">
        <v>2524</v>
      </c>
      <c r="AH371" s="267"/>
      <c r="AI371" s="268"/>
      <c r="AJ371" s="268"/>
      <c r="AK371" s="269"/>
    </row>
    <row r="372" spans="1:37" ht="96" hidden="1" customHeight="1" outlineLevel="1" x14ac:dyDescent="0.2">
      <c r="A372" s="651"/>
      <c r="B372" s="576"/>
      <c r="C372" s="576"/>
      <c r="D372" s="588"/>
      <c r="E372" s="583"/>
      <c r="F372" s="682" t="s">
        <v>1593</v>
      </c>
      <c r="G372" s="679" t="s">
        <v>213</v>
      </c>
      <c r="H372" s="565" t="s">
        <v>1594</v>
      </c>
      <c r="I372" s="685" t="s">
        <v>1595</v>
      </c>
      <c r="J372" s="9" t="s">
        <v>1596</v>
      </c>
      <c r="K372" s="281" t="s">
        <v>52</v>
      </c>
      <c r="L372" s="306">
        <v>0</v>
      </c>
      <c r="M372" s="280">
        <v>44593</v>
      </c>
      <c r="N372" s="280">
        <v>44925</v>
      </c>
      <c r="O372" s="263">
        <v>44652</v>
      </c>
      <c r="P372" s="264">
        <f t="shared" si="18"/>
        <v>0.17771084337349397</v>
      </c>
      <c r="Q372" s="264">
        <f t="shared" si="19"/>
        <v>0.17771084337349397</v>
      </c>
      <c r="R372" s="265">
        <v>0.5</v>
      </c>
      <c r="S372" s="266">
        <v>0.42</v>
      </c>
      <c r="T372" s="266">
        <v>0.44</v>
      </c>
      <c r="U372" s="266">
        <v>0.48</v>
      </c>
      <c r="V372" s="266">
        <v>0.5</v>
      </c>
      <c r="W372" s="266">
        <v>0.05</v>
      </c>
      <c r="X372" s="335" t="s">
        <v>1597</v>
      </c>
      <c r="Y372" s="331" t="s">
        <v>52</v>
      </c>
      <c r="Z372" s="306">
        <v>0</v>
      </c>
      <c r="AA372" s="266">
        <v>0.05</v>
      </c>
      <c r="AB372" s="268" t="s">
        <v>2042</v>
      </c>
      <c r="AC372" s="268" t="s">
        <v>52</v>
      </c>
      <c r="AD372" s="306">
        <v>0</v>
      </c>
      <c r="AE372" s="522">
        <v>5</v>
      </c>
      <c r="AF372" s="268" t="s">
        <v>2376</v>
      </c>
      <c r="AG372" s="268" t="s">
        <v>52</v>
      </c>
      <c r="AH372" s="267"/>
      <c r="AI372" s="268"/>
      <c r="AJ372" s="268"/>
      <c r="AK372" s="269"/>
    </row>
    <row r="373" spans="1:37" ht="96" hidden="1" customHeight="1" outlineLevel="1" x14ac:dyDescent="0.2">
      <c r="A373" s="651"/>
      <c r="B373" s="576"/>
      <c r="C373" s="576"/>
      <c r="D373" s="588"/>
      <c r="E373" s="583"/>
      <c r="F373" s="683"/>
      <c r="G373" s="680"/>
      <c r="H373" s="565" t="s">
        <v>1598</v>
      </c>
      <c r="I373" s="686"/>
      <c r="J373" s="9" t="s">
        <v>1599</v>
      </c>
      <c r="K373" s="316">
        <v>2268000</v>
      </c>
      <c r="L373" s="316">
        <v>2268000</v>
      </c>
      <c r="M373" s="280">
        <v>44593</v>
      </c>
      <c r="N373" s="280">
        <v>44925</v>
      </c>
      <c r="O373" s="263">
        <v>44652</v>
      </c>
      <c r="P373" s="264">
        <f t="shared" si="18"/>
        <v>0.17771084337349397</v>
      </c>
      <c r="Q373" s="264">
        <f t="shared" si="19"/>
        <v>0.17771084337349397</v>
      </c>
      <c r="R373" s="265">
        <v>1</v>
      </c>
      <c r="S373" s="266">
        <v>0.25</v>
      </c>
      <c r="T373" s="266">
        <v>0.5</v>
      </c>
      <c r="U373" s="266">
        <v>0.75</v>
      </c>
      <c r="V373" s="266">
        <v>1</v>
      </c>
      <c r="W373" s="266">
        <v>1</v>
      </c>
      <c r="X373" s="266" t="s">
        <v>1600</v>
      </c>
      <c r="Y373" s="331" t="s">
        <v>303</v>
      </c>
      <c r="Z373" s="306">
        <v>0</v>
      </c>
      <c r="AA373" s="266">
        <v>1</v>
      </c>
      <c r="AB373" s="268" t="s">
        <v>1601</v>
      </c>
      <c r="AC373" s="268" t="s">
        <v>52</v>
      </c>
      <c r="AD373" s="306">
        <v>0</v>
      </c>
      <c r="AE373" s="522">
        <v>100</v>
      </c>
      <c r="AF373" s="268" t="s">
        <v>1601</v>
      </c>
      <c r="AG373" s="268" t="s">
        <v>52</v>
      </c>
      <c r="AH373" s="267"/>
      <c r="AI373" s="268"/>
      <c r="AJ373" s="268"/>
      <c r="AK373" s="269"/>
    </row>
    <row r="374" spans="1:37" ht="96" hidden="1" customHeight="1" outlineLevel="1" x14ac:dyDescent="0.2">
      <c r="A374" s="651"/>
      <c r="B374" s="576"/>
      <c r="C374" s="576"/>
      <c r="D374" s="588"/>
      <c r="E374" s="583"/>
      <c r="F374" s="683"/>
      <c r="G374" s="680"/>
      <c r="H374" s="565" t="s">
        <v>1602</v>
      </c>
      <c r="I374" s="686"/>
      <c r="J374" s="9" t="s">
        <v>1599</v>
      </c>
      <c r="K374" s="316">
        <v>2268000</v>
      </c>
      <c r="L374" s="316">
        <v>2268000</v>
      </c>
      <c r="M374" s="280">
        <v>44593</v>
      </c>
      <c r="N374" s="280">
        <v>44925</v>
      </c>
      <c r="O374" s="263">
        <v>44652</v>
      </c>
      <c r="P374" s="264">
        <f t="shared" si="18"/>
        <v>0.17771084337349397</v>
      </c>
      <c r="Q374" s="264">
        <f t="shared" si="19"/>
        <v>0.17771084337349397</v>
      </c>
      <c r="R374" s="265">
        <v>1</v>
      </c>
      <c r="S374" s="266">
        <v>0.25</v>
      </c>
      <c r="T374" s="266">
        <v>0.5</v>
      </c>
      <c r="U374" s="266">
        <v>0.75</v>
      </c>
      <c r="V374" s="266">
        <v>1</v>
      </c>
      <c r="W374" s="266">
        <v>1</v>
      </c>
      <c r="X374" s="266" t="s">
        <v>1603</v>
      </c>
      <c r="Y374" s="331" t="s">
        <v>303</v>
      </c>
      <c r="Z374" s="306">
        <v>0</v>
      </c>
      <c r="AA374" s="266">
        <v>1</v>
      </c>
      <c r="AB374" s="268" t="s">
        <v>1601</v>
      </c>
      <c r="AC374" s="268" t="s">
        <v>52</v>
      </c>
      <c r="AD374" s="306">
        <v>0</v>
      </c>
      <c r="AE374" s="522">
        <v>100</v>
      </c>
      <c r="AF374" s="268" t="s">
        <v>1601</v>
      </c>
      <c r="AG374" s="268" t="s">
        <v>52</v>
      </c>
      <c r="AH374" s="267"/>
      <c r="AI374" s="268"/>
      <c r="AJ374" s="268"/>
      <c r="AK374" s="269"/>
    </row>
    <row r="375" spans="1:37" ht="96" hidden="1" customHeight="1" outlineLevel="1" x14ac:dyDescent="0.2">
      <c r="A375" s="651"/>
      <c r="B375" s="576"/>
      <c r="C375" s="576"/>
      <c r="D375" s="588"/>
      <c r="E375" s="583"/>
      <c r="F375" s="683"/>
      <c r="G375" s="680"/>
      <c r="H375" s="565" t="s">
        <v>1604</v>
      </c>
      <c r="I375" s="686"/>
      <c r="J375" s="9" t="s">
        <v>1599</v>
      </c>
      <c r="K375" s="316">
        <v>4536000</v>
      </c>
      <c r="L375" s="316">
        <v>4536000</v>
      </c>
      <c r="M375" s="280">
        <v>44593</v>
      </c>
      <c r="N375" s="280">
        <v>44925</v>
      </c>
      <c r="O375" s="263">
        <v>44652</v>
      </c>
      <c r="P375" s="264">
        <f t="shared" si="18"/>
        <v>0.17771084337349397</v>
      </c>
      <c r="Q375" s="264">
        <f t="shared" si="19"/>
        <v>0.17771084337349397</v>
      </c>
      <c r="R375" s="265">
        <v>1</v>
      </c>
      <c r="S375" s="266">
        <v>0.25</v>
      </c>
      <c r="T375" s="266">
        <v>0.5</v>
      </c>
      <c r="U375" s="266">
        <v>0.75</v>
      </c>
      <c r="V375" s="266">
        <v>1</v>
      </c>
      <c r="W375" s="266">
        <v>1</v>
      </c>
      <c r="X375" s="266" t="s">
        <v>1605</v>
      </c>
      <c r="Y375" s="331" t="s">
        <v>303</v>
      </c>
      <c r="Z375" s="306">
        <v>0</v>
      </c>
      <c r="AA375" s="266">
        <v>1</v>
      </c>
      <c r="AB375" s="268" t="s">
        <v>1601</v>
      </c>
      <c r="AC375" s="268" t="s">
        <v>52</v>
      </c>
      <c r="AD375" s="306">
        <v>0</v>
      </c>
      <c r="AE375" s="522">
        <v>100</v>
      </c>
      <c r="AF375" s="268" t="s">
        <v>1601</v>
      </c>
      <c r="AG375" s="268" t="s">
        <v>52</v>
      </c>
      <c r="AH375" s="267"/>
      <c r="AI375" s="268"/>
      <c r="AJ375" s="268"/>
      <c r="AK375" s="269"/>
    </row>
    <row r="376" spans="1:37" ht="96" hidden="1" customHeight="1" outlineLevel="1" x14ac:dyDescent="0.2">
      <c r="A376" s="651"/>
      <c r="B376" s="576"/>
      <c r="C376" s="576"/>
      <c r="D376" s="588"/>
      <c r="E376" s="583"/>
      <c r="F376" s="683"/>
      <c r="G376" s="680"/>
      <c r="H376" s="565" t="s">
        <v>1606</v>
      </c>
      <c r="I376" s="686"/>
      <c r="J376" s="9" t="s">
        <v>1599</v>
      </c>
      <c r="K376" s="316">
        <v>4536000</v>
      </c>
      <c r="L376" s="316">
        <v>4536000</v>
      </c>
      <c r="M376" s="280">
        <v>44593</v>
      </c>
      <c r="N376" s="280">
        <v>44925</v>
      </c>
      <c r="O376" s="263">
        <v>44652</v>
      </c>
      <c r="P376" s="264">
        <f t="shared" si="18"/>
        <v>0.17771084337349397</v>
      </c>
      <c r="Q376" s="264">
        <f t="shared" si="19"/>
        <v>0.17771084337349397</v>
      </c>
      <c r="R376" s="265">
        <v>1</v>
      </c>
      <c r="S376" s="266">
        <v>0.25</v>
      </c>
      <c r="T376" s="266">
        <v>0.5</v>
      </c>
      <c r="U376" s="266">
        <v>0.75</v>
      </c>
      <c r="V376" s="266">
        <v>1</v>
      </c>
      <c r="W376" s="266">
        <v>1</v>
      </c>
      <c r="X376" s="266" t="s">
        <v>1607</v>
      </c>
      <c r="Y376" s="331" t="s">
        <v>303</v>
      </c>
      <c r="Z376" s="306">
        <v>0</v>
      </c>
      <c r="AA376" s="266">
        <v>1</v>
      </c>
      <c r="AB376" s="268" t="s">
        <v>1601</v>
      </c>
      <c r="AC376" s="268" t="s">
        <v>52</v>
      </c>
      <c r="AD376" s="306">
        <v>0</v>
      </c>
      <c r="AE376" s="522">
        <v>100</v>
      </c>
      <c r="AF376" s="268" t="s">
        <v>1601</v>
      </c>
      <c r="AG376" s="268" t="s">
        <v>52</v>
      </c>
      <c r="AH376" s="267"/>
      <c r="AI376" s="268"/>
      <c r="AJ376" s="268"/>
      <c r="AK376" s="269"/>
    </row>
    <row r="377" spans="1:37" ht="96" hidden="1" customHeight="1" outlineLevel="1" x14ac:dyDescent="0.2">
      <c r="A377" s="651"/>
      <c r="B377" s="576"/>
      <c r="C377" s="576"/>
      <c r="D377" s="588"/>
      <c r="E377" s="583"/>
      <c r="F377" s="683"/>
      <c r="G377" s="680"/>
      <c r="H377" s="565" t="s">
        <v>1608</v>
      </c>
      <c r="I377" s="686"/>
      <c r="J377" s="9"/>
      <c r="K377" s="316">
        <v>1512000</v>
      </c>
      <c r="L377" s="316">
        <v>1512000</v>
      </c>
      <c r="M377" s="280">
        <v>44593</v>
      </c>
      <c r="N377" s="280">
        <v>44925</v>
      </c>
      <c r="O377" s="263">
        <v>44652</v>
      </c>
      <c r="P377" s="264">
        <f t="shared" si="18"/>
        <v>0.17771084337349397</v>
      </c>
      <c r="Q377" s="264">
        <f t="shared" si="19"/>
        <v>0.17771084337349397</v>
      </c>
      <c r="R377" s="265">
        <v>1</v>
      </c>
      <c r="S377" s="266">
        <v>0.25</v>
      </c>
      <c r="T377" s="266">
        <v>0.5</v>
      </c>
      <c r="U377" s="266">
        <v>0.75</v>
      </c>
      <c r="V377" s="266">
        <v>1</v>
      </c>
      <c r="W377" s="266">
        <v>1</v>
      </c>
      <c r="X377" s="266" t="s">
        <v>1609</v>
      </c>
      <c r="Y377" s="331" t="s">
        <v>303</v>
      </c>
      <c r="Z377" s="306">
        <v>0</v>
      </c>
      <c r="AA377" s="266">
        <v>1</v>
      </c>
      <c r="AB377" s="268" t="s">
        <v>1601</v>
      </c>
      <c r="AC377" s="268" t="s">
        <v>52</v>
      </c>
      <c r="AD377" s="306">
        <v>0</v>
      </c>
      <c r="AE377" s="522">
        <v>100</v>
      </c>
      <c r="AF377" s="268" t="s">
        <v>1601</v>
      </c>
      <c r="AG377" s="268" t="s">
        <v>52</v>
      </c>
      <c r="AH377" s="267"/>
      <c r="AI377" s="268"/>
      <c r="AJ377" s="268"/>
      <c r="AK377" s="269"/>
    </row>
    <row r="378" spans="1:37" ht="96" hidden="1" customHeight="1" outlineLevel="1" x14ac:dyDescent="0.2">
      <c r="A378" s="651"/>
      <c r="B378" s="576"/>
      <c r="C378" s="576"/>
      <c r="D378" s="588"/>
      <c r="E378" s="583"/>
      <c r="F378" s="683"/>
      <c r="G378" s="680"/>
      <c r="H378" s="565" t="s">
        <v>1610</v>
      </c>
      <c r="I378" s="686"/>
      <c r="J378" s="9" t="s">
        <v>540</v>
      </c>
      <c r="K378" s="316">
        <v>2160000</v>
      </c>
      <c r="L378" s="306">
        <v>0</v>
      </c>
      <c r="M378" s="280">
        <v>44593</v>
      </c>
      <c r="N378" s="280">
        <v>44925</v>
      </c>
      <c r="O378" s="263">
        <v>44652</v>
      </c>
      <c r="P378" s="264">
        <f t="shared" si="18"/>
        <v>0.17771084337349397</v>
      </c>
      <c r="Q378" s="264">
        <f t="shared" si="19"/>
        <v>0.17771084337349397</v>
      </c>
      <c r="R378" s="265">
        <v>1</v>
      </c>
      <c r="S378" s="266">
        <v>0.25</v>
      </c>
      <c r="T378" s="266">
        <v>0.5</v>
      </c>
      <c r="U378" s="266">
        <v>0.75</v>
      </c>
      <c r="V378" s="266">
        <v>1</v>
      </c>
      <c r="W378" s="266">
        <v>0</v>
      </c>
      <c r="X378" s="266" t="s">
        <v>1212</v>
      </c>
      <c r="Y378" s="331" t="s">
        <v>52</v>
      </c>
      <c r="Z378" s="306">
        <v>0</v>
      </c>
      <c r="AA378" s="266">
        <v>0.75</v>
      </c>
      <c r="AB378" s="268" t="s">
        <v>1611</v>
      </c>
      <c r="AC378" s="268" t="s">
        <v>52</v>
      </c>
      <c r="AD378" s="522">
        <v>1900000</v>
      </c>
      <c r="AE378" s="522">
        <v>80</v>
      </c>
      <c r="AF378" s="268" t="s">
        <v>2377</v>
      </c>
      <c r="AG378" s="268" t="s">
        <v>2524</v>
      </c>
      <c r="AH378" s="267"/>
      <c r="AI378" s="268"/>
      <c r="AJ378" s="268"/>
      <c r="AK378" s="269"/>
    </row>
    <row r="379" spans="1:37" ht="96" hidden="1" customHeight="1" outlineLevel="1" x14ac:dyDescent="0.2">
      <c r="A379" s="651"/>
      <c r="B379" s="576"/>
      <c r="C379" s="576"/>
      <c r="D379" s="588"/>
      <c r="E379" s="583"/>
      <c r="F379" s="683"/>
      <c r="G379" s="680"/>
      <c r="H379" s="565" t="s">
        <v>1612</v>
      </c>
      <c r="I379" s="686"/>
      <c r="J379" s="9" t="s">
        <v>1414</v>
      </c>
      <c r="K379" s="316">
        <v>2160000</v>
      </c>
      <c r="L379" s="306">
        <v>0</v>
      </c>
      <c r="M379" s="280">
        <v>44593</v>
      </c>
      <c r="N379" s="280">
        <v>44925</v>
      </c>
      <c r="O379" s="263">
        <v>44652</v>
      </c>
      <c r="P379" s="264">
        <f t="shared" si="18"/>
        <v>0.17771084337349397</v>
      </c>
      <c r="Q379" s="264">
        <f t="shared" si="19"/>
        <v>0.17771084337349397</v>
      </c>
      <c r="R379" s="265">
        <v>1</v>
      </c>
      <c r="S379" s="266">
        <v>0.25</v>
      </c>
      <c r="T379" s="266">
        <v>0.5</v>
      </c>
      <c r="U379" s="266">
        <v>0.75</v>
      </c>
      <c r="V379" s="266">
        <v>1</v>
      </c>
      <c r="W379" s="266">
        <v>0</v>
      </c>
      <c r="X379" s="266" t="s">
        <v>1212</v>
      </c>
      <c r="Y379" s="331" t="s">
        <v>52</v>
      </c>
      <c r="Z379" s="306">
        <v>0</v>
      </c>
      <c r="AA379" s="266">
        <v>0.75</v>
      </c>
      <c r="AB379" s="268" t="s">
        <v>1611</v>
      </c>
      <c r="AC379" s="268" t="s">
        <v>52</v>
      </c>
      <c r="AD379" s="522">
        <v>1900000</v>
      </c>
      <c r="AE379" s="522">
        <v>80</v>
      </c>
      <c r="AF379" s="268" t="s">
        <v>2377</v>
      </c>
      <c r="AG379" s="268" t="s">
        <v>2524</v>
      </c>
      <c r="AH379" s="267"/>
      <c r="AI379" s="268"/>
      <c r="AJ379" s="268"/>
      <c r="AK379" s="269"/>
    </row>
    <row r="380" spans="1:37" ht="96" hidden="1" customHeight="1" outlineLevel="1" x14ac:dyDescent="0.2">
      <c r="A380" s="651"/>
      <c r="B380" s="576"/>
      <c r="C380" s="576"/>
      <c r="D380" s="588"/>
      <c r="E380" s="583"/>
      <c r="F380" s="683"/>
      <c r="G380" s="680"/>
      <c r="H380" s="565" t="s">
        <v>1613</v>
      </c>
      <c r="I380" s="686"/>
      <c r="J380" s="9" t="s">
        <v>540</v>
      </c>
      <c r="K380" s="316">
        <v>4320000</v>
      </c>
      <c r="L380" s="306">
        <v>0</v>
      </c>
      <c r="M380" s="280">
        <v>44593</v>
      </c>
      <c r="N380" s="280">
        <v>44925</v>
      </c>
      <c r="O380" s="263">
        <v>44652</v>
      </c>
      <c r="P380" s="264">
        <f t="shared" si="18"/>
        <v>0.17771084337349397</v>
      </c>
      <c r="Q380" s="264">
        <f t="shared" si="19"/>
        <v>0.17771084337349397</v>
      </c>
      <c r="R380" s="265">
        <v>1</v>
      </c>
      <c r="S380" s="266">
        <v>0.25</v>
      </c>
      <c r="T380" s="266">
        <v>0.5</v>
      </c>
      <c r="U380" s="266">
        <v>0.75</v>
      </c>
      <c r="V380" s="266">
        <v>1</v>
      </c>
      <c r="W380" s="266">
        <v>0</v>
      </c>
      <c r="X380" s="266" t="s">
        <v>1212</v>
      </c>
      <c r="Y380" s="331" t="s">
        <v>52</v>
      </c>
      <c r="Z380" s="306">
        <v>0</v>
      </c>
      <c r="AA380" s="266">
        <v>0.75</v>
      </c>
      <c r="AB380" s="268" t="s">
        <v>1611</v>
      </c>
      <c r="AC380" s="268" t="s">
        <v>52</v>
      </c>
      <c r="AD380" s="522">
        <v>4536000</v>
      </c>
      <c r="AE380" s="522">
        <v>80</v>
      </c>
      <c r="AF380" s="268" t="s">
        <v>2377</v>
      </c>
      <c r="AG380" s="268" t="s">
        <v>2524</v>
      </c>
      <c r="AH380" s="267"/>
      <c r="AI380" s="268"/>
      <c r="AJ380" s="268"/>
      <c r="AK380" s="269"/>
    </row>
    <row r="381" spans="1:37" ht="96" hidden="1" customHeight="1" outlineLevel="1" x14ac:dyDescent="0.2">
      <c r="A381" s="651"/>
      <c r="B381" s="576"/>
      <c r="C381" s="576"/>
      <c r="D381" s="588"/>
      <c r="E381" s="583"/>
      <c r="F381" s="683"/>
      <c r="G381" s="680"/>
      <c r="H381" s="565" t="s">
        <v>1614</v>
      </c>
      <c r="I381" s="686"/>
      <c r="J381" s="9" t="s">
        <v>540</v>
      </c>
      <c r="K381" s="316">
        <v>4320000</v>
      </c>
      <c r="L381" s="306">
        <v>0</v>
      </c>
      <c r="M381" s="280">
        <v>44593</v>
      </c>
      <c r="N381" s="280">
        <v>44925</v>
      </c>
      <c r="O381" s="263">
        <v>44652</v>
      </c>
      <c r="P381" s="264">
        <f t="shared" si="18"/>
        <v>0.17771084337349397</v>
      </c>
      <c r="Q381" s="264">
        <f t="shared" si="19"/>
        <v>0.17771084337349397</v>
      </c>
      <c r="R381" s="265">
        <v>1</v>
      </c>
      <c r="S381" s="266">
        <v>0.25</v>
      </c>
      <c r="T381" s="266">
        <v>0.5</v>
      </c>
      <c r="U381" s="266">
        <v>0.75</v>
      </c>
      <c r="V381" s="266">
        <v>1</v>
      </c>
      <c r="W381" s="266">
        <v>0</v>
      </c>
      <c r="X381" s="266" t="s">
        <v>1212</v>
      </c>
      <c r="Y381" s="331" t="s">
        <v>52</v>
      </c>
      <c r="Z381" s="306">
        <v>0</v>
      </c>
      <c r="AA381" s="266">
        <v>0.75</v>
      </c>
      <c r="AB381" s="268" t="s">
        <v>1611</v>
      </c>
      <c r="AC381" s="268" t="s">
        <v>52</v>
      </c>
      <c r="AD381" s="522">
        <v>4536000</v>
      </c>
      <c r="AE381" s="522">
        <v>80</v>
      </c>
      <c r="AF381" s="268" t="s">
        <v>2377</v>
      </c>
      <c r="AG381" s="268" t="s">
        <v>2524</v>
      </c>
      <c r="AH381" s="267"/>
      <c r="AI381" s="268"/>
      <c r="AJ381" s="268"/>
      <c r="AK381" s="269"/>
    </row>
    <row r="382" spans="1:37" ht="96" hidden="1" customHeight="1" outlineLevel="1" x14ac:dyDescent="0.2">
      <c r="A382" s="651"/>
      <c r="B382" s="576"/>
      <c r="C382" s="576"/>
      <c r="D382" s="588"/>
      <c r="E382" s="583"/>
      <c r="F382" s="683"/>
      <c r="G382" s="680"/>
      <c r="H382" s="565" t="s">
        <v>2508</v>
      </c>
      <c r="I382" s="686"/>
      <c r="J382" s="9" t="s">
        <v>540</v>
      </c>
      <c r="K382" s="316">
        <v>4320000</v>
      </c>
      <c r="L382" s="306"/>
      <c r="M382" s="280"/>
      <c r="N382" s="280"/>
      <c r="O382" s="263"/>
      <c r="P382" s="264"/>
      <c r="Q382" s="264"/>
      <c r="R382" s="265"/>
      <c r="S382" s="266"/>
      <c r="T382" s="266"/>
      <c r="U382" s="266"/>
      <c r="V382" s="266"/>
      <c r="W382" s="266">
        <v>0</v>
      </c>
      <c r="X382" s="266" t="s">
        <v>1212</v>
      </c>
      <c r="Y382" s="331" t="s">
        <v>52</v>
      </c>
      <c r="Z382" s="306">
        <v>0</v>
      </c>
      <c r="AA382" s="266">
        <v>0.75</v>
      </c>
      <c r="AB382" s="268" t="s">
        <v>1611</v>
      </c>
      <c r="AC382" s="268" t="s">
        <v>52</v>
      </c>
      <c r="AD382" s="522">
        <v>1502000</v>
      </c>
      <c r="AE382" s="522">
        <v>80</v>
      </c>
      <c r="AF382" s="268" t="s">
        <v>2377</v>
      </c>
      <c r="AG382" s="268" t="s">
        <v>2524</v>
      </c>
      <c r="AH382" s="267"/>
      <c r="AI382" s="268"/>
      <c r="AJ382" s="268"/>
      <c r="AK382" s="269"/>
    </row>
    <row r="383" spans="1:37" ht="96" hidden="1" customHeight="1" outlineLevel="1" x14ac:dyDescent="0.2">
      <c r="A383" s="651"/>
      <c r="B383" s="576"/>
      <c r="C383" s="576"/>
      <c r="D383" s="588"/>
      <c r="E383" s="583"/>
      <c r="F383" s="683"/>
      <c r="G383" s="680"/>
      <c r="H383" s="565" t="s">
        <v>1615</v>
      </c>
      <c r="I383" s="686"/>
      <c r="J383" s="9" t="s">
        <v>540</v>
      </c>
      <c r="K383" s="316">
        <v>13200000</v>
      </c>
      <c r="L383" s="306">
        <v>0</v>
      </c>
      <c r="M383" s="280">
        <v>44593</v>
      </c>
      <c r="N383" s="280">
        <v>44925</v>
      </c>
      <c r="O383" s="263">
        <v>44652</v>
      </c>
      <c r="P383" s="264">
        <f t="shared" si="18"/>
        <v>0.17771084337349397</v>
      </c>
      <c r="Q383" s="264">
        <f t="shared" si="19"/>
        <v>0.17771084337349397</v>
      </c>
      <c r="R383" s="265">
        <v>1</v>
      </c>
      <c r="S383" s="266">
        <v>0.25</v>
      </c>
      <c r="T383" s="266">
        <v>0.5</v>
      </c>
      <c r="U383" s="266">
        <v>0.75</v>
      </c>
      <c r="V383" s="266">
        <v>1</v>
      </c>
      <c r="W383" s="266">
        <v>0</v>
      </c>
      <c r="X383" s="266" t="s">
        <v>1616</v>
      </c>
      <c r="Y383" s="331" t="s">
        <v>52</v>
      </c>
      <c r="Z383" s="316">
        <v>11982000</v>
      </c>
      <c r="AA383" s="266">
        <v>1</v>
      </c>
      <c r="AB383" s="268" t="s">
        <v>1617</v>
      </c>
      <c r="AC383" s="268" t="s">
        <v>2043</v>
      </c>
      <c r="AD383" s="306">
        <v>0</v>
      </c>
      <c r="AE383" s="522">
        <v>100</v>
      </c>
      <c r="AF383" s="268" t="s">
        <v>1601</v>
      </c>
      <c r="AG383" s="268" t="s">
        <v>2524</v>
      </c>
      <c r="AH383" s="267"/>
      <c r="AI383" s="268"/>
      <c r="AJ383" s="268"/>
      <c r="AK383" s="269"/>
    </row>
    <row r="384" spans="1:37" ht="96" hidden="1" customHeight="1" outlineLevel="1" x14ac:dyDescent="0.2">
      <c r="A384" s="651"/>
      <c r="B384" s="576"/>
      <c r="C384" s="576"/>
      <c r="D384" s="588"/>
      <c r="E384" s="583"/>
      <c r="F384" s="683"/>
      <c r="G384" s="680"/>
      <c r="H384" s="565" t="s">
        <v>1618</v>
      </c>
      <c r="I384" s="686"/>
      <c r="J384" s="9" t="s">
        <v>540</v>
      </c>
      <c r="K384" s="316">
        <v>13200000</v>
      </c>
      <c r="L384" s="306">
        <v>0</v>
      </c>
      <c r="M384" s="280">
        <v>44593</v>
      </c>
      <c r="N384" s="280">
        <v>44925</v>
      </c>
      <c r="O384" s="263">
        <v>44652</v>
      </c>
      <c r="P384" s="264">
        <f t="shared" si="18"/>
        <v>0.17771084337349397</v>
      </c>
      <c r="Q384" s="264">
        <f t="shared" si="19"/>
        <v>0.17771084337349397</v>
      </c>
      <c r="R384" s="265">
        <v>1</v>
      </c>
      <c r="S384" s="266">
        <v>0.25</v>
      </c>
      <c r="T384" s="266">
        <v>0.5</v>
      </c>
      <c r="U384" s="266">
        <v>0.75</v>
      </c>
      <c r="V384" s="266">
        <v>1</v>
      </c>
      <c r="W384" s="266">
        <v>0</v>
      </c>
      <c r="X384" s="266" t="s">
        <v>1212</v>
      </c>
      <c r="Y384" s="331" t="s">
        <v>52</v>
      </c>
      <c r="Z384" s="306">
        <v>0</v>
      </c>
      <c r="AA384" s="266">
        <v>0.7</v>
      </c>
      <c r="AB384" s="268" t="s">
        <v>1619</v>
      </c>
      <c r="AC384" s="268" t="s">
        <v>52</v>
      </c>
      <c r="AD384" s="306">
        <v>0</v>
      </c>
      <c r="AE384" s="522">
        <v>100</v>
      </c>
      <c r="AF384" s="268" t="s">
        <v>2378</v>
      </c>
      <c r="AG384" s="268" t="s">
        <v>2524</v>
      </c>
      <c r="AH384" s="267"/>
      <c r="AI384" s="268"/>
      <c r="AJ384" s="268"/>
      <c r="AK384" s="269"/>
    </row>
    <row r="385" spans="1:37" ht="96" hidden="1" customHeight="1" outlineLevel="1" x14ac:dyDescent="0.2">
      <c r="A385" s="651"/>
      <c r="B385" s="576"/>
      <c r="C385" s="576"/>
      <c r="D385" s="588"/>
      <c r="E385" s="583"/>
      <c r="F385" s="683"/>
      <c r="G385" s="680"/>
      <c r="H385" s="565" t="s">
        <v>1620</v>
      </c>
      <c r="I385" s="686"/>
      <c r="J385" s="9" t="s">
        <v>540</v>
      </c>
      <c r="K385" s="316">
        <v>13200000</v>
      </c>
      <c r="L385" s="306">
        <v>0</v>
      </c>
      <c r="M385" s="280">
        <v>44593</v>
      </c>
      <c r="N385" s="280">
        <v>44925</v>
      </c>
      <c r="O385" s="263">
        <v>44652</v>
      </c>
      <c r="P385" s="264">
        <f t="shared" si="18"/>
        <v>0.17771084337349397</v>
      </c>
      <c r="Q385" s="264">
        <f t="shared" si="19"/>
        <v>0.17771084337349397</v>
      </c>
      <c r="R385" s="265">
        <v>1</v>
      </c>
      <c r="S385" s="266">
        <v>0.25</v>
      </c>
      <c r="T385" s="266">
        <v>0.5</v>
      </c>
      <c r="U385" s="266">
        <v>0.75</v>
      </c>
      <c r="V385" s="266">
        <v>1</v>
      </c>
      <c r="W385" s="266">
        <v>0</v>
      </c>
      <c r="X385" s="266" t="s">
        <v>1212</v>
      </c>
      <c r="Y385" s="331" t="s">
        <v>52</v>
      </c>
      <c r="Z385" s="306">
        <v>0</v>
      </c>
      <c r="AA385" s="266">
        <v>0</v>
      </c>
      <c r="AB385" s="268" t="s">
        <v>1621</v>
      </c>
      <c r="AC385" s="268" t="s">
        <v>52</v>
      </c>
      <c r="AD385" s="306">
        <v>0</v>
      </c>
      <c r="AE385" s="522">
        <v>75</v>
      </c>
      <c r="AF385" s="268" t="s">
        <v>2377</v>
      </c>
      <c r="AG385" s="268" t="s">
        <v>2524</v>
      </c>
      <c r="AH385" s="267"/>
      <c r="AI385" s="268"/>
      <c r="AJ385" s="268"/>
      <c r="AK385" s="269"/>
    </row>
    <row r="386" spans="1:37" ht="96" hidden="1" customHeight="1" outlineLevel="1" x14ac:dyDescent="0.2">
      <c r="A386" s="651"/>
      <c r="B386" s="576"/>
      <c r="C386" s="576"/>
      <c r="D386" s="588"/>
      <c r="E386" s="583"/>
      <c r="F386" s="683"/>
      <c r="G386" s="680"/>
      <c r="H386" s="565" t="s">
        <v>1622</v>
      </c>
      <c r="I386" s="686"/>
      <c r="J386" s="9" t="s">
        <v>540</v>
      </c>
      <c r="K386" s="316">
        <v>13200000</v>
      </c>
      <c r="L386" s="306">
        <v>0</v>
      </c>
      <c r="M386" s="280">
        <v>44593</v>
      </c>
      <c r="N386" s="280">
        <v>44925</v>
      </c>
      <c r="O386" s="263">
        <v>44652</v>
      </c>
      <c r="P386" s="264">
        <f t="shared" si="18"/>
        <v>0.17771084337349397</v>
      </c>
      <c r="Q386" s="264">
        <f t="shared" si="19"/>
        <v>0.17771084337349397</v>
      </c>
      <c r="R386" s="265">
        <v>1</v>
      </c>
      <c r="S386" s="266">
        <v>0.25</v>
      </c>
      <c r="T386" s="266">
        <v>0.5</v>
      </c>
      <c r="U386" s="266">
        <v>0.75</v>
      </c>
      <c r="V386" s="266">
        <v>1</v>
      </c>
      <c r="W386" s="266">
        <v>0.5</v>
      </c>
      <c r="X386" s="266" t="s">
        <v>1623</v>
      </c>
      <c r="Y386" s="331" t="s">
        <v>1624</v>
      </c>
      <c r="Z386" s="316">
        <v>10800000</v>
      </c>
      <c r="AA386" s="266">
        <v>1</v>
      </c>
      <c r="AB386" s="268" t="s">
        <v>2044</v>
      </c>
      <c r="AC386" s="268" t="s">
        <v>2045</v>
      </c>
      <c r="AD386" s="306">
        <v>0</v>
      </c>
      <c r="AE386" s="522">
        <v>100</v>
      </c>
      <c r="AF386" s="268" t="s">
        <v>2379</v>
      </c>
      <c r="AG386" s="268" t="s">
        <v>52</v>
      </c>
      <c r="AH386" s="267"/>
      <c r="AI386" s="268"/>
      <c r="AJ386" s="268"/>
      <c r="AK386" s="269"/>
    </row>
    <row r="387" spans="1:37" ht="96" hidden="1" customHeight="1" outlineLevel="1" x14ac:dyDescent="0.2">
      <c r="A387" s="651"/>
      <c r="B387" s="576"/>
      <c r="C387" s="576"/>
      <c r="D387" s="588"/>
      <c r="E387" s="583"/>
      <c r="F387" s="683"/>
      <c r="G387" s="680"/>
      <c r="H387" s="565" t="s">
        <v>2380</v>
      </c>
      <c r="I387" s="686"/>
      <c r="J387" s="9" t="s">
        <v>540</v>
      </c>
      <c r="K387" s="316">
        <v>12000000</v>
      </c>
      <c r="L387" s="306">
        <v>0</v>
      </c>
      <c r="M387" s="280"/>
      <c r="N387" s="280"/>
      <c r="O387" s="263"/>
      <c r="P387" s="264"/>
      <c r="Q387" s="264"/>
      <c r="R387" s="265"/>
      <c r="S387" s="266"/>
      <c r="T387" s="266"/>
      <c r="U387" s="266"/>
      <c r="V387" s="266"/>
      <c r="W387" s="266">
        <v>0</v>
      </c>
      <c r="X387" s="266" t="s">
        <v>52</v>
      </c>
      <c r="Y387" s="331" t="s">
        <v>52</v>
      </c>
      <c r="Z387" s="306">
        <v>0</v>
      </c>
      <c r="AA387" s="266">
        <v>0.75</v>
      </c>
      <c r="AB387" s="268" t="s">
        <v>1625</v>
      </c>
      <c r="AC387" s="268" t="s">
        <v>2046</v>
      </c>
      <c r="AD387" s="268">
        <v>24000000</v>
      </c>
      <c r="AE387" s="522">
        <v>85</v>
      </c>
      <c r="AF387" s="268" t="s">
        <v>2381</v>
      </c>
      <c r="AG387" s="268" t="s">
        <v>2524</v>
      </c>
      <c r="AH387" s="267"/>
      <c r="AI387" s="268"/>
      <c r="AJ387" s="268"/>
      <c r="AK387" s="269"/>
    </row>
    <row r="388" spans="1:37" ht="96" hidden="1" customHeight="1" outlineLevel="1" x14ac:dyDescent="0.2">
      <c r="A388" s="651"/>
      <c r="B388" s="576"/>
      <c r="C388" s="576"/>
      <c r="D388" s="588"/>
      <c r="E388" s="583"/>
      <c r="F388" s="683"/>
      <c r="G388" s="680"/>
      <c r="H388" s="565" t="s">
        <v>1626</v>
      </c>
      <c r="I388" s="686"/>
      <c r="J388" s="9" t="s">
        <v>540</v>
      </c>
      <c r="K388" s="316">
        <v>0</v>
      </c>
      <c r="L388" s="306">
        <v>0</v>
      </c>
      <c r="M388" s="280">
        <v>44593</v>
      </c>
      <c r="N388" s="280">
        <v>44925</v>
      </c>
      <c r="O388" s="263">
        <v>44652</v>
      </c>
      <c r="P388" s="264">
        <f t="shared" si="18"/>
        <v>0.17771084337349397</v>
      </c>
      <c r="Q388" s="264">
        <f t="shared" si="19"/>
        <v>0.17771084337349397</v>
      </c>
      <c r="R388" s="265">
        <v>1</v>
      </c>
      <c r="S388" s="266">
        <v>0.25</v>
      </c>
      <c r="T388" s="266">
        <v>0.5</v>
      </c>
      <c r="U388" s="266">
        <v>0.75</v>
      </c>
      <c r="V388" s="266">
        <v>1</v>
      </c>
      <c r="W388" s="266">
        <v>0.7</v>
      </c>
      <c r="X388" s="266" t="s">
        <v>1627</v>
      </c>
      <c r="Y388" s="331" t="s">
        <v>1628</v>
      </c>
      <c r="Z388" s="306">
        <v>0</v>
      </c>
      <c r="AA388" s="266">
        <v>1</v>
      </c>
      <c r="AB388" s="268" t="s">
        <v>1601</v>
      </c>
      <c r="AC388" s="268" t="s">
        <v>2045</v>
      </c>
      <c r="AD388" s="306">
        <v>0</v>
      </c>
      <c r="AE388" s="522">
        <v>100</v>
      </c>
      <c r="AF388" s="268" t="s">
        <v>1601</v>
      </c>
      <c r="AG388" s="268" t="s">
        <v>52</v>
      </c>
      <c r="AH388" s="267"/>
      <c r="AI388" s="268"/>
      <c r="AJ388" s="268"/>
      <c r="AK388" s="269"/>
    </row>
    <row r="389" spans="1:37" ht="96" hidden="1" customHeight="1" outlineLevel="1" x14ac:dyDescent="0.2">
      <c r="A389" s="651"/>
      <c r="B389" s="576"/>
      <c r="C389" s="576"/>
      <c r="D389" s="588"/>
      <c r="E389" s="583"/>
      <c r="F389" s="683"/>
      <c r="G389" s="680"/>
      <c r="H389" s="565" t="s">
        <v>1629</v>
      </c>
      <c r="I389" s="686"/>
      <c r="J389" s="9" t="s">
        <v>540</v>
      </c>
      <c r="K389" s="316">
        <v>0</v>
      </c>
      <c r="L389" s="306">
        <v>0</v>
      </c>
      <c r="M389" s="280">
        <v>44593</v>
      </c>
      <c r="N389" s="280">
        <v>44925</v>
      </c>
      <c r="O389" s="263">
        <v>44652</v>
      </c>
      <c r="P389" s="264">
        <f t="shared" si="18"/>
        <v>0.17771084337349397</v>
      </c>
      <c r="Q389" s="264">
        <f t="shared" si="19"/>
        <v>0.17771084337349397</v>
      </c>
      <c r="R389" s="265">
        <v>1</v>
      </c>
      <c r="S389" s="266">
        <v>0.25</v>
      </c>
      <c r="T389" s="266">
        <v>0.5</v>
      </c>
      <c r="U389" s="266">
        <v>0.75</v>
      </c>
      <c r="V389" s="266">
        <v>1</v>
      </c>
      <c r="W389" s="266">
        <v>0</v>
      </c>
      <c r="X389" s="266" t="s">
        <v>1212</v>
      </c>
      <c r="Y389" s="331" t="s">
        <v>52</v>
      </c>
      <c r="Z389" s="306">
        <v>0</v>
      </c>
      <c r="AA389" s="266">
        <v>0</v>
      </c>
      <c r="AB389" s="268" t="s">
        <v>1621</v>
      </c>
      <c r="AC389" s="268" t="s">
        <v>52</v>
      </c>
      <c r="AD389" s="306">
        <v>0</v>
      </c>
      <c r="AE389" s="522">
        <v>80</v>
      </c>
      <c r="AF389" s="268" t="s">
        <v>2382</v>
      </c>
      <c r="AG389" s="268" t="s">
        <v>2524</v>
      </c>
      <c r="AH389" s="267"/>
      <c r="AI389" s="268"/>
      <c r="AJ389" s="268"/>
      <c r="AK389" s="269"/>
    </row>
    <row r="390" spans="1:37" ht="96" hidden="1" customHeight="1" outlineLevel="1" x14ac:dyDescent="0.2">
      <c r="A390" s="651"/>
      <c r="B390" s="576"/>
      <c r="C390" s="576"/>
      <c r="D390" s="588"/>
      <c r="E390" s="583"/>
      <c r="F390" s="684"/>
      <c r="G390" s="681"/>
      <c r="H390" s="565" t="s">
        <v>1630</v>
      </c>
      <c r="I390" s="686"/>
      <c r="J390" s="9" t="s">
        <v>540</v>
      </c>
      <c r="K390" s="316">
        <v>100000000</v>
      </c>
      <c r="L390" s="306">
        <v>0</v>
      </c>
      <c r="M390" s="280">
        <v>44593</v>
      </c>
      <c r="N390" s="280">
        <v>44925</v>
      </c>
      <c r="O390" s="263">
        <v>44652</v>
      </c>
      <c r="P390" s="264">
        <f t="shared" si="18"/>
        <v>0.17771084337349397</v>
      </c>
      <c r="Q390" s="264">
        <f t="shared" si="19"/>
        <v>0.17771084337349397</v>
      </c>
      <c r="R390" s="265">
        <v>1</v>
      </c>
      <c r="S390" s="266">
        <v>0.25</v>
      </c>
      <c r="T390" s="266">
        <v>0.5</v>
      </c>
      <c r="U390" s="266">
        <v>0.75</v>
      </c>
      <c r="V390" s="266">
        <v>1</v>
      </c>
      <c r="W390" s="266">
        <v>0.25</v>
      </c>
      <c r="X390" s="266" t="s">
        <v>1631</v>
      </c>
      <c r="Y390" s="331" t="s">
        <v>1632</v>
      </c>
      <c r="Z390" s="306">
        <v>0</v>
      </c>
      <c r="AA390" s="266">
        <v>0.25</v>
      </c>
      <c r="AB390" s="266" t="s">
        <v>1631</v>
      </c>
      <c r="AC390" s="268" t="s">
        <v>52</v>
      </c>
      <c r="AD390" s="306">
        <v>0</v>
      </c>
      <c r="AE390" s="522">
        <v>50</v>
      </c>
      <c r="AF390" s="268" t="s">
        <v>2383</v>
      </c>
      <c r="AG390" s="268" t="s">
        <v>2524</v>
      </c>
      <c r="AH390" s="267"/>
      <c r="AI390" s="268"/>
      <c r="AJ390" s="268"/>
      <c r="AK390" s="269"/>
    </row>
    <row r="391" spans="1:37" ht="96" hidden="1" customHeight="1" outlineLevel="1" x14ac:dyDescent="0.2">
      <c r="A391" s="651"/>
      <c r="B391" s="576"/>
      <c r="C391" s="576"/>
      <c r="D391" s="588"/>
      <c r="E391" s="583"/>
      <c r="F391" s="10" t="s">
        <v>1633</v>
      </c>
      <c r="G391" s="2" t="s">
        <v>213</v>
      </c>
      <c r="H391" s="565" t="s">
        <v>1634</v>
      </c>
      <c r="I391" s="687"/>
      <c r="J391" s="9" t="s">
        <v>1635</v>
      </c>
      <c r="K391" s="316">
        <v>41800000</v>
      </c>
      <c r="L391" s="306">
        <v>0</v>
      </c>
      <c r="M391" s="280">
        <v>44593</v>
      </c>
      <c r="N391" s="280">
        <v>44925</v>
      </c>
      <c r="O391" s="263">
        <v>44652</v>
      </c>
      <c r="P391" s="264">
        <f t="shared" si="18"/>
        <v>0.17771084337349397</v>
      </c>
      <c r="Q391" s="264">
        <f t="shared" si="19"/>
        <v>0.17771084337349397</v>
      </c>
      <c r="R391" s="265">
        <v>0.05</v>
      </c>
      <c r="S391" s="266">
        <v>0.03</v>
      </c>
      <c r="T391" s="266">
        <v>0.03</v>
      </c>
      <c r="U391" s="266">
        <v>0.04</v>
      </c>
      <c r="V391" s="266">
        <v>0.05</v>
      </c>
      <c r="W391" s="266">
        <v>0</v>
      </c>
      <c r="X391" s="266" t="s">
        <v>1567</v>
      </c>
      <c r="Y391" s="331" t="s">
        <v>52</v>
      </c>
      <c r="Z391" s="306">
        <v>0</v>
      </c>
      <c r="AA391" s="266">
        <v>0.35</v>
      </c>
      <c r="AB391" s="266" t="s">
        <v>2089</v>
      </c>
      <c r="AC391" s="268" t="s">
        <v>52</v>
      </c>
      <c r="AD391" s="306">
        <v>0</v>
      </c>
      <c r="AE391" s="522">
        <v>75</v>
      </c>
      <c r="AF391" s="268" t="s">
        <v>2509</v>
      </c>
      <c r="AG391" s="268" t="s">
        <v>2524</v>
      </c>
      <c r="AH391" s="267"/>
      <c r="AI391" s="268"/>
      <c r="AJ391" s="268"/>
      <c r="AK391" s="269"/>
    </row>
    <row r="392" spans="1:37" ht="130.5" hidden="1" customHeight="1" outlineLevel="1" x14ac:dyDescent="0.2">
      <c r="A392" s="651"/>
      <c r="B392" s="576"/>
      <c r="C392" s="576"/>
      <c r="D392" s="588"/>
      <c r="E392" s="583"/>
      <c r="F392" s="682" t="s">
        <v>1636</v>
      </c>
      <c r="G392" s="679" t="s">
        <v>213</v>
      </c>
      <c r="H392" s="565" t="s">
        <v>1637</v>
      </c>
      <c r="I392" s="685" t="s">
        <v>1638</v>
      </c>
      <c r="J392" s="9" t="s">
        <v>952</v>
      </c>
      <c r="K392" s="9" t="s">
        <v>1574</v>
      </c>
      <c r="L392" s="306">
        <v>0</v>
      </c>
      <c r="M392" s="280">
        <v>44593</v>
      </c>
      <c r="N392" s="280">
        <v>44925</v>
      </c>
      <c r="O392" s="263">
        <v>44652</v>
      </c>
      <c r="P392" s="264">
        <f t="shared" si="18"/>
        <v>0.17771084337349397</v>
      </c>
      <c r="Q392" s="264">
        <f t="shared" si="19"/>
        <v>0.17771084337349397</v>
      </c>
      <c r="R392" s="265">
        <v>1</v>
      </c>
      <c r="S392" s="266">
        <v>0.25</v>
      </c>
      <c r="T392" s="266">
        <v>0.5</v>
      </c>
      <c r="U392" s="266">
        <v>0.75</v>
      </c>
      <c r="V392" s="266">
        <v>1</v>
      </c>
      <c r="W392" s="266">
        <v>0.25</v>
      </c>
      <c r="X392" s="335" t="s">
        <v>1639</v>
      </c>
      <c r="Y392" s="333" t="s">
        <v>1640</v>
      </c>
      <c r="Z392" s="306">
        <v>0</v>
      </c>
      <c r="AA392" s="266">
        <v>0.5</v>
      </c>
      <c r="AB392" s="266" t="s">
        <v>2090</v>
      </c>
      <c r="AC392" s="268" t="s">
        <v>2047</v>
      </c>
      <c r="AD392" s="306">
        <v>0</v>
      </c>
      <c r="AE392" s="522">
        <v>75</v>
      </c>
      <c r="AF392" s="266" t="s">
        <v>2384</v>
      </c>
      <c r="AG392" s="268" t="s">
        <v>2524</v>
      </c>
      <c r="AH392" s="267"/>
      <c r="AI392" s="268"/>
      <c r="AJ392" s="268"/>
      <c r="AK392" s="269"/>
    </row>
    <row r="393" spans="1:37" ht="117.75" hidden="1" customHeight="1" outlineLevel="1" x14ac:dyDescent="0.2">
      <c r="A393" s="651"/>
      <c r="B393" s="576"/>
      <c r="C393" s="576"/>
      <c r="D393" s="588"/>
      <c r="E393" s="583"/>
      <c r="F393" s="683"/>
      <c r="G393" s="680"/>
      <c r="H393" s="565" t="s">
        <v>1641</v>
      </c>
      <c r="I393" s="686"/>
      <c r="J393" s="9" t="s">
        <v>1642</v>
      </c>
      <c r="K393" s="316">
        <v>51700000</v>
      </c>
      <c r="L393" s="306">
        <v>0</v>
      </c>
      <c r="M393" s="280">
        <v>44593</v>
      </c>
      <c r="N393" s="280">
        <v>44925</v>
      </c>
      <c r="O393" s="263">
        <v>44652</v>
      </c>
      <c r="P393" s="264">
        <f t="shared" si="18"/>
        <v>0.17771084337349397</v>
      </c>
      <c r="Q393" s="264">
        <f t="shared" si="19"/>
        <v>0.17771084337349397</v>
      </c>
      <c r="R393" s="265">
        <v>1</v>
      </c>
      <c r="S393" s="266">
        <v>0.25</v>
      </c>
      <c r="T393" s="266">
        <v>0.5</v>
      </c>
      <c r="U393" s="266">
        <v>0.75</v>
      </c>
      <c r="V393" s="266">
        <v>1</v>
      </c>
      <c r="W393" s="266">
        <v>0.05</v>
      </c>
      <c r="X393" s="335" t="s">
        <v>1643</v>
      </c>
      <c r="Y393" s="331" t="s">
        <v>52</v>
      </c>
      <c r="Z393" s="306">
        <v>0</v>
      </c>
      <c r="AA393" s="266">
        <v>0.5</v>
      </c>
      <c r="AB393" s="266" t="s">
        <v>1644</v>
      </c>
      <c r="AC393" s="268" t="s">
        <v>1645</v>
      </c>
      <c r="AD393" s="306">
        <v>0</v>
      </c>
      <c r="AE393" s="522">
        <v>100</v>
      </c>
      <c r="AF393" s="268" t="s">
        <v>2385</v>
      </c>
      <c r="AG393" s="268" t="s">
        <v>52</v>
      </c>
      <c r="AH393" s="267"/>
      <c r="AI393" s="268"/>
      <c r="AJ393" s="268"/>
      <c r="AK393" s="269"/>
    </row>
    <row r="394" spans="1:37" ht="96" hidden="1" customHeight="1" outlineLevel="1" x14ac:dyDescent="0.2">
      <c r="A394" s="651"/>
      <c r="B394" s="576"/>
      <c r="C394" s="576"/>
      <c r="D394" s="588"/>
      <c r="E394" s="584"/>
      <c r="F394" s="684"/>
      <c r="G394" s="681"/>
      <c r="H394" s="565" t="s">
        <v>1646</v>
      </c>
      <c r="I394" s="687"/>
      <c r="J394" s="9" t="s">
        <v>1647</v>
      </c>
      <c r="K394" s="316">
        <v>27500000</v>
      </c>
      <c r="L394" s="306">
        <v>0</v>
      </c>
      <c r="M394" s="280">
        <v>44593</v>
      </c>
      <c r="N394" s="280">
        <v>44925</v>
      </c>
      <c r="O394" s="263">
        <v>44652</v>
      </c>
      <c r="P394" s="264">
        <f t="shared" si="18"/>
        <v>0.17771084337349397</v>
      </c>
      <c r="Q394" s="264">
        <f t="shared" si="19"/>
        <v>0.17771084337349397</v>
      </c>
      <c r="R394" s="265">
        <v>1</v>
      </c>
      <c r="S394" s="266">
        <v>0.25</v>
      </c>
      <c r="T394" s="266">
        <v>0.5</v>
      </c>
      <c r="U394" s="266">
        <v>0.75</v>
      </c>
      <c r="V394" s="266">
        <v>1</v>
      </c>
      <c r="W394" s="266">
        <v>0.25</v>
      </c>
      <c r="X394" s="266" t="s">
        <v>1648</v>
      </c>
      <c r="Y394" s="331" t="s">
        <v>1649</v>
      </c>
      <c r="Z394" s="306">
        <v>0</v>
      </c>
      <c r="AA394" s="266">
        <v>0.5</v>
      </c>
      <c r="AB394" s="268" t="s">
        <v>1650</v>
      </c>
      <c r="AC394" s="268" t="s">
        <v>1645</v>
      </c>
      <c r="AD394" s="306">
        <v>0</v>
      </c>
      <c r="AE394" s="522">
        <v>50</v>
      </c>
      <c r="AF394" s="268" t="s">
        <v>1650</v>
      </c>
      <c r="AG394" s="268" t="s">
        <v>2524</v>
      </c>
      <c r="AH394" s="267"/>
      <c r="AI394" s="268"/>
      <c r="AJ394" s="268"/>
      <c r="AK394" s="269"/>
    </row>
    <row r="395" spans="1:37" ht="96" hidden="1" customHeight="1" outlineLevel="1" x14ac:dyDescent="0.2">
      <c r="A395" s="651"/>
      <c r="B395" s="577"/>
      <c r="C395" s="577"/>
      <c r="D395" s="589"/>
      <c r="E395" s="1" t="s">
        <v>1569</v>
      </c>
      <c r="F395" s="1" t="s">
        <v>1651</v>
      </c>
      <c r="G395" s="449"/>
      <c r="H395" s="565" t="s">
        <v>1652</v>
      </c>
      <c r="I395" s="286" t="s">
        <v>1257</v>
      </c>
      <c r="J395" s="9" t="s">
        <v>1653</v>
      </c>
      <c r="K395" s="9" t="s">
        <v>52</v>
      </c>
      <c r="L395" s="306">
        <v>0</v>
      </c>
      <c r="M395" s="280">
        <v>44593</v>
      </c>
      <c r="N395" s="280">
        <v>44925</v>
      </c>
      <c r="O395" s="263">
        <v>44652</v>
      </c>
      <c r="P395" s="264">
        <f>+(+_xlfn.DAYS(M395,O395))/(+_xlfn.DAYS(M395,N395))</f>
        <v>0.17771084337349397</v>
      </c>
      <c r="Q395" s="264">
        <f>+IF(P395&gt;=100,100,IF(P395&lt;=0,0,P395))</f>
        <v>0.17771084337349397</v>
      </c>
      <c r="R395" s="265">
        <v>0.5</v>
      </c>
      <c r="S395" s="266">
        <v>0.01</v>
      </c>
      <c r="T395" s="266">
        <v>0.01</v>
      </c>
      <c r="U395" s="266">
        <v>0.02</v>
      </c>
      <c r="V395" s="266">
        <v>0.02</v>
      </c>
      <c r="W395" s="266">
        <v>0.08</v>
      </c>
      <c r="X395" s="266" t="s">
        <v>1654</v>
      </c>
      <c r="Y395" s="333" t="s">
        <v>1640</v>
      </c>
      <c r="Z395" s="306">
        <v>0</v>
      </c>
      <c r="AA395" s="266">
        <v>0.6</v>
      </c>
      <c r="AB395" s="268" t="s">
        <v>1655</v>
      </c>
      <c r="AC395" s="268" t="s">
        <v>1645</v>
      </c>
      <c r="AD395" s="306">
        <v>0</v>
      </c>
      <c r="AE395" s="522">
        <v>75</v>
      </c>
      <c r="AF395" s="268" t="s">
        <v>2386</v>
      </c>
      <c r="AG395" s="268" t="s">
        <v>2524</v>
      </c>
      <c r="AH395" s="267"/>
      <c r="AI395" s="268"/>
      <c r="AJ395" s="268"/>
      <c r="AK395" s="269"/>
    </row>
    <row r="396" spans="1:37" ht="123" hidden="1" customHeight="1" outlineLevel="1" x14ac:dyDescent="0.2">
      <c r="A396" s="651"/>
      <c r="B396" s="575" t="s">
        <v>849</v>
      </c>
      <c r="C396" s="575" t="s">
        <v>628</v>
      </c>
      <c r="D396" s="612" t="s">
        <v>1656</v>
      </c>
      <c r="E396" s="610" t="s">
        <v>1657</v>
      </c>
      <c r="F396" s="610" t="s">
        <v>1658</v>
      </c>
      <c r="G396" s="675" t="s">
        <v>233</v>
      </c>
      <c r="H396" s="196" t="s">
        <v>1659</v>
      </c>
      <c r="I396" s="677" t="s">
        <v>1054</v>
      </c>
      <c r="J396" s="9" t="s">
        <v>2130</v>
      </c>
      <c r="K396" s="316">
        <v>12000000</v>
      </c>
      <c r="L396" s="306">
        <v>0</v>
      </c>
      <c r="M396" s="280">
        <v>44593</v>
      </c>
      <c r="N396" s="280">
        <v>44925</v>
      </c>
      <c r="O396" s="263">
        <v>44652</v>
      </c>
      <c r="P396" s="264">
        <f t="shared" si="18"/>
        <v>0.17771084337349397</v>
      </c>
      <c r="Q396" s="264">
        <f t="shared" si="19"/>
        <v>0.17771084337349397</v>
      </c>
      <c r="R396" s="265">
        <v>1</v>
      </c>
      <c r="S396" s="266">
        <v>0.25</v>
      </c>
      <c r="T396" s="266">
        <v>0.5</v>
      </c>
      <c r="U396" s="266">
        <v>0.75</v>
      </c>
      <c r="V396" s="266">
        <v>1</v>
      </c>
      <c r="W396" s="266">
        <v>0.25</v>
      </c>
      <c r="X396" s="266" t="s">
        <v>1212</v>
      </c>
      <c r="Y396" s="331" t="s">
        <v>52</v>
      </c>
      <c r="Z396" s="306">
        <v>0</v>
      </c>
      <c r="AA396" s="266">
        <v>0.25</v>
      </c>
      <c r="AB396" s="268" t="s">
        <v>1585</v>
      </c>
      <c r="AC396" s="268" t="s">
        <v>52</v>
      </c>
      <c r="AD396" s="306">
        <v>0</v>
      </c>
      <c r="AE396" s="266">
        <v>0.25</v>
      </c>
      <c r="AF396" s="268" t="s">
        <v>2387</v>
      </c>
      <c r="AG396" s="268" t="s">
        <v>52</v>
      </c>
      <c r="AH396" s="267"/>
      <c r="AI396" s="268"/>
      <c r="AJ396" s="268"/>
      <c r="AK396" s="269"/>
    </row>
    <row r="397" spans="1:37" ht="75" hidden="1" customHeight="1" outlineLevel="1" x14ac:dyDescent="0.2">
      <c r="A397" s="651"/>
      <c r="B397" s="576"/>
      <c r="C397" s="576"/>
      <c r="D397" s="612"/>
      <c r="E397" s="611"/>
      <c r="F397" s="611"/>
      <c r="G397" s="676"/>
      <c r="H397" s="565" t="s">
        <v>2131</v>
      </c>
      <c r="I397" s="678"/>
      <c r="J397" s="9" t="s">
        <v>2130</v>
      </c>
      <c r="K397" s="316">
        <v>3500000</v>
      </c>
      <c r="L397" s="316">
        <v>3500000</v>
      </c>
      <c r="M397" s="280">
        <v>44593</v>
      </c>
      <c r="N397" s="280">
        <v>44925</v>
      </c>
      <c r="O397" s="263">
        <v>44652</v>
      </c>
      <c r="P397" s="264">
        <f t="shared" si="18"/>
        <v>0.17771084337349397</v>
      </c>
      <c r="Q397" s="264">
        <f t="shared" si="19"/>
        <v>0.17771084337349397</v>
      </c>
      <c r="R397" s="265">
        <v>1</v>
      </c>
      <c r="S397" s="266">
        <v>0.25</v>
      </c>
      <c r="T397" s="266">
        <v>0.5</v>
      </c>
      <c r="U397" s="266">
        <v>0.75</v>
      </c>
      <c r="V397" s="266">
        <v>1</v>
      </c>
      <c r="W397" s="266">
        <v>0.25</v>
      </c>
      <c r="X397" s="266" t="s">
        <v>1660</v>
      </c>
      <c r="Y397" s="331" t="s">
        <v>1661</v>
      </c>
      <c r="Z397" s="306">
        <v>0</v>
      </c>
      <c r="AA397" s="266">
        <v>1</v>
      </c>
      <c r="AB397" s="268" t="s">
        <v>1662</v>
      </c>
      <c r="AC397" s="268" t="s">
        <v>52</v>
      </c>
      <c r="AD397" s="306">
        <v>0</v>
      </c>
      <c r="AE397" s="266">
        <v>1</v>
      </c>
      <c r="AF397" s="268" t="s">
        <v>2388</v>
      </c>
      <c r="AG397" s="268" t="s">
        <v>52</v>
      </c>
      <c r="AH397" s="267"/>
      <c r="AI397" s="268"/>
      <c r="AJ397" s="268"/>
      <c r="AK397" s="269"/>
    </row>
    <row r="398" spans="1:37" ht="75" hidden="1" customHeight="1" outlineLevel="1" x14ac:dyDescent="0.2">
      <c r="A398" s="651"/>
      <c r="B398" s="576"/>
      <c r="C398" s="576"/>
      <c r="D398" s="612"/>
      <c r="E398" s="611"/>
      <c r="F398" s="611"/>
      <c r="G398" s="676"/>
      <c r="H398" s="565" t="s">
        <v>1663</v>
      </c>
      <c r="I398" s="678"/>
      <c r="J398" s="9" t="s">
        <v>2130</v>
      </c>
      <c r="K398" s="316">
        <v>4200000</v>
      </c>
      <c r="L398" s="316">
        <v>4200000</v>
      </c>
      <c r="M398" s="280">
        <v>44593</v>
      </c>
      <c r="N398" s="280">
        <v>44925</v>
      </c>
      <c r="O398" s="263">
        <v>44652</v>
      </c>
      <c r="P398" s="264">
        <f t="shared" ref="P398:P413" si="20">+(+_xlfn.DAYS(M398,O398))/(+_xlfn.DAYS(M398,N398))</f>
        <v>0.17771084337349397</v>
      </c>
      <c r="Q398" s="264">
        <f t="shared" si="19"/>
        <v>0.17771084337349397</v>
      </c>
      <c r="R398" s="265">
        <v>1</v>
      </c>
      <c r="S398" s="266">
        <v>0.25</v>
      </c>
      <c r="T398" s="266">
        <v>0.5</v>
      </c>
      <c r="U398" s="266">
        <v>0.75</v>
      </c>
      <c r="V398" s="266">
        <v>1</v>
      </c>
      <c r="W398" s="266">
        <v>0.25</v>
      </c>
      <c r="X398" s="266" t="s">
        <v>1664</v>
      </c>
      <c r="Y398" s="331" t="s">
        <v>1661</v>
      </c>
      <c r="Z398" s="306">
        <v>0</v>
      </c>
      <c r="AA398" s="266">
        <v>1</v>
      </c>
      <c r="AB398" s="268" t="s">
        <v>1662</v>
      </c>
      <c r="AC398" s="268" t="s">
        <v>52</v>
      </c>
      <c r="AD398" s="306">
        <v>0</v>
      </c>
      <c r="AE398" s="266">
        <v>1</v>
      </c>
      <c r="AF398" s="268" t="s">
        <v>2388</v>
      </c>
      <c r="AG398" s="268" t="s">
        <v>52</v>
      </c>
      <c r="AH398" s="267"/>
      <c r="AI398" s="268"/>
      <c r="AJ398" s="268"/>
      <c r="AK398" s="269"/>
    </row>
    <row r="399" spans="1:37" ht="75" hidden="1" customHeight="1" outlineLevel="1" x14ac:dyDescent="0.2">
      <c r="A399" s="651"/>
      <c r="B399" s="576"/>
      <c r="C399" s="576"/>
      <c r="D399" s="612"/>
      <c r="E399" s="611"/>
      <c r="F399" s="611"/>
      <c r="G399" s="676"/>
      <c r="H399" s="565" t="s">
        <v>1665</v>
      </c>
      <c r="I399" s="678"/>
      <c r="J399" s="9" t="s">
        <v>2130</v>
      </c>
      <c r="K399" s="316">
        <v>3500000</v>
      </c>
      <c r="L399" s="316">
        <v>3500000</v>
      </c>
      <c r="M399" s="280">
        <v>44593</v>
      </c>
      <c r="N399" s="280">
        <v>44925</v>
      </c>
      <c r="O399" s="263">
        <v>44652</v>
      </c>
      <c r="P399" s="264">
        <f t="shared" si="20"/>
        <v>0.17771084337349397</v>
      </c>
      <c r="Q399" s="264">
        <f t="shared" si="19"/>
        <v>0.17771084337349397</v>
      </c>
      <c r="R399" s="265">
        <v>1</v>
      </c>
      <c r="S399" s="266">
        <v>0.25</v>
      </c>
      <c r="T399" s="266">
        <v>0.5</v>
      </c>
      <c r="U399" s="266">
        <v>0.75</v>
      </c>
      <c r="V399" s="266">
        <v>1</v>
      </c>
      <c r="W399" s="266">
        <v>0.25</v>
      </c>
      <c r="X399" s="266" t="s">
        <v>1666</v>
      </c>
      <c r="Y399" s="331" t="s">
        <v>1661</v>
      </c>
      <c r="Z399" s="306">
        <v>0</v>
      </c>
      <c r="AA399" s="266">
        <v>1</v>
      </c>
      <c r="AB399" s="268" t="s">
        <v>1662</v>
      </c>
      <c r="AC399" s="268" t="s">
        <v>52</v>
      </c>
      <c r="AD399" s="306">
        <v>0</v>
      </c>
      <c r="AE399" s="266">
        <v>1</v>
      </c>
      <c r="AF399" s="268" t="s">
        <v>2388</v>
      </c>
      <c r="AG399" s="268" t="s">
        <v>52</v>
      </c>
      <c r="AH399" s="267"/>
      <c r="AI399" s="268"/>
      <c r="AJ399" s="268"/>
      <c r="AK399" s="269"/>
    </row>
    <row r="400" spans="1:37" ht="75" hidden="1" customHeight="1" outlineLevel="1" x14ac:dyDescent="0.2">
      <c r="A400" s="651"/>
      <c r="B400" s="576"/>
      <c r="C400" s="576"/>
      <c r="D400" s="612"/>
      <c r="E400" s="611"/>
      <c r="F400" s="611"/>
      <c r="G400" s="676"/>
      <c r="H400" s="565" t="s">
        <v>1667</v>
      </c>
      <c r="I400" s="678"/>
      <c r="J400" s="9" t="s">
        <v>2130</v>
      </c>
      <c r="K400" s="316">
        <v>3500000</v>
      </c>
      <c r="L400" s="316">
        <v>3500000</v>
      </c>
      <c r="M400" s="280">
        <v>44593</v>
      </c>
      <c r="N400" s="280">
        <v>44925</v>
      </c>
      <c r="O400" s="263">
        <v>44652</v>
      </c>
      <c r="P400" s="264">
        <f t="shared" si="20"/>
        <v>0.17771084337349397</v>
      </c>
      <c r="Q400" s="264">
        <f t="shared" si="19"/>
        <v>0.17771084337349397</v>
      </c>
      <c r="R400" s="265">
        <v>1</v>
      </c>
      <c r="S400" s="266">
        <v>0.25</v>
      </c>
      <c r="T400" s="266">
        <v>0.5</v>
      </c>
      <c r="U400" s="266">
        <v>0.75</v>
      </c>
      <c r="V400" s="266">
        <v>1</v>
      </c>
      <c r="W400" s="266">
        <v>0.25</v>
      </c>
      <c r="X400" s="266" t="s">
        <v>1668</v>
      </c>
      <c r="Y400" s="331" t="s">
        <v>1661</v>
      </c>
      <c r="Z400" s="306">
        <v>0</v>
      </c>
      <c r="AA400" s="266">
        <v>1</v>
      </c>
      <c r="AB400" s="268" t="s">
        <v>1662</v>
      </c>
      <c r="AC400" s="268" t="s">
        <v>52</v>
      </c>
      <c r="AD400" s="306">
        <v>0</v>
      </c>
      <c r="AE400" s="266">
        <v>1</v>
      </c>
      <c r="AF400" s="268" t="s">
        <v>2388</v>
      </c>
      <c r="AG400" s="268" t="s">
        <v>52</v>
      </c>
      <c r="AH400" s="267"/>
      <c r="AI400" s="268"/>
      <c r="AJ400" s="268"/>
      <c r="AK400" s="269"/>
    </row>
    <row r="401" spans="1:37" ht="75" hidden="1" customHeight="1" outlineLevel="1" x14ac:dyDescent="0.2">
      <c r="A401" s="651"/>
      <c r="B401" s="576"/>
      <c r="C401" s="576"/>
      <c r="D401" s="612"/>
      <c r="E401" s="611"/>
      <c r="F401" s="611"/>
      <c r="G401" s="676"/>
      <c r="H401" s="565" t="s">
        <v>2132</v>
      </c>
      <c r="I401" s="678"/>
      <c r="J401" s="9" t="s">
        <v>2130</v>
      </c>
      <c r="K401" s="316">
        <v>3500000</v>
      </c>
      <c r="L401" s="316">
        <v>3500000</v>
      </c>
      <c r="M401" s="280">
        <v>44593</v>
      </c>
      <c r="N401" s="280">
        <v>44925</v>
      </c>
      <c r="O401" s="263">
        <v>44652</v>
      </c>
      <c r="P401" s="264">
        <f t="shared" si="20"/>
        <v>0.17771084337349397</v>
      </c>
      <c r="Q401" s="264">
        <f t="shared" si="19"/>
        <v>0.17771084337349397</v>
      </c>
      <c r="R401" s="265">
        <v>1</v>
      </c>
      <c r="S401" s="266">
        <v>0.25</v>
      </c>
      <c r="T401" s="266">
        <v>0.5</v>
      </c>
      <c r="U401" s="266">
        <v>0.75</v>
      </c>
      <c r="V401" s="266">
        <v>1</v>
      </c>
      <c r="W401" s="266">
        <v>0.25</v>
      </c>
      <c r="X401" s="266" t="s">
        <v>1669</v>
      </c>
      <c r="Y401" s="331" t="s">
        <v>1661</v>
      </c>
      <c r="Z401" s="306">
        <v>0</v>
      </c>
      <c r="AA401" s="266">
        <v>1</v>
      </c>
      <c r="AB401" s="268" t="s">
        <v>1662</v>
      </c>
      <c r="AC401" s="268" t="s">
        <v>52</v>
      </c>
      <c r="AD401" s="306">
        <v>0</v>
      </c>
      <c r="AE401" s="266">
        <v>1</v>
      </c>
      <c r="AF401" s="268" t="s">
        <v>2388</v>
      </c>
      <c r="AG401" s="268" t="s">
        <v>52</v>
      </c>
      <c r="AH401" s="267"/>
      <c r="AI401" s="268"/>
      <c r="AJ401" s="268"/>
      <c r="AK401" s="269"/>
    </row>
    <row r="402" spans="1:37" ht="94.5" hidden="1" customHeight="1" outlineLevel="1" x14ac:dyDescent="0.2">
      <c r="A402" s="651"/>
      <c r="B402" s="576"/>
      <c r="C402" s="576"/>
      <c r="D402" s="612"/>
      <c r="E402" s="611"/>
      <c r="F402" s="611"/>
      <c r="G402" s="676"/>
      <c r="H402" s="565" t="s">
        <v>1670</v>
      </c>
      <c r="I402" s="678"/>
      <c r="J402" s="9" t="s">
        <v>2130</v>
      </c>
      <c r="K402" s="316">
        <v>3500000</v>
      </c>
      <c r="L402" s="316">
        <v>3500000</v>
      </c>
      <c r="M402" s="280">
        <v>44593</v>
      </c>
      <c r="N402" s="280">
        <v>44925</v>
      </c>
      <c r="O402" s="263">
        <v>44652</v>
      </c>
      <c r="P402" s="264">
        <f t="shared" si="20"/>
        <v>0.17771084337349397</v>
      </c>
      <c r="Q402" s="264">
        <f t="shared" si="19"/>
        <v>0.17771084337349397</v>
      </c>
      <c r="R402" s="265">
        <v>1</v>
      </c>
      <c r="S402" s="266">
        <v>0.25</v>
      </c>
      <c r="T402" s="266">
        <v>0.5</v>
      </c>
      <c r="U402" s="266">
        <v>0.75</v>
      </c>
      <c r="V402" s="266">
        <v>1</v>
      </c>
      <c r="W402" s="335">
        <v>0.3</v>
      </c>
      <c r="X402" s="266" t="s">
        <v>1671</v>
      </c>
      <c r="Y402" s="331" t="s">
        <v>1661</v>
      </c>
      <c r="Z402" s="306">
        <v>0</v>
      </c>
      <c r="AA402" s="266">
        <v>1</v>
      </c>
      <c r="AB402" s="268" t="s">
        <v>1662</v>
      </c>
      <c r="AC402" s="268" t="s">
        <v>52</v>
      </c>
      <c r="AD402" s="306">
        <v>0</v>
      </c>
      <c r="AE402" s="266">
        <v>1</v>
      </c>
      <c r="AF402" s="268" t="s">
        <v>2388</v>
      </c>
      <c r="AG402" s="268" t="s">
        <v>52</v>
      </c>
      <c r="AH402" s="267"/>
      <c r="AI402" s="268"/>
      <c r="AJ402" s="268"/>
      <c r="AK402" s="269"/>
    </row>
    <row r="403" spans="1:37" ht="114.75" hidden="1" customHeight="1" outlineLevel="1" x14ac:dyDescent="0.2">
      <c r="A403" s="651"/>
      <c r="B403" s="576"/>
      <c r="C403" s="576"/>
      <c r="D403" s="612"/>
      <c r="E403" s="611"/>
      <c r="F403" s="611"/>
      <c r="G403" s="676"/>
      <c r="H403" s="565" t="s">
        <v>1672</v>
      </c>
      <c r="I403" s="678"/>
      <c r="J403" s="9" t="s">
        <v>2130</v>
      </c>
      <c r="K403" s="316">
        <v>3500000</v>
      </c>
      <c r="L403" s="306">
        <v>0</v>
      </c>
      <c r="M403" s="280">
        <v>44593</v>
      </c>
      <c r="N403" s="280">
        <v>44925</v>
      </c>
      <c r="O403" s="263">
        <v>44652</v>
      </c>
      <c r="P403" s="264">
        <f t="shared" si="20"/>
        <v>0.17771084337349397</v>
      </c>
      <c r="Q403" s="264">
        <f t="shared" si="19"/>
        <v>0.17771084337349397</v>
      </c>
      <c r="R403" s="265">
        <v>1</v>
      </c>
      <c r="S403" s="266">
        <v>0.25</v>
      </c>
      <c r="T403" s="266">
        <v>0.5</v>
      </c>
      <c r="U403" s="266">
        <v>0.75</v>
      </c>
      <c r="V403" s="266">
        <v>1</v>
      </c>
      <c r="W403" s="266">
        <v>0</v>
      </c>
      <c r="X403" s="266" t="s">
        <v>1212</v>
      </c>
      <c r="Y403" s="331" t="s">
        <v>52</v>
      </c>
      <c r="Z403" s="306">
        <v>0</v>
      </c>
      <c r="AA403" s="266">
        <v>0.5</v>
      </c>
      <c r="AB403" s="268" t="s">
        <v>1673</v>
      </c>
      <c r="AC403" s="268" t="s">
        <v>52</v>
      </c>
      <c r="AD403" s="268">
        <v>664000</v>
      </c>
      <c r="AE403" s="522">
        <v>75</v>
      </c>
      <c r="AF403" s="268" t="s">
        <v>2389</v>
      </c>
      <c r="AG403" s="268" t="s">
        <v>2524</v>
      </c>
      <c r="AH403" s="267"/>
      <c r="AI403" s="268"/>
      <c r="AJ403" s="268"/>
      <c r="AK403" s="269"/>
    </row>
    <row r="404" spans="1:37" ht="102.75" hidden="1" customHeight="1" outlineLevel="1" x14ac:dyDescent="0.2">
      <c r="A404" s="651"/>
      <c r="B404" s="576"/>
      <c r="C404" s="576"/>
      <c r="D404" s="612"/>
      <c r="E404" s="611"/>
      <c r="F404" s="611"/>
      <c r="G404" s="676"/>
      <c r="H404" s="565" t="s">
        <v>1674</v>
      </c>
      <c r="I404" s="678"/>
      <c r="J404" s="9" t="s">
        <v>2130</v>
      </c>
      <c r="K404" s="316">
        <v>4200000</v>
      </c>
      <c r="L404" s="306">
        <v>0</v>
      </c>
      <c r="M404" s="280">
        <v>44593</v>
      </c>
      <c r="N404" s="280">
        <v>44925</v>
      </c>
      <c r="O404" s="263">
        <v>44652</v>
      </c>
      <c r="P404" s="264">
        <f t="shared" si="20"/>
        <v>0.17771084337349397</v>
      </c>
      <c r="Q404" s="264">
        <f t="shared" si="19"/>
        <v>0.17771084337349397</v>
      </c>
      <c r="R404" s="265">
        <v>1</v>
      </c>
      <c r="S404" s="266">
        <v>0.25</v>
      </c>
      <c r="T404" s="266">
        <v>0.5</v>
      </c>
      <c r="U404" s="266">
        <v>0.75</v>
      </c>
      <c r="V404" s="266">
        <v>1</v>
      </c>
      <c r="W404" s="266">
        <v>0</v>
      </c>
      <c r="X404" s="266" t="s">
        <v>1212</v>
      </c>
      <c r="Y404" s="331" t="s">
        <v>52</v>
      </c>
      <c r="Z404" s="306">
        <v>0</v>
      </c>
      <c r="AA404" s="266">
        <v>0.5</v>
      </c>
      <c r="AB404" s="268" t="s">
        <v>1673</v>
      </c>
      <c r="AC404" s="268" t="s">
        <v>52</v>
      </c>
      <c r="AD404" s="268">
        <v>664000</v>
      </c>
      <c r="AE404" s="522">
        <v>75</v>
      </c>
      <c r="AF404" s="268" t="s">
        <v>2389</v>
      </c>
      <c r="AG404" s="268" t="s">
        <v>2524</v>
      </c>
      <c r="AH404" s="267"/>
      <c r="AI404" s="268"/>
      <c r="AJ404" s="268"/>
      <c r="AK404" s="269"/>
    </row>
    <row r="405" spans="1:37" ht="90.75" hidden="1" customHeight="1" outlineLevel="1" x14ac:dyDescent="0.2">
      <c r="A405" s="651"/>
      <c r="B405" s="576"/>
      <c r="C405" s="576"/>
      <c r="D405" s="612"/>
      <c r="E405" s="611"/>
      <c r="F405" s="611"/>
      <c r="G405" s="676"/>
      <c r="H405" s="565" t="s">
        <v>1675</v>
      </c>
      <c r="I405" s="678"/>
      <c r="J405" s="9" t="s">
        <v>2130</v>
      </c>
      <c r="K405" s="316">
        <v>3500000</v>
      </c>
      <c r="L405" s="306">
        <v>0</v>
      </c>
      <c r="M405" s="280">
        <v>44593</v>
      </c>
      <c r="N405" s="280">
        <v>44925</v>
      </c>
      <c r="O405" s="263">
        <v>44652</v>
      </c>
      <c r="P405" s="264">
        <f t="shared" si="20"/>
        <v>0.17771084337349397</v>
      </c>
      <c r="Q405" s="264">
        <f t="shared" si="19"/>
        <v>0.17771084337349397</v>
      </c>
      <c r="R405" s="265">
        <v>1</v>
      </c>
      <c r="S405" s="266">
        <v>0.25</v>
      </c>
      <c r="T405" s="266">
        <v>0.5</v>
      </c>
      <c r="U405" s="266">
        <v>0.75</v>
      </c>
      <c r="V405" s="266">
        <v>1</v>
      </c>
      <c r="W405" s="266">
        <v>0</v>
      </c>
      <c r="X405" s="266" t="s">
        <v>1212</v>
      </c>
      <c r="Y405" s="331" t="s">
        <v>52</v>
      </c>
      <c r="Z405" s="306">
        <v>0</v>
      </c>
      <c r="AA405" s="266">
        <v>0.5</v>
      </c>
      <c r="AB405" s="268" t="s">
        <v>1673</v>
      </c>
      <c r="AC405" s="268" t="s">
        <v>52</v>
      </c>
      <c r="AD405" s="268">
        <v>664000</v>
      </c>
      <c r="AE405" s="522">
        <v>75</v>
      </c>
      <c r="AF405" s="268" t="s">
        <v>2389</v>
      </c>
      <c r="AG405" s="268" t="s">
        <v>2524</v>
      </c>
      <c r="AH405" s="267"/>
      <c r="AI405" s="268"/>
      <c r="AJ405" s="268"/>
      <c r="AK405" s="269"/>
    </row>
    <row r="406" spans="1:37" ht="75" hidden="1" customHeight="1" outlineLevel="1" x14ac:dyDescent="0.2">
      <c r="A406" s="651"/>
      <c r="B406" s="576"/>
      <c r="C406" s="576"/>
      <c r="D406" s="612"/>
      <c r="E406" s="611"/>
      <c r="F406" s="611"/>
      <c r="G406" s="676"/>
      <c r="H406" s="565" t="s">
        <v>1676</v>
      </c>
      <c r="I406" s="678"/>
      <c r="J406" s="9" t="s">
        <v>2130</v>
      </c>
      <c r="K406" s="316">
        <v>3500000</v>
      </c>
      <c r="L406" s="306">
        <v>0</v>
      </c>
      <c r="M406" s="280">
        <v>44593</v>
      </c>
      <c r="N406" s="280">
        <v>44925</v>
      </c>
      <c r="O406" s="263">
        <v>44652</v>
      </c>
      <c r="P406" s="264">
        <f t="shared" si="20"/>
        <v>0.17771084337349397</v>
      </c>
      <c r="Q406" s="264">
        <f t="shared" si="19"/>
        <v>0.17771084337349397</v>
      </c>
      <c r="R406" s="265">
        <v>1</v>
      </c>
      <c r="S406" s="266">
        <v>0.25</v>
      </c>
      <c r="T406" s="266">
        <v>0.5</v>
      </c>
      <c r="U406" s="266">
        <v>0.75</v>
      </c>
      <c r="V406" s="266">
        <v>1</v>
      </c>
      <c r="W406" s="266">
        <v>0</v>
      </c>
      <c r="X406" s="266" t="s">
        <v>1212</v>
      </c>
      <c r="Y406" s="331" t="s">
        <v>52</v>
      </c>
      <c r="Z406" s="306">
        <v>0</v>
      </c>
      <c r="AA406" s="266">
        <v>0.5</v>
      </c>
      <c r="AB406" s="268" t="s">
        <v>1673</v>
      </c>
      <c r="AC406" s="268" t="s">
        <v>52</v>
      </c>
      <c r="AD406" s="268">
        <v>664000</v>
      </c>
      <c r="AE406" s="522">
        <v>75</v>
      </c>
      <c r="AF406" s="268" t="s">
        <v>2389</v>
      </c>
      <c r="AG406" s="268" t="s">
        <v>2524</v>
      </c>
      <c r="AH406" s="267"/>
      <c r="AI406" s="268"/>
      <c r="AJ406" s="268"/>
      <c r="AK406" s="269"/>
    </row>
    <row r="407" spans="1:37" ht="75" hidden="1" customHeight="1" outlineLevel="1" x14ac:dyDescent="0.2">
      <c r="A407" s="651"/>
      <c r="B407" s="576"/>
      <c r="C407" s="576"/>
      <c r="D407" s="612"/>
      <c r="E407" s="611"/>
      <c r="F407" s="611"/>
      <c r="G407" s="676"/>
      <c r="H407" s="565" t="s">
        <v>1677</v>
      </c>
      <c r="I407" s="678"/>
      <c r="J407" s="9" t="s">
        <v>2130</v>
      </c>
      <c r="K407" s="316">
        <v>3500000</v>
      </c>
      <c r="L407" s="306">
        <v>0</v>
      </c>
      <c r="M407" s="280">
        <v>44593</v>
      </c>
      <c r="N407" s="280">
        <v>44925</v>
      </c>
      <c r="O407" s="263">
        <v>44652</v>
      </c>
      <c r="P407" s="264">
        <f t="shared" si="20"/>
        <v>0.17771084337349397</v>
      </c>
      <c r="Q407" s="264">
        <f t="shared" si="19"/>
        <v>0.17771084337349397</v>
      </c>
      <c r="R407" s="265">
        <v>1</v>
      </c>
      <c r="S407" s="266">
        <v>0.25</v>
      </c>
      <c r="T407" s="266">
        <v>0.5</v>
      </c>
      <c r="U407" s="266">
        <v>0.75</v>
      </c>
      <c r="V407" s="266">
        <v>1</v>
      </c>
      <c r="W407" s="266">
        <v>0</v>
      </c>
      <c r="X407" s="266" t="s">
        <v>1212</v>
      </c>
      <c r="Y407" s="331" t="s">
        <v>52</v>
      </c>
      <c r="Z407" s="306">
        <v>0</v>
      </c>
      <c r="AA407" s="266">
        <v>0.5</v>
      </c>
      <c r="AB407" s="268" t="s">
        <v>1673</v>
      </c>
      <c r="AC407" s="268" t="s">
        <v>52</v>
      </c>
      <c r="AD407" s="268">
        <v>664000</v>
      </c>
      <c r="AE407" s="522">
        <v>75</v>
      </c>
      <c r="AF407" s="268" t="s">
        <v>2389</v>
      </c>
      <c r="AG407" s="268" t="s">
        <v>2524</v>
      </c>
      <c r="AH407" s="267"/>
      <c r="AI407" s="268"/>
      <c r="AJ407" s="268"/>
      <c r="AK407" s="269"/>
    </row>
    <row r="408" spans="1:37" ht="75" hidden="1" customHeight="1" outlineLevel="1" x14ac:dyDescent="0.2">
      <c r="A408" s="651"/>
      <c r="B408" s="576"/>
      <c r="C408" s="576"/>
      <c r="D408" s="612"/>
      <c r="E408" s="611"/>
      <c r="F408" s="611"/>
      <c r="G408" s="676"/>
      <c r="H408" s="565" t="s">
        <v>1678</v>
      </c>
      <c r="I408" s="678"/>
      <c r="J408" s="9" t="s">
        <v>2130</v>
      </c>
      <c r="K408" s="316">
        <v>3500000</v>
      </c>
      <c r="L408" s="340"/>
      <c r="M408" s="280">
        <v>44593</v>
      </c>
      <c r="N408" s="280">
        <v>44925</v>
      </c>
      <c r="O408" s="263">
        <v>44652</v>
      </c>
      <c r="P408" s="264">
        <f t="shared" si="20"/>
        <v>0.17771084337349397</v>
      </c>
      <c r="Q408" s="264">
        <f t="shared" si="19"/>
        <v>0.17771084337349397</v>
      </c>
      <c r="R408" s="265">
        <v>1</v>
      </c>
      <c r="S408" s="266">
        <v>0.25</v>
      </c>
      <c r="T408" s="266">
        <v>0.5</v>
      </c>
      <c r="U408" s="266">
        <v>0.75</v>
      </c>
      <c r="V408" s="266">
        <v>1</v>
      </c>
      <c r="W408" s="266">
        <v>0</v>
      </c>
      <c r="X408" s="266" t="s">
        <v>1212</v>
      </c>
      <c r="Y408" s="331" t="s">
        <v>52</v>
      </c>
      <c r="Z408" s="306">
        <v>0</v>
      </c>
      <c r="AA408" s="266">
        <v>0.5</v>
      </c>
      <c r="AB408" s="268" t="s">
        <v>1673</v>
      </c>
      <c r="AC408" s="268" t="s">
        <v>52</v>
      </c>
      <c r="AD408" s="268">
        <v>664000</v>
      </c>
      <c r="AE408" s="522">
        <v>75</v>
      </c>
      <c r="AF408" s="268" t="s">
        <v>2389</v>
      </c>
      <c r="AG408" s="268" t="s">
        <v>2524</v>
      </c>
      <c r="AH408" s="267"/>
      <c r="AI408" s="268"/>
      <c r="AJ408" s="268"/>
      <c r="AK408" s="269"/>
    </row>
    <row r="409" spans="1:37" ht="46.5" hidden="1" customHeight="1" outlineLevel="1" x14ac:dyDescent="0.2">
      <c r="A409" s="651"/>
      <c r="B409" s="576"/>
      <c r="C409" s="576"/>
      <c r="D409" s="612"/>
      <c r="E409" s="611"/>
      <c r="F409" s="611"/>
      <c r="G409" s="450"/>
      <c r="H409" s="196" t="s">
        <v>1680</v>
      </c>
      <c r="I409" s="411"/>
      <c r="J409" s="9" t="s">
        <v>1681</v>
      </c>
      <c r="K409" s="316">
        <v>50000000</v>
      </c>
      <c r="L409" s="306">
        <v>0</v>
      </c>
      <c r="M409" s="280"/>
      <c r="N409" s="280"/>
      <c r="O409" s="263"/>
      <c r="P409" s="264"/>
      <c r="Q409" s="264"/>
      <c r="R409" s="265"/>
      <c r="S409" s="266"/>
      <c r="T409" s="266"/>
      <c r="U409" s="266"/>
      <c r="V409" s="266"/>
      <c r="W409" s="266">
        <v>0</v>
      </c>
      <c r="X409" s="266" t="s">
        <v>1679</v>
      </c>
      <c r="Y409" s="331" t="s">
        <v>52</v>
      </c>
      <c r="Z409" s="306">
        <v>0</v>
      </c>
      <c r="AA409" s="266">
        <v>0.5</v>
      </c>
      <c r="AB409" s="268" t="s">
        <v>1682</v>
      </c>
      <c r="AC409" s="268" t="s">
        <v>352</v>
      </c>
      <c r="AD409" s="306">
        <v>0</v>
      </c>
      <c r="AE409" s="522">
        <v>100</v>
      </c>
      <c r="AF409" s="268" t="s">
        <v>2390</v>
      </c>
      <c r="AG409" s="268" t="s">
        <v>2524</v>
      </c>
      <c r="AH409" s="267"/>
      <c r="AI409" s="268"/>
      <c r="AJ409" s="268"/>
      <c r="AK409" s="269"/>
    </row>
    <row r="410" spans="1:37" ht="46.5" hidden="1" customHeight="1" outlineLevel="1" x14ac:dyDescent="0.2">
      <c r="A410" s="651"/>
      <c r="B410" s="576"/>
      <c r="C410" s="576"/>
      <c r="D410" s="612"/>
      <c r="E410" s="611"/>
      <c r="F410" s="611"/>
      <c r="G410" s="450"/>
      <c r="H410" s="196" t="s">
        <v>1683</v>
      </c>
      <c r="I410" s="411"/>
      <c r="J410" s="9" t="s">
        <v>1681</v>
      </c>
      <c r="K410" s="316">
        <v>50000000</v>
      </c>
      <c r="L410" s="306">
        <v>0</v>
      </c>
      <c r="M410" s="280"/>
      <c r="N410" s="280"/>
      <c r="O410" s="263"/>
      <c r="P410" s="264"/>
      <c r="Q410" s="264"/>
      <c r="R410" s="265"/>
      <c r="S410" s="266"/>
      <c r="T410" s="266"/>
      <c r="U410" s="266"/>
      <c r="V410" s="266"/>
      <c r="W410" s="266">
        <v>0</v>
      </c>
      <c r="X410" s="266" t="s">
        <v>1679</v>
      </c>
      <c r="Y410" s="331" t="s">
        <v>52</v>
      </c>
      <c r="Z410" s="306">
        <v>0</v>
      </c>
      <c r="AA410" s="266">
        <v>0.5</v>
      </c>
      <c r="AB410" s="268" t="s">
        <v>1682</v>
      </c>
      <c r="AC410" s="268" t="s">
        <v>352</v>
      </c>
      <c r="AD410" s="306">
        <v>0</v>
      </c>
      <c r="AE410" s="522">
        <v>50</v>
      </c>
      <c r="AF410" s="268" t="s">
        <v>1682</v>
      </c>
      <c r="AG410" s="268" t="s">
        <v>2524</v>
      </c>
      <c r="AH410" s="267"/>
      <c r="AI410" s="268"/>
      <c r="AJ410" s="268"/>
      <c r="AK410" s="269"/>
    </row>
    <row r="411" spans="1:37" ht="138.75" hidden="1" customHeight="1" outlineLevel="1" x14ac:dyDescent="0.2">
      <c r="A411" s="651"/>
      <c r="B411" s="579" t="s">
        <v>1401</v>
      </c>
      <c r="C411" s="579" t="s">
        <v>40</v>
      </c>
      <c r="D411" s="578" t="s">
        <v>1684</v>
      </c>
      <c r="E411" s="590" t="s">
        <v>1134</v>
      </c>
      <c r="F411" s="590" t="s">
        <v>1189</v>
      </c>
      <c r="G411" s="628" t="s">
        <v>233</v>
      </c>
      <c r="H411" s="196" t="s">
        <v>1685</v>
      </c>
      <c r="I411" s="628" t="s">
        <v>1136</v>
      </c>
      <c r="J411" s="9" t="s">
        <v>978</v>
      </c>
      <c r="K411" s="9" t="s">
        <v>52</v>
      </c>
      <c r="L411" s="306">
        <v>0</v>
      </c>
      <c r="M411" s="280">
        <v>44593</v>
      </c>
      <c r="N411" s="280">
        <v>44925</v>
      </c>
      <c r="O411" s="263">
        <v>44652</v>
      </c>
      <c r="P411" s="264">
        <f t="shared" si="20"/>
        <v>0.17771084337349397</v>
      </c>
      <c r="Q411" s="264">
        <f t="shared" si="19"/>
        <v>0.17771084337349397</v>
      </c>
      <c r="R411" s="265" t="s">
        <v>52</v>
      </c>
      <c r="S411" s="266" t="s">
        <v>52</v>
      </c>
      <c r="T411" s="266" t="s">
        <v>52</v>
      </c>
      <c r="U411" s="266" t="s">
        <v>52</v>
      </c>
      <c r="V411" s="266" t="s">
        <v>52</v>
      </c>
      <c r="W411" s="266">
        <v>0.25</v>
      </c>
      <c r="X411" s="266" t="s">
        <v>1686</v>
      </c>
      <c r="Y411" s="331" t="s">
        <v>249</v>
      </c>
      <c r="Z411" s="306">
        <v>0</v>
      </c>
      <c r="AA411" s="266">
        <v>0.5</v>
      </c>
      <c r="AB411" s="268" t="s">
        <v>1687</v>
      </c>
      <c r="AC411" s="268" t="s">
        <v>1312</v>
      </c>
      <c r="AD411" s="306">
        <v>0</v>
      </c>
      <c r="AE411" s="522">
        <v>70</v>
      </c>
      <c r="AF411" s="268" t="s">
        <v>2429</v>
      </c>
      <c r="AG411" s="268" t="s">
        <v>2524</v>
      </c>
      <c r="AH411" s="267"/>
      <c r="AI411" s="268"/>
      <c r="AJ411" s="268"/>
      <c r="AK411" s="269"/>
    </row>
    <row r="412" spans="1:37" ht="63" hidden="1" customHeight="1" outlineLevel="1" x14ac:dyDescent="0.2">
      <c r="A412" s="651"/>
      <c r="B412" s="580"/>
      <c r="C412" s="580"/>
      <c r="D412" s="578"/>
      <c r="E412" s="591"/>
      <c r="F412" s="591"/>
      <c r="G412" s="674"/>
      <c r="H412" s="196" t="s">
        <v>2510</v>
      </c>
      <c r="I412" s="674"/>
      <c r="J412" s="9" t="s">
        <v>1688</v>
      </c>
      <c r="K412" s="316">
        <v>6000000</v>
      </c>
      <c r="L412" s="306">
        <v>0</v>
      </c>
      <c r="M412" s="280">
        <v>44593</v>
      </c>
      <c r="N412" s="280">
        <v>44925</v>
      </c>
      <c r="O412" s="263">
        <v>44652</v>
      </c>
      <c r="P412" s="264">
        <f t="shared" si="20"/>
        <v>0.17771084337349397</v>
      </c>
      <c r="Q412" s="264">
        <f>+IF(P412&gt;=100,100,IF(P412&lt;=0,0,P412))</f>
        <v>0.17771084337349397</v>
      </c>
      <c r="R412" s="265">
        <v>1</v>
      </c>
      <c r="S412" s="266">
        <v>0.25</v>
      </c>
      <c r="T412" s="266">
        <v>0.5</v>
      </c>
      <c r="U412" s="266">
        <v>0.75</v>
      </c>
      <c r="V412" s="266">
        <v>1</v>
      </c>
      <c r="W412" s="266">
        <v>0</v>
      </c>
      <c r="X412" s="266" t="s">
        <v>1689</v>
      </c>
      <c r="Y412" s="331" t="s">
        <v>52</v>
      </c>
      <c r="Z412" s="306">
        <v>2000000</v>
      </c>
      <c r="AA412" s="266">
        <v>0.5</v>
      </c>
      <c r="AB412" s="268" t="s">
        <v>1690</v>
      </c>
      <c r="AC412" s="331" t="s">
        <v>52</v>
      </c>
      <c r="AD412" s="306">
        <v>0</v>
      </c>
      <c r="AE412" s="522">
        <v>100</v>
      </c>
      <c r="AF412" s="268" t="s">
        <v>2430</v>
      </c>
      <c r="AG412" s="268" t="s">
        <v>2524</v>
      </c>
      <c r="AH412" s="267"/>
      <c r="AI412" s="268"/>
      <c r="AJ412" s="268"/>
      <c r="AK412" s="269"/>
    </row>
    <row r="413" spans="1:37" ht="46.5" hidden="1" customHeight="1" outlineLevel="1" x14ac:dyDescent="0.2">
      <c r="A413" s="651"/>
      <c r="B413" s="580"/>
      <c r="C413" s="580"/>
      <c r="D413" s="578"/>
      <c r="E413" s="591"/>
      <c r="F413" s="591"/>
      <c r="G413" s="674"/>
      <c r="H413" s="196" t="s">
        <v>1691</v>
      </c>
      <c r="I413" s="674"/>
      <c r="J413" s="9" t="s">
        <v>189</v>
      </c>
      <c r="K413" s="316">
        <v>6000000</v>
      </c>
      <c r="L413" s="306">
        <v>0</v>
      </c>
      <c r="M413" s="280">
        <v>44593</v>
      </c>
      <c r="N413" s="280">
        <v>44925</v>
      </c>
      <c r="O413" s="263">
        <v>44652</v>
      </c>
      <c r="P413" s="264">
        <f t="shared" si="20"/>
        <v>0.17771084337349397</v>
      </c>
      <c r="Q413" s="264">
        <f>+IF(P413&gt;=100,100,IF(P413&lt;=0,0,P413))</f>
        <v>0.17771084337349397</v>
      </c>
      <c r="R413" s="265">
        <v>1</v>
      </c>
      <c r="S413" s="266">
        <v>0.25</v>
      </c>
      <c r="T413" s="266">
        <v>0.5</v>
      </c>
      <c r="U413" s="266">
        <v>0.75</v>
      </c>
      <c r="V413" s="266">
        <v>1</v>
      </c>
      <c r="W413" s="266">
        <v>0.3</v>
      </c>
      <c r="X413" s="266" t="s">
        <v>1692</v>
      </c>
      <c r="Y413" s="331" t="s">
        <v>52</v>
      </c>
      <c r="Z413" s="306">
        <v>0</v>
      </c>
      <c r="AA413" s="266">
        <v>0.3</v>
      </c>
      <c r="AB413" s="266" t="s">
        <v>1693</v>
      </c>
      <c r="AC413" s="331" t="s">
        <v>52</v>
      </c>
      <c r="AD413" s="306">
        <v>0</v>
      </c>
      <c r="AE413" s="522">
        <v>30</v>
      </c>
      <c r="AF413" s="266" t="s">
        <v>1693</v>
      </c>
      <c r="AG413" s="268" t="s">
        <v>2524</v>
      </c>
      <c r="AH413" s="267"/>
      <c r="AI413" s="268"/>
      <c r="AJ413" s="268"/>
      <c r="AK413" s="269"/>
    </row>
    <row r="414" spans="1:37" ht="57" customHeight="1" collapsed="1" thickBot="1" x14ac:dyDescent="0.25">
      <c r="A414" s="796" t="s">
        <v>1694</v>
      </c>
      <c r="B414" s="797"/>
      <c r="C414" s="797"/>
      <c r="D414" s="797"/>
      <c r="E414" s="797"/>
      <c r="F414" s="797"/>
      <c r="G414" s="797"/>
      <c r="H414" s="797"/>
      <c r="I414" s="797"/>
      <c r="J414" s="797"/>
      <c r="K414" s="797"/>
      <c r="L414" s="797"/>
      <c r="M414" s="797"/>
      <c r="N414" s="798"/>
      <c r="O414" s="317">
        <v>44652</v>
      </c>
      <c r="P414" s="264"/>
      <c r="Q414" s="367">
        <f>+AVERAGE((Q339:Q413))</f>
        <v>0.17771084337349372</v>
      </c>
      <c r="R414" s="276">
        <v>100</v>
      </c>
      <c r="S414" s="652"/>
      <c r="T414" s="653"/>
      <c r="U414" s="653"/>
      <c r="V414" s="654"/>
      <c r="W414" s="276">
        <v>19</v>
      </c>
      <c r="X414" s="330"/>
      <c r="Y414" s="332"/>
      <c r="Z414" s="306"/>
      <c r="AA414" s="276">
        <v>52</v>
      </c>
      <c r="AB414" s="281"/>
      <c r="AC414" s="281"/>
      <c r="AD414" s="514"/>
      <c r="AE414" s="276">
        <v>71</v>
      </c>
      <c r="AF414" s="281"/>
      <c r="AG414" s="281"/>
      <c r="AH414" s="282"/>
      <c r="AI414" s="281"/>
      <c r="AJ414" s="281"/>
      <c r="AK414" s="269"/>
    </row>
    <row r="415" spans="1:37" ht="18" customHeight="1" x14ac:dyDescent="0.2">
      <c r="A415" s="269"/>
      <c r="B415" s="269"/>
      <c r="C415" s="269"/>
      <c r="D415" s="269"/>
      <c r="E415" s="283"/>
      <c r="F415" s="283"/>
      <c r="G415" s="269"/>
      <c r="H415" s="269"/>
      <c r="I415" s="269"/>
      <c r="J415" s="284"/>
      <c r="K415" s="284"/>
      <c r="L415" s="284"/>
      <c r="M415" s="269"/>
      <c r="N415" s="269"/>
      <c r="O415" s="318"/>
      <c r="P415" s="269"/>
      <c r="Q415" s="269"/>
      <c r="R415" s="269"/>
      <c r="S415" s="269"/>
      <c r="T415" s="269"/>
      <c r="U415" s="269"/>
      <c r="V415" s="269"/>
      <c r="W415" s="270"/>
      <c r="X415" s="269"/>
      <c r="Y415" s="269"/>
      <c r="Z415" s="269"/>
      <c r="AA415" s="285"/>
      <c r="AB415" s="269"/>
      <c r="AC415" s="269"/>
      <c r="AD415" s="269"/>
      <c r="AE415" s="525"/>
      <c r="AF415" s="269"/>
      <c r="AG415" s="269"/>
      <c r="AH415" s="285"/>
      <c r="AI415" s="269"/>
      <c r="AJ415" s="269"/>
      <c r="AK415" s="269"/>
    </row>
    <row r="416" spans="1:37" ht="45" thickBot="1" x14ac:dyDescent="0.25">
      <c r="F416" s="253"/>
    </row>
    <row r="417" spans="1:26" ht="13.9" customHeight="1" thickTop="1" x14ac:dyDescent="0.2">
      <c r="A417" s="757" t="s">
        <v>1695</v>
      </c>
      <c r="B417" s="758"/>
      <c r="C417" s="758"/>
      <c r="D417" s="758"/>
      <c r="E417" s="758"/>
      <c r="F417" s="758"/>
      <c r="G417" s="758"/>
      <c r="H417" s="758"/>
      <c r="I417" s="787"/>
      <c r="J417" s="792" t="s">
        <v>1696</v>
      </c>
      <c r="K417" s="802"/>
      <c r="L417" s="802"/>
      <c r="M417" s="802"/>
      <c r="N417" s="802"/>
      <c r="O417" s="802"/>
      <c r="P417" s="802"/>
      <c r="Q417" s="802"/>
      <c r="R417" s="803"/>
      <c r="S417" s="792" t="s">
        <v>1697</v>
      </c>
      <c r="T417" s="793"/>
      <c r="U417" s="757" t="s">
        <v>1698</v>
      </c>
      <c r="V417" s="758"/>
      <c r="W417" s="758"/>
      <c r="X417" s="759"/>
      <c r="Y417" s="785">
        <v>1</v>
      </c>
      <c r="Z417" s="452"/>
    </row>
    <row r="418" spans="1:26" ht="13.15" customHeight="1" thickBot="1" x14ac:dyDescent="0.25">
      <c r="A418" s="760"/>
      <c r="B418" s="761"/>
      <c r="C418" s="761"/>
      <c r="D418" s="761"/>
      <c r="E418" s="761"/>
      <c r="F418" s="761"/>
      <c r="G418" s="761"/>
      <c r="H418" s="761"/>
      <c r="I418" s="788"/>
      <c r="J418" s="794"/>
      <c r="K418" s="804"/>
      <c r="L418" s="804"/>
      <c r="M418" s="804"/>
      <c r="N418" s="804"/>
      <c r="O418" s="804"/>
      <c r="P418" s="804"/>
      <c r="Q418" s="804"/>
      <c r="R418" s="805"/>
      <c r="S418" s="794"/>
      <c r="T418" s="795"/>
      <c r="U418" s="760"/>
      <c r="V418" s="761"/>
      <c r="W418" s="761"/>
      <c r="X418" s="762"/>
      <c r="Y418" s="786"/>
      <c r="Z418" s="452"/>
    </row>
    <row r="419" spans="1:26" ht="1.9" customHeight="1" x14ac:dyDescent="0.2">
      <c r="F419" s="253"/>
    </row>
    <row r="420" spans="1:26" x14ac:dyDescent="0.2">
      <c r="F420" s="253"/>
    </row>
    <row r="421" spans="1:26" x14ac:dyDescent="0.2">
      <c r="F421" s="253"/>
    </row>
    <row r="422" spans="1:26" x14ac:dyDescent="0.2">
      <c r="A422" s="6"/>
      <c r="F422" s="253"/>
    </row>
    <row r="423" spans="1:26" ht="50.25" customHeight="1" x14ac:dyDescent="0.2">
      <c r="A423" s="6"/>
      <c r="F423" s="253"/>
    </row>
    <row r="424" spans="1:26" x14ac:dyDescent="0.2">
      <c r="A424" s="6"/>
      <c r="F424" s="253"/>
    </row>
    <row r="425" spans="1:26" x14ac:dyDescent="0.2">
      <c r="A425" s="6"/>
      <c r="F425" s="253"/>
    </row>
    <row r="426" spans="1:26" x14ac:dyDescent="0.2">
      <c r="A426" s="6"/>
      <c r="F426" s="253"/>
    </row>
    <row r="427" spans="1:26" x14ac:dyDescent="0.2">
      <c r="A427" s="6"/>
      <c r="F427" s="253"/>
    </row>
    <row r="428" spans="1:26" x14ac:dyDescent="0.2">
      <c r="A428" s="6"/>
      <c r="F428" s="253"/>
    </row>
    <row r="429" spans="1:26" x14ac:dyDescent="0.2">
      <c r="A429" s="6"/>
      <c r="F429" s="253"/>
    </row>
    <row r="430" spans="1:26" x14ac:dyDescent="0.2">
      <c r="F430" s="253"/>
    </row>
    <row r="431" spans="1:26" x14ac:dyDescent="0.2">
      <c r="F431" s="253"/>
    </row>
    <row r="432" spans="1:26" x14ac:dyDescent="0.2">
      <c r="F432" s="253"/>
    </row>
    <row r="433" spans="6:6" x14ac:dyDescent="0.2">
      <c r="F433" s="253"/>
    </row>
    <row r="434" spans="6:6" x14ac:dyDescent="0.2">
      <c r="F434" s="253"/>
    </row>
    <row r="435" spans="6:6" x14ac:dyDescent="0.2">
      <c r="F435" s="253"/>
    </row>
    <row r="436" spans="6:6" x14ac:dyDescent="0.2">
      <c r="F436" s="253"/>
    </row>
    <row r="437" spans="6:6" x14ac:dyDescent="0.2">
      <c r="F437" s="253"/>
    </row>
    <row r="438" spans="6:6" x14ac:dyDescent="0.2">
      <c r="F438" s="253"/>
    </row>
    <row r="439" spans="6:6" x14ac:dyDescent="0.2">
      <c r="F439" s="253"/>
    </row>
    <row r="440" spans="6:6" x14ac:dyDescent="0.2">
      <c r="F440" s="253"/>
    </row>
    <row r="441" spans="6:6" x14ac:dyDescent="0.2">
      <c r="F441" s="253"/>
    </row>
    <row r="442" spans="6:6" x14ac:dyDescent="0.2">
      <c r="F442" s="253"/>
    </row>
    <row r="443" spans="6:6" x14ac:dyDescent="0.2">
      <c r="F443" s="253"/>
    </row>
    <row r="444" spans="6:6" x14ac:dyDescent="0.2">
      <c r="F444" s="253"/>
    </row>
    <row r="445" spans="6:6" x14ac:dyDescent="0.2">
      <c r="F445" s="253"/>
    </row>
    <row r="446" spans="6:6" x14ac:dyDescent="0.2">
      <c r="F446" s="253"/>
    </row>
    <row r="447" spans="6:6" x14ac:dyDescent="0.2">
      <c r="F447" s="253"/>
    </row>
    <row r="448" spans="6:6" x14ac:dyDescent="0.2">
      <c r="F448" s="253"/>
    </row>
    <row r="449" spans="6:6" x14ac:dyDescent="0.2">
      <c r="F449" s="253"/>
    </row>
    <row r="450" spans="6:6" x14ac:dyDescent="0.2">
      <c r="F450" s="253"/>
    </row>
    <row r="451" spans="6:6" x14ac:dyDescent="0.2">
      <c r="F451" s="253"/>
    </row>
    <row r="452" spans="6:6" x14ac:dyDescent="0.2">
      <c r="F452" s="253"/>
    </row>
    <row r="453" spans="6:6" x14ac:dyDescent="0.2">
      <c r="F453" s="253"/>
    </row>
    <row r="454" spans="6:6" x14ac:dyDescent="0.2">
      <c r="F454" s="253"/>
    </row>
    <row r="455" spans="6:6" x14ac:dyDescent="0.2">
      <c r="F455" s="253"/>
    </row>
    <row r="456" spans="6:6" x14ac:dyDescent="0.2">
      <c r="F456" s="253"/>
    </row>
    <row r="457" spans="6:6" x14ac:dyDescent="0.2">
      <c r="F457" s="253"/>
    </row>
    <row r="458" spans="6:6" x14ac:dyDescent="0.2">
      <c r="F458" s="253"/>
    </row>
    <row r="459" spans="6:6" x14ac:dyDescent="0.2">
      <c r="F459" s="253"/>
    </row>
    <row r="460" spans="6:6" x14ac:dyDescent="0.2">
      <c r="F460" s="253"/>
    </row>
    <row r="461" spans="6:6" x14ac:dyDescent="0.2">
      <c r="F461" s="253"/>
    </row>
    <row r="462" spans="6:6" x14ac:dyDescent="0.2">
      <c r="F462" s="253"/>
    </row>
    <row r="463" spans="6:6" x14ac:dyDescent="0.2">
      <c r="F463" s="253"/>
    </row>
    <row r="464" spans="6:6" x14ac:dyDescent="0.2">
      <c r="F464" s="253"/>
    </row>
    <row r="465" spans="6:6" x14ac:dyDescent="0.2">
      <c r="F465" s="253"/>
    </row>
    <row r="466" spans="6:6" x14ac:dyDescent="0.2">
      <c r="F466" s="253"/>
    </row>
    <row r="467" spans="6:6" x14ac:dyDescent="0.2">
      <c r="F467" s="253"/>
    </row>
    <row r="468" spans="6:6" x14ac:dyDescent="0.2">
      <c r="F468" s="253"/>
    </row>
    <row r="469" spans="6:6" x14ac:dyDescent="0.2">
      <c r="F469" s="253"/>
    </row>
    <row r="470" spans="6:6" x14ac:dyDescent="0.2">
      <c r="F470" s="253"/>
    </row>
    <row r="471" spans="6:6" x14ac:dyDescent="0.2">
      <c r="F471" s="253"/>
    </row>
    <row r="472" spans="6:6" x14ac:dyDescent="0.2">
      <c r="F472" s="253"/>
    </row>
    <row r="473" spans="6:6" x14ac:dyDescent="0.2">
      <c r="F473" s="253"/>
    </row>
    <row r="474" spans="6:6" x14ac:dyDescent="0.2">
      <c r="F474" s="253"/>
    </row>
    <row r="475" spans="6:6" x14ac:dyDescent="0.2">
      <c r="F475" s="253"/>
    </row>
    <row r="476" spans="6:6" x14ac:dyDescent="0.2">
      <c r="F476" s="253"/>
    </row>
    <row r="477" spans="6:6" x14ac:dyDescent="0.2">
      <c r="F477" s="253"/>
    </row>
    <row r="478" spans="6:6" x14ac:dyDescent="0.2">
      <c r="F478" s="253"/>
    </row>
    <row r="479" spans="6:6" x14ac:dyDescent="0.2">
      <c r="F479" s="253"/>
    </row>
    <row r="480" spans="6:6" x14ac:dyDescent="0.2">
      <c r="F480" s="253"/>
    </row>
    <row r="481" spans="6:6" x14ac:dyDescent="0.2">
      <c r="F481" s="253"/>
    </row>
    <row r="482" spans="6:6" x14ac:dyDescent="0.2">
      <c r="F482" s="253"/>
    </row>
    <row r="483" spans="6:6" x14ac:dyDescent="0.2">
      <c r="F483" s="253"/>
    </row>
    <row r="484" spans="6:6" x14ac:dyDescent="0.2">
      <c r="F484" s="253"/>
    </row>
    <row r="485" spans="6:6" x14ac:dyDescent="0.2">
      <c r="F485" s="253"/>
    </row>
    <row r="486" spans="6:6" x14ac:dyDescent="0.2">
      <c r="F486" s="253"/>
    </row>
    <row r="487" spans="6:6" x14ac:dyDescent="0.2">
      <c r="F487" s="253"/>
    </row>
    <row r="488" spans="6:6" x14ac:dyDescent="0.2">
      <c r="F488" s="253"/>
    </row>
    <row r="489" spans="6:6" x14ac:dyDescent="0.2">
      <c r="F489" s="253"/>
    </row>
    <row r="490" spans="6:6" x14ac:dyDescent="0.2">
      <c r="F490" s="253"/>
    </row>
    <row r="491" spans="6:6" x14ac:dyDescent="0.2">
      <c r="F491" s="253"/>
    </row>
    <row r="492" spans="6:6" x14ac:dyDescent="0.2">
      <c r="F492" s="253"/>
    </row>
    <row r="493" spans="6:6" x14ac:dyDescent="0.2">
      <c r="F493" s="253"/>
    </row>
    <row r="494" spans="6:6" x14ac:dyDescent="0.2">
      <c r="F494" s="253"/>
    </row>
    <row r="495" spans="6:6" x14ac:dyDescent="0.2">
      <c r="F495" s="253"/>
    </row>
    <row r="496" spans="6:6" x14ac:dyDescent="0.2">
      <c r="F496" s="253"/>
    </row>
    <row r="497" spans="6:6" x14ac:dyDescent="0.2">
      <c r="F497" s="253"/>
    </row>
    <row r="498" spans="6:6" x14ac:dyDescent="0.2">
      <c r="F498" s="253"/>
    </row>
    <row r="499" spans="6:6" x14ac:dyDescent="0.2">
      <c r="F499" s="253"/>
    </row>
    <row r="500" spans="6:6" x14ac:dyDescent="0.2">
      <c r="F500" s="253"/>
    </row>
    <row r="501" spans="6:6" x14ac:dyDescent="0.2">
      <c r="F501" s="253"/>
    </row>
    <row r="502" spans="6:6" x14ac:dyDescent="0.2">
      <c r="F502" s="253"/>
    </row>
    <row r="503" spans="6:6" x14ac:dyDescent="0.2">
      <c r="F503" s="253"/>
    </row>
    <row r="504" spans="6:6" x14ac:dyDescent="0.2">
      <c r="F504" s="253"/>
    </row>
    <row r="505" spans="6:6" x14ac:dyDescent="0.2">
      <c r="F505" s="253"/>
    </row>
    <row r="506" spans="6:6" x14ac:dyDescent="0.2">
      <c r="F506" s="253"/>
    </row>
    <row r="507" spans="6:6" x14ac:dyDescent="0.2">
      <c r="F507" s="253"/>
    </row>
    <row r="508" spans="6:6" x14ac:dyDescent="0.2">
      <c r="F508" s="253"/>
    </row>
    <row r="509" spans="6:6" x14ac:dyDescent="0.2">
      <c r="F509" s="253"/>
    </row>
    <row r="510" spans="6:6" x14ac:dyDescent="0.2">
      <c r="F510" s="253"/>
    </row>
    <row r="511" spans="6:6" x14ac:dyDescent="0.2">
      <c r="F511" s="253"/>
    </row>
    <row r="512" spans="6:6" x14ac:dyDescent="0.2">
      <c r="F512" s="253"/>
    </row>
    <row r="513" spans="6:6" x14ac:dyDescent="0.2">
      <c r="F513" s="253"/>
    </row>
    <row r="514" spans="6:6" x14ac:dyDescent="0.2">
      <c r="F514" s="253"/>
    </row>
    <row r="515" spans="6:6" x14ac:dyDescent="0.2">
      <c r="F515" s="253"/>
    </row>
    <row r="516" spans="6:6" x14ac:dyDescent="0.2">
      <c r="F516" s="253"/>
    </row>
    <row r="517" spans="6:6" x14ac:dyDescent="0.2">
      <c r="F517" s="253"/>
    </row>
    <row r="518" spans="6:6" x14ac:dyDescent="0.2">
      <c r="F518" s="253"/>
    </row>
    <row r="519" spans="6:6" x14ac:dyDescent="0.2">
      <c r="F519" s="253"/>
    </row>
    <row r="520" spans="6:6" x14ac:dyDescent="0.2">
      <c r="F520" s="253"/>
    </row>
    <row r="521" spans="6:6" x14ac:dyDescent="0.2">
      <c r="F521" s="253"/>
    </row>
    <row r="522" spans="6:6" x14ac:dyDescent="0.2">
      <c r="F522" s="253"/>
    </row>
    <row r="523" spans="6:6" x14ac:dyDescent="0.2">
      <c r="F523" s="253"/>
    </row>
    <row r="524" spans="6:6" x14ac:dyDescent="0.2">
      <c r="F524" s="253"/>
    </row>
    <row r="525" spans="6:6" x14ac:dyDescent="0.2">
      <c r="F525" s="253"/>
    </row>
    <row r="526" spans="6:6" x14ac:dyDescent="0.2">
      <c r="F526" s="253"/>
    </row>
    <row r="527" spans="6:6" x14ac:dyDescent="0.2">
      <c r="F527" s="253"/>
    </row>
    <row r="528" spans="6:6" x14ac:dyDescent="0.2">
      <c r="F528" s="253"/>
    </row>
    <row r="529" spans="6:6" x14ac:dyDescent="0.2">
      <c r="F529" s="253"/>
    </row>
    <row r="530" spans="6:6" x14ac:dyDescent="0.2">
      <c r="F530" s="253"/>
    </row>
    <row r="531" spans="6:6" x14ac:dyDescent="0.2">
      <c r="F531" s="253"/>
    </row>
    <row r="532" spans="6:6" x14ac:dyDescent="0.2">
      <c r="F532" s="253"/>
    </row>
    <row r="533" spans="6:6" x14ac:dyDescent="0.2">
      <c r="F533" s="253"/>
    </row>
    <row r="534" spans="6:6" x14ac:dyDescent="0.2">
      <c r="F534" s="253"/>
    </row>
    <row r="535" spans="6:6" x14ac:dyDescent="0.2">
      <c r="F535" s="253"/>
    </row>
    <row r="536" spans="6:6" x14ac:dyDescent="0.2">
      <c r="F536" s="253"/>
    </row>
    <row r="537" spans="6:6" x14ac:dyDescent="0.2">
      <c r="F537" s="253"/>
    </row>
    <row r="538" spans="6:6" x14ac:dyDescent="0.2">
      <c r="F538" s="253"/>
    </row>
    <row r="539" spans="6:6" x14ac:dyDescent="0.2">
      <c r="F539" s="253"/>
    </row>
    <row r="540" spans="6:6" x14ac:dyDescent="0.2">
      <c r="F540" s="253"/>
    </row>
    <row r="541" spans="6:6" x14ac:dyDescent="0.2">
      <c r="F541" s="253"/>
    </row>
    <row r="542" spans="6:6" x14ac:dyDescent="0.2">
      <c r="F542" s="253"/>
    </row>
    <row r="543" spans="6:6" x14ac:dyDescent="0.2">
      <c r="F543" s="253"/>
    </row>
    <row r="544" spans="6:6" x14ac:dyDescent="0.2">
      <c r="F544" s="253"/>
    </row>
    <row r="545" spans="6:6" x14ac:dyDescent="0.2">
      <c r="F545" s="253"/>
    </row>
    <row r="546" spans="6:6" x14ac:dyDescent="0.2">
      <c r="F546" s="253"/>
    </row>
    <row r="547" spans="6:6" x14ac:dyDescent="0.2">
      <c r="F547" s="253"/>
    </row>
    <row r="548" spans="6:6" x14ac:dyDescent="0.2">
      <c r="F548" s="253"/>
    </row>
    <row r="549" spans="6:6" x14ac:dyDescent="0.2">
      <c r="F549" s="253"/>
    </row>
    <row r="550" spans="6:6" x14ac:dyDescent="0.2">
      <c r="F550" s="253"/>
    </row>
    <row r="551" spans="6:6" x14ac:dyDescent="0.2">
      <c r="F551" s="253"/>
    </row>
    <row r="552" spans="6:6" x14ac:dyDescent="0.2">
      <c r="F552" s="253"/>
    </row>
    <row r="553" spans="6:6" x14ac:dyDescent="0.2">
      <c r="F553" s="253"/>
    </row>
    <row r="554" spans="6:6" x14ac:dyDescent="0.2">
      <c r="F554" s="253"/>
    </row>
    <row r="555" spans="6:6" x14ac:dyDescent="0.2">
      <c r="F555" s="253"/>
    </row>
    <row r="556" spans="6:6" x14ac:dyDescent="0.2">
      <c r="F556" s="253"/>
    </row>
    <row r="557" spans="6:6" x14ac:dyDescent="0.2">
      <c r="F557" s="253"/>
    </row>
    <row r="558" spans="6:6" x14ac:dyDescent="0.2">
      <c r="F558" s="253"/>
    </row>
    <row r="559" spans="6:6" x14ac:dyDescent="0.2">
      <c r="F559" s="253"/>
    </row>
    <row r="560" spans="6:6" x14ac:dyDescent="0.2">
      <c r="F560" s="253"/>
    </row>
    <row r="561" spans="6:6" x14ac:dyDescent="0.2">
      <c r="F561" s="253"/>
    </row>
    <row r="562" spans="6:6" x14ac:dyDescent="0.2">
      <c r="F562" s="253"/>
    </row>
    <row r="563" spans="6:6" x14ac:dyDescent="0.2">
      <c r="F563" s="253"/>
    </row>
    <row r="564" spans="6:6" x14ac:dyDescent="0.2">
      <c r="F564" s="253"/>
    </row>
    <row r="565" spans="6:6" x14ac:dyDescent="0.2">
      <c r="F565" s="253"/>
    </row>
    <row r="566" spans="6:6" x14ac:dyDescent="0.2">
      <c r="F566" s="253"/>
    </row>
    <row r="567" spans="6:6" x14ac:dyDescent="0.2">
      <c r="F567" s="253"/>
    </row>
    <row r="568" spans="6:6" x14ac:dyDescent="0.2">
      <c r="F568" s="253"/>
    </row>
    <row r="569" spans="6:6" x14ac:dyDescent="0.2">
      <c r="F569" s="253"/>
    </row>
    <row r="570" spans="6:6" x14ac:dyDescent="0.2">
      <c r="F570" s="253"/>
    </row>
    <row r="571" spans="6:6" x14ac:dyDescent="0.2">
      <c r="F571" s="253"/>
    </row>
    <row r="572" spans="6:6" x14ac:dyDescent="0.2">
      <c r="F572" s="253"/>
    </row>
    <row r="573" spans="6:6" x14ac:dyDescent="0.2">
      <c r="F573" s="253"/>
    </row>
    <row r="574" spans="6:6" x14ac:dyDescent="0.2">
      <c r="F574" s="253"/>
    </row>
    <row r="575" spans="6:6" x14ac:dyDescent="0.2">
      <c r="F575" s="253"/>
    </row>
    <row r="576" spans="6:6" x14ac:dyDescent="0.2">
      <c r="F576" s="253"/>
    </row>
    <row r="577" spans="6:6" x14ac:dyDescent="0.2">
      <c r="F577" s="253"/>
    </row>
    <row r="578" spans="6:6" x14ac:dyDescent="0.2">
      <c r="F578" s="253"/>
    </row>
    <row r="579" spans="6:6" x14ac:dyDescent="0.2">
      <c r="F579" s="253"/>
    </row>
    <row r="580" spans="6:6" x14ac:dyDescent="0.2">
      <c r="F580" s="253"/>
    </row>
    <row r="581" spans="6:6" x14ac:dyDescent="0.2">
      <c r="F581" s="253"/>
    </row>
    <row r="582" spans="6:6" x14ac:dyDescent="0.2">
      <c r="F582" s="253"/>
    </row>
    <row r="583" spans="6:6" x14ac:dyDescent="0.2">
      <c r="F583" s="253"/>
    </row>
    <row r="584" spans="6:6" x14ac:dyDescent="0.2">
      <c r="F584" s="253"/>
    </row>
    <row r="585" spans="6:6" x14ac:dyDescent="0.2">
      <c r="F585" s="253"/>
    </row>
    <row r="586" spans="6:6" x14ac:dyDescent="0.2">
      <c r="F586" s="253"/>
    </row>
    <row r="587" spans="6:6" x14ac:dyDescent="0.2">
      <c r="F587" s="253"/>
    </row>
    <row r="588" spans="6:6" x14ac:dyDescent="0.2">
      <c r="F588" s="253"/>
    </row>
    <row r="589" spans="6:6" x14ac:dyDescent="0.2">
      <c r="F589" s="253"/>
    </row>
    <row r="590" spans="6:6" x14ac:dyDescent="0.2">
      <c r="F590" s="253"/>
    </row>
    <row r="591" spans="6:6" x14ac:dyDescent="0.2">
      <c r="F591" s="253"/>
    </row>
    <row r="592" spans="6:6" x14ac:dyDescent="0.2">
      <c r="F592" s="253"/>
    </row>
    <row r="593" spans="6:6" x14ac:dyDescent="0.2">
      <c r="F593" s="253"/>
    </row>
    <row r="594" spans="6:6" x14ac:dyDescent="0.2">
      <c r="F594" s="253"/>
    </row>
    <row r="595" spans="6:6" x14ac:dyDescent="0.2">
      <c r="F595" s="253"/>
    </row>
    <row r="596" spans="6:6" x14ac:dyDescent="0.2">
      <c r="F596" s="253"/>
    </row>
    <row r="597" spans="6:6" x14ac:dyDescent="0.2">
      <c r="F597" s="253"/>
    </row>
    <row r="598" spans="6:6" x14ac:dyDescent="0.2">
      <c r="F598" s="253"/>
    </row>
    <row r="599" spans="6:6" x14ac:dyDescent="0.2">
      <c r="F599" s="253"/>
    </row>
    <row r="600" spans="6:6" x14ac:dyDescent="0.2">
      <c r="F600" s="253"/>
    </row>
    <row r="601" spans="6:6" x14ac:dyDescent="0.2">
      <c r="F601" s="253"/>
    </row>
    <row r="602" spans="6:6" x14ac:dyDescent="0.2">
      <c r="F602" s="253"/>
    </row>
    <row r="603" spans="6:6" x14ac:dyDescent="0.2">
      <c r="F603" s="253"/>
    </row>
    <row r="604" spans="6:6" x14ac:dyDescent="0.2">
      <c r="F604" s="253"/>
    </row>
    <row r="605" spans="6:6" x14ac:dyDescent="0.2">
      <c r="F605" s="253"/>
    </row>
    <row r="606" spans="6:6" x14ac:dyDescent="0.2">
      <c r="F606" s="253"/>
    </row>
    <row r="607" spans="6:6" x14ac:dyDescent="0.2">
      <c r="F607" s="253"/>
    </row>
    <row r="608" spans="6:6" x14ac:dyDescent="0.2">
      <c r="F608" s="253"/>
    </row>
    <row r="609" spans="6:6" x14ac:dyDescent="0.2">
      <c r="F609" s="253"/>
    </row>
    <row r="610" spans="6:6" x14ac:dyDescent="0.2">
      <c r="F610" s="253"/>
    </row>
    <row r="611" spans="6:6" x14ac:dyDescent="0.2">
      <c r="F611" s="253"/>
    </row>
    <row r="612" spans="6:6" x14ac:dyDescent="0.2">
      <c r="F612" s="253"/>
    </row>
    <row r="613" spans="6:6" x14ac:dyDescent="0.2">
      <c r="F613" s="253"/>
    </row>
    <row r="614" spans="6:6" x14ac:dyDescent="0.2">
      <c r="F614" s="253"/>
    </row>
    <row r="615" spans="6:6" x14ac:dyDescent="0.2">
      <c r="F615" s="253"/>
    </row>
    <row r="616" spans="6:6" x14ac:dyDescent="0.2">
      <c r="F616" s="253"/>
    </row>
    <row r="617" spans="6:6" x14ac:dyDescent="0.2">
      <c r="F617" s="253"/>
    </row>
    <row r="618" spans="6:6" x14ac:dyDescent="0.2">
      <c r="F618" s="253"/>
    </row>
    <row r="619" spans="6:6" x14ac:dyDescent="0.2">
      <c r="F619" s="253"/>
    </row>
    <row r="620" spans="6:6" x14ac:dyDescent="0.2">
      <c r="F620" s="253"/>
    </row>
    <row r="621" spans="6:6" x14ac:dyDescent="0.2">
      <c r="F621" s="253"/>
    </row>
    <row r="622" spans="6:6" x14ac:dyDescent="0.2">
      <c r="F622" s="253"/>
    </row>
    <row r="623" spans="6:6" x14ac:dyDescent="0.2">
      <c r="F623" s="253"/>
    </row>
    <row r="624" spans="6:6" x14ac:dyDescent="0.2">
      <c r="F624" s="253"/>
    </row>
    <row r="625" spans="6:6" x14ac:dyDescent="0.2">
      <c r="F625" s="253"/>
    </row>
    <row r="626" spans="6:6" x14ac:dyDescent="0.2">
      <c r="F626" s="253"/>
    </row>
    <row r="627" spans="6:6" x14ac:dyDescent="0.2">
      <c r="F627" s="253"/>
    </row>
    <row r="628" spans="6:6" x14ac:dyDescent="0.2">
      <c r="F628" s="253"/>
    </row>
    <row r="629" spans="6:6" x14ac:dyDescent="0.2">
      <c r="F629" s="253"/>
    </row>
    <row r="630" spans="6:6" x14ac:dyDescent="0.2">
      <c r="F630" s="253"/>
    </row>
    <row r="631" spans="6:6" x14ac:dyDescent="0.2">
      <c r="F631" s="253"/>
    </row>
    <row r="632" spans="6:6" x14ac:dyDescent="0.2">
      <c r="F632" s="253"/>
    </row>
    <row r="633" spans="6:6" x14ac:dyDescent="0.2">
      <c r="F633" s="253"/>
    </row>
    <row r="634" spans="6:6" x14ac:dyDescent="0.2">
      <c r="F634" s="253"/>
    </row>
    <row r="635" spans="6:6" x14ac:dyDescent="0.2">
      <c r="F635" s="253"/>
    </row>
    <row r="636" spans="6:6" x14ac:dyDescent="0.2">
      <c r="F636" s="253"/>
    </row>
    <row r="637" spans="6:6" x14ac:dyDescent="0.2">
      <c r="F637" s="253"/>
    </row>
    <row r="638" spans="6:6" x14ac:dyDescent="0.2">
      <c r="F638" s="253"/>
    </row>
    <row r="639" spans="6:6" x14ac:dyDescent="0.2">
      <c r="F639" s="253"/>
    </row>
    <row r="640" spans="6:6" x14ac:dyDescent="0.2">
      <c r="F640" s="253"/>
    </row>
    <row r="641" spans="6:6" x14ac:dyDescent="0.2">
      <c r="F641" s="253"/>
    </row>
    <row r="642" spans="6:6" x14ac:dyDescent="0.2">
      <c r="F642" s="253"/>
    </row>
    <row r="643" spans="6:6" x14ac:dyDescent="0.2">
      <c r="F643" s="253"/>
    </row>
    <row r="644" spans="6:6" x14ac:dyDescent="0.2">
      <c r="F644" s="253"/>
    </row>
    <row r="645" spans="6:6" x14ac:dyDescent="0.2">
      <c r="F645" s="253"/>
    </row>
    <row r="646" spans="6:6" x14ac:dyDescent="0.2">
      <c r="F646" s="253"/>
    </row>
    <row r="647" spans="6:6" x14ac:dyDescent="0.2">
      <c r="F647" s="253"/>
    </row>
    <row r="648" spans="6:6" x14ac:dyDescent="0.2">
      <c r="F648" s="253"/>
    </row>
    <row r="649" spans="6:6" x14ac:dyDescent="0.2">
      <c r="F649" s="253"/>
    </row>
    <row r="650" spans="6:6" x14ac:dyDescent="0.2">
      <c r="F650" s="253"/>
    </row>
    <row r="651" spans="6:6" x14ac:dyDescent="0.2">
      <c r="F651" s="253"/>
    </row>
    <row r="652" spans="6:6" x14ac:dyDescent="0.2">
      <c r="F652" s="253"/>
    </row>
    <row r="653" spans="6:6" x14ac:dyDescent="0.2">
      <c r="F653" s="253"/>
    </row>
    <row r="654" spans="6:6" x14ac:dyDescent="0.2">
      <c r="F654" s="253"/>
    </row>
    <row r="655" spans="6:6" x14ac:dyDescent="0.2">
      <c r="F655" s="253"/>
    </row>
    <row r="656" spans="6:6" x14ac:dyDescent="0.2">
      <c r="F656" s="253"/>
    </row>
    <row r="657" spans="6:6" x14ac:dyDescent="0.2">
      <c r="F657" s="253"/>
    </row>
    <row r="658" spans="6:6" x14ac:dyDescent="0.2">
      <c r="F658" s="253"/>
    </row>
    <row r="659" spans="6:6" x14ac:dyDescent="0.2">
      <c r="F659" s="253"/>
    </row>
    <row r="660" spans="6:6" x14ac:dyDescent="0.2">
      <c r="F660" s="253"/>
    </row>
    <row r="661" spans="6:6" x14ac:dyDescent="0.2">
      <c r="F661" s="253"/>
    </row>
    <row r="662" spans="6:6" x14ac:dyDescent="0.2">
      <c r="F662" s="253"/>
    </row>
    <row r="663" spans="6:6" x14ac:dyDescent="0.2">
      <c r="F663" s="253"/>
    </row>
    <row r="664" spans="6:6" x14ac:dyDescent="0.2">
      <c r="F664" s="253"/>
    </row>
    <row r="665" spans="6:6" x14ac:dyDescent="0.2">
      <c r="F665" s="253"/>
    </row>
    <row r="666" spans="6:6" x14ac:dyDescent="0.2">
      <c r="F666" s="253"/>
    </row>
    <row r="667" spans="6:6" x14ac:dyDescent="0.2">
      <c r="F667" s="253"/>
    </row>
    <row r="668" spans="6:6" x14ac:dyDescent="0.2">
      <c r="F668" s="253"/>
    </row>
    <row r="669" spans="6:6" x14ac:dyDescent="0.2">
      <c r="F669" s="253"/>
    </row>
    <row r="670" spans="6:6" x14ac:dyDescent="0.2">
      <c r="F670" s="253"/>
    </row>
    <row r="671" spans="6:6" x14ac:dyDescent="0.2">
      <c r="F671" s="253"/>
    </row>
    <row r="672" spans="6:6" x14ac:dyDescent="0.2">
      <c r="F672" s="253"/>
    </row>
    <row r="673" spans="6:6" x14ac:dyDescent="0.2">
      <c r="F673" s="253"/>
    </row>
    <row r="674" spans="6:6" x14ac:dyDescent="0.2">
      <c r="F674" s="253"/>
    </row>
    <row r="675" spans="6:6" x14ac:dyDescent="0.2">
      <c r="F675" s="253"/>
    </row>
    <row r="676" spans="6:6" x14ac:dyDescent="0.2">
      <c r="F676" s="253"/>
    </row>
    <row r="677" spans="6:6" x14ac:dyDescent="0.2">
      <c r="F677" s="253"/>
    </row>
    <row r="678" spans="6:6" x14ac:dyDescent="0.2">
      <c r="F678" s="253"/>
    </row>
    <row r="679" spans="6:6" x14ac:dyDescent="0.2">
      <c r="F679" s="253"/>
    </row>
    <row r="680" spans="6:6" x14ac:dyDescent="0.2">
      <c r="F680" s="253"/>
    </row>
    <row r="681" spans="6:6" x14ac:dyDescent="0.2">
      <c r="F681" s="253"/>
    </row>
    <row r="682" spans="6:6" x14ac:dyDescent="0.2">
      <c r="F682" s="253"/>
    </row>
    <row r="683" spans="6:6" x14ac:dyDescent="0.2">
      <c r="F683" s="253"/>
    </row>
    <row r="684" spans="6:6" x14ac:dyDescent="0.2">
      <c r="F684" s="253"/>
    </row>
    <row r="685" spans="6:6" x14ac:dyDescent="0.2">
      <c r="F685" s="253"/>
    </row>
    <row r="686" spans="6:6" x14ac:dyDescent="0.2">
      <c r="F686" s="253"/>
    </row>
    <row r="687" spans="6:6" x14ac:dyDescent="0.2">
      <c r="F687" s="253"/>
    </row>
    <row r="688" spans="6:6" x14ac:dyDescent="0.2">
      <c r="F688" s="253"/>
    </row>
    <row r="689" spans="6:6" x14ac:dyDescent="0.2">
      <c r="F689" s="253"/>
    </row>
    <row r="690" spans="6:6" x14ac:dyDescent="0.2">
      <c r="F690" s="253"/>
    </row>
    <row r="691" spans="6:6" x14ac:dyDescent="0.2">
      <c r="F691" s="253"/>
    </row>
    <row r="692" spans="6:6" x14ac:dyDescent="0.2">
      <c r="F692" s="253"/>
    </row>
    <row r="693" spans="6:6" x14ac:dyDescent="0.2">
      <c r="F693" s="253"/>
    </row>
    <row r="694" spans="6:6" x14ac:dyDescent="0.2">
      <c r="F694" s="253"/>
    </row>
    <row r="695" spans="6:6" x14ac:dyDescent="0.2">
      <c r="F695" s="253"/>
    </row>
    <row r="696" spans="6:6" x14ac:dyDescent="0.2">
      <c r="F696" s="253"/>
    </row>
    <row r="697" spans="6:6" x14ac:dyDescent="0.2">
      <c r="F697" s="253"/>
    </row>
    <row r="698" spans="6:6" x14ac:dyDescent="0.2">
      <c r="F698" s="253"/>
    </row>
    <row r="699" spans="6:6" x14ac:dyDescent="0.2">
      <c r="F699" s="253"/>
    </row>
    <row r="700" spans="6:6" x14ac:dyDescent="0.2">
      <c r="F700" s="253"/>
    </row>
    <row r="701" spans="6:6" x14ac:dyDescent="0.2">
      <c r="F701" s="253"/>
    </row>
    <row r="702" spans="6:6" x14ac:dyDescent="0.2">
      <c r="F702" s="253"/>
    </row>
    <row r="703" spans="6:6" x14ac:dyDescent="0.2">
      <c r="F703" s="253"/>
    </row>
    <row r="704" spans="6:6" x14ac:dyDescent="0.2">
      <c r="F704" s="253"/>
    </row>
    <row r="705" spans="6:6" x14ac:dyDescent="0.2">
      <c r="F705" s="253"/>
    </row>
    <row r="706" spans="6:6" x14ac:dyDescent="0.2">
      <c r="F706" s="253"/>
    </row>
    <row r="707" spans="6:6" x14ac:dyDescent="0.2">
      <c r="F707" s="253"/>
    </row>
    <row r="708" spans="6:6" x14ac:dyDescent="0.2">
      <c r="F708" s="253"/>
    </row>
    <row r="709" spans="6:6" x14ac:dyDescent="0.2">
      <c r="F709" s="253"/>
    </row>
    <row r="710" spans="6:6" x14ac:dyDescent="0.2">
      <c r="F710" s="253"/>
    </row>
    <row r="711" spans="6:6" x14ac:dyDescent="0.2">
      <c r="F711" s="253"/>
    </row>
    <row r="712" spans="6:6" x14ac:dyDescent="0.2">
      <c r="F712" s="253"/>
    </row>
    <row r="713" spans="6:6" x14ac:dyDescent="0.2">
      <c r="F713" s="253"/>
    </row>
    <row r="714" spans="6:6" x14ac:dyDescent="0.2">
      <c r="F714" s="253"/>
    </row>
    <row r="715" spans="6:6" x14ac:dyDescent="0.2">
      <c r="F715" s="253"/>
    </row>
    <row r="716" spans="6:6" x14ac:dyDescent="0.2">
      <c r="F716" s="253"/>
    </row>
    <row r="717" spans="6:6" x14ac:dyDescent="0.2">
      <c r="F717" s="253"/>
    </row>
    <row r="718" spans="6:6" x14ac:dyDescent="0.2">
      <c r="F718" s="253"/>
    </row>
    <row r="719" spans="6:6" x14ac:dyDescent="0.2">
      <c r="F719" s="253"/>
    </row>
    <row r="720" spans="6:6" x14ac:dyDescent="0.2">
      <c r="F720" s="253"/>
    </row>
    <row r="721" spans="6:6" x14ac:dyDescent="0.2">
      <c r="F721" s="253"/>
    </row>
    <row r="722" spans="6:6" x14ac:dyDescent="0.2">
      <c r="F722" s="253"/>
    </row>
    <row r="723" spans="6:6" x14ac:dyDescent="0.2">
      <c r="F723" s="253"/>
    </row>
    <row r="724" spans="6:6" x14ac:dyDescent="0.2">
      <c r="F724" s="253"/>
    </row>
    <row r="725" spans="6:6" x14ac:dyDescent="0.2">
      <c r="F725" s="253"/>
    </row>
    <row r="726" spans="6:6" x14ac:dyDescent="0.2">
      <c r="F726" s="253"/>
    </row>
    <row r="727" spans="6:6" x14ac:dyDescent="0.2">
      <c r="F727" s="253"/>
    </row>
    <row r="728" spans="6:6" x14ac:dyDescent="0.2">
      <c r="F728" s="253"/>
    </row>
    <row r="729" spans="6:6" x14ac:dyDescent="0.2">
      <c r="F729" s="253"/>
    </row>
    <row r="730" spans="6:6" x14ac:dyDescent="0.2">
      <c r="F730" s="253"/>
    </row>
    <row r="731" spans="6:6" x14ac:dyDescent="0.2">
      <c r="F731" s="253"/>
    </row>
    <row r="732" spans="6:6" x14ac:dyDescent="0.2">
      <c r="F732" s="253"/>
    </row>
    <row r="733" spans="6:6" x14ac:dyDescent="0.2">
      <c r="F733" s="253"/>
    </row>
    <row r="734" spans="6:6" x14ac:dyDescent="0.2">
      <c r="F734" s="253"/>
    </row>
    <row r="735" spans="6:6" x14ac:dyDescent="0.2">
      <c r="F735" s="253"/>
    </row>
    <row r="736" spans="6:6" x14ac:dyDescent="0.2">
      <c r="F736" s="253"/>
    </row>
    <row r="737" spans="6:6" x14ac:dyDescent="0.2">
      <c r="F737" s="253"/>
    </row>
    <row r="738" spans="6:6" x14ac:dyDescent="0.2">
      <c r="F738" s="253"/>
    </row>
    <row r="739" spans="6:6" x14ac:dyDescent="0.2">
      <c r="F739" s="253"/>
    </row>
    <row r="740" spans="6:6" x14ac:dyDescent="0.2">
      <c r="F740" s="253"/>
    </row>
    <row r="741" spans="6:6" x14ac:dyDescent="0.2">
      <c r="F741" s="253"/>
    </row>
    <row r="742" spans="6:6" x14ac:dyDescent="0.2">
      <c r="F742" s="253"/>
    </row>
    <row r="743" spans="6:6" x14ac:dyDescent="0.2">
      <c r="F743" s="253"/>
    </row>
    <row r="744" spans="6:6" x14ac:dyDescent="0.2">
      <c r="F744" s="253"/>
    </row>
    <row r="745" spans="6:6" x14ac:dyDescent="0.2">
      <c r="F745" s="253"/>
    </row>
    <row r="746" spans="6:6" x14ac:dyDescent="0.2">
      <c r="F746" s="253"/>
    </row>
    <row r="747" spans="6:6" x14ac:dyDescent="0.2">
      <c r="F747" s="253"/>
    </row>
    <row r="748" spans="6:6" x14ac:dyDescent="0.2">
      <c r="F748" s="253"/>
    </row>
    <row r="749" spans="6:6" x14ac:dyDescent="0.2">
      <c r="F749" s="253"/>
    </row>
    <row r="750" spans="6:6" x14ac:dyDescent="0.2">
      <c r="F750" s="253"/>
    </row>
    <row r="751" spans="6:6" x14ac:dyDescent="0.2">
      <c r="F751" s="253"/>
    </row>
    <row r="752" spans="6:6" x14ac:dyDescent="0.2">
      <c r="F752" s="253"/>
    </row>
    <row r="753" spans="6:6" x14ac:dyDescent="0.2">
      <c r="F753" s="253"/>
    </row>
    <row r="754" spans="6:6" x14ac:dyDescent="0.2">
      <c r="F754" s="253"/>
    </row>
    <row r="755" spans="6:6" x14ac:dyDescent="0.2">
      <c r="F755" s="253"/>
    </row>
    <row r="756" spans="6:6" x14ac:dyDescent="0.2">
      <c r="F756" s="253"/>
    </row>
    <row r="757" spans="6:6" x14ac:dyDescent="0.2">
      <c r="F757" s="253"/>
    </row>
    <row r="758" spans="6:6" x14ac:dyDescent="0.2">
      <c r="F758" s="253"/>
    </row>
    <row r="759" spans="6:6" x14ac:dyDescent="0.2">
      <c r="F759" s="253"/>
    </row>
    <row r="760" spans="6:6" x14ac:dyDescent="0.2">
      <c r="F760" s="253"/>
    </row>
    <row r="761" spans="6:6" x14ac:dyDescent="0.2">
      <c r="F761" s="253"/>
    </row>
    <row r="762" spans="6:6" x14ac:dyDescent="0.2">
      <c r="F762" s="253"/>
    </row>
    <row r="763" spans="6:6" x14ac:dyDescent="0.2">
      <c r="F763" s="253"/>
    </row>
    <row r="764" spans="6:6" x14ac:dyDescent="0.2">
      <c r="F764" s="253"/>
    </row>
    <row r="765" spans="6:6" x14ac:dyDescent="0.2">
      <c r="F765" s="253"/>
    </row>
    <row r="766" spans="6:6" x14ac:dyDescent="0.2">
      <c r="F766" s="253"/>
    </row>
    <row r="767" spans="6:6" x14ac:dyDescent="0.2">
      <c r="F767" s="253"/>
    </row>
    <row r="768" spans="6:6" x14ac:dyDescent="0.2">
      <c r="F768" s="253"/>
    </row>
    <row r="769" spans="6:6" x14ac:dyDescent="0.2">
      <c r="F769" s="253"/>
    </row>
    <row r="770" spans="6:6" x14ac:dyDescent="0.2">
      <c r="F770" s="253"/>
    </row>
    <row r="771" spans="6:6" x14ac:dyDescent="0.2">
      <c r="F771" s="253"/>
    </row>
    <row r="772" spans="6:6" x14ac:dyDescent="0.2">
      <c r="F772" s="253"/>
    </row>
    <row r="773" spans="6:6" x14ac:dyDescent="0.2">
      <c r="F773" s="253"/>
    </row>
    <row r="774" spans="6:6" x14ac:dyDescent="0.2">
      <c r="F774" s="253"/>
    </row>
    <row r="775" spans="6:6" x14ac:dyDescent="0.2">
      <c r="F775" s="253"/>
    </row>
    <row r="776" spans="6:6" x14ac:dyDescent="0.2">
      <c r="F776" s="253"/>
    </row>
    <row r="777" spans="6:6" x14ac:dyDescent="0.2">
      <c r="F777" s="253"/>
    </row>
    <row r="778" spans="6:6" x14ac:dyDescent="0.2">
      <c r="F778" s="253"/>
    </row>
    <row r="779" spans="6:6" x14ac:dyDescent="0.2">
      <c r="F779" s="253"/>
    </row>
    <row r="780" spans="6:6" x14ac:dyDescent="0.2">
      <c r="F780" s="253"/>
    </row>
    <row r="781" spans="6:6" x14ac:dyDescent="0.2">
      <c r="F781" s="253"/>
    </row>
    <row r="782" spans="6:6" x14ac:dyDescent="0.2">
      <c r="F782" s="253"/>
    </row>
    <row r="783" spans="6:6" x14ac:dyDescent="0.2">
      <c r="F783" s="253"/>
    </row>
    <row r="784" spans="6:6" x14ac:dyDescent="0.2">
      <c r="F784" s="253"/>
    </row>
    <row r="785" spans="6:6" x14ac:dyDescent="0.2">
      <c r="F785" s="253"/>
    </row>
    <row r="786" spans="6:6" x14ac:dyDescent="0.2">
      <c r="F786" s="253"/>
    </row>
    <row r="787" spans="6:6" x14ac:dyDescent="0.2">
      <c r="F787" s="253"/>
    </row>
    <row r="788" spans="6:6" x14ac:dyDescent="0.2">
      <c r="F788" s="253"/>
    </row>
    <row r="789" spans="6:6" x14ac:dyDescent="0.2">
      <c r="F789" s="253"/>
    </row>
    <row r="790" spans="6:6" x14ac:dyDescent="0.2">
      <c r="F790" s="253"/>
    </row>
    <row r="791" spans="6:6" x14ac:dyDescent="0.2">
      <c r="F791" s="253"/>
    </row>
    <row r="792" spans="6:6" x14ac:dyDescent="0.2">
      <c r="F792" s="253"/>
    </row>
    <row r="793" spans="6:6" x14ac:dyDescent="0.2">
      <c r="F793" s="253"/>
    </row>
    <row r="794" spans="6:6" x14ac:dyDescent="0.2">
      <c r="F794" s="253"/>
    </row>
    <row r="795" spans="6:6" x14ac:dyDescent="0.2">
      <c r="F795" s="253"/>
    </row>
    <row r="796" spans="6:6" x14ac:dyDescent="0.2">
      <c r="F796" s="253"/>
    </row>
    <row r="797" spans="6:6" x14ac:dyDescent="0.2">
      <c r="F797" s="253"/>
    </row>
    <row r="798" spans="6:6" x14ac:dyDescent="0.2">
      <c r="F798" s="253"/>
    </row>
    <row r="799" spans="6:6" x14ac:dyDescent="0.2">
      <c r="F799" s="253"/>
    </row>
    <row r="800" spans="6:6" x14ac:dyDescent="0.2">
      <c r="F800" s="253"/>
    </row>
    <row r="801" spans="6:6" x14ac:dyDescent="0.2">
      <c r="F801" s="253"/>
    </row>
    <row r="802" spans="6:6" x14ac:dyDescent="0.2">
      <c r="F802" s="253"/>
    </row>
    <row r="803" spans="6:6" x14ac:dyDescent="0.2">
      <c r="F803" s="253"/>
    </row>
    <row r="804" spans="6:6" x14ac:dyDescent="0.2">
      <c r="F804" s="253"/>
    </row>
    <row r="805" spans="6:6" x14ac:dyDescent="0.2">
      <c r="F805" s="253"/>
    </row>
    <row r="806" spans="6:6" x14ac:dyDescent="0.2">
      <c r="F806" s="253"/>
    </row>
    <row r="807" spans="6:6" x14ac:dyDescent="0.2">
      <c r="F807" s="253"/>
    </row>
    <row r="808" spans="6:6" x14ac:dyDescent="0.2">
      <c r="F808" s="253"/>
    </row>
    <row r="809" spans="6:6" x14ac:dyDescent="0.2">
      <c r="F809" s="253"/>
    </row>
    <row r="810" spans="6:6" x14ac:dyDescent="0.2">
      <c r="F810" s="253"/>
    </row>
    <row r="811" spans="6:6" x14ac:dyDescent="0.2">
      <c r="F811" s="253"/>
    </row>
    <row r="812" spans="6:6" x14ac:dyDescent="0.2">
      <c r="F812" s="253"/>
    </row>
    <row r="813" spans="6:6" x14ac:dyDescent="0.2">
      <c r="F813" s="253"/>
    </row>
    <row r="814" spans="6:6" x14ac:dyDescent="0.2">
      <c r="F814" s="253"/>
    </row>
    <row r="815" spans="6:6" x14ac:dyDescent="0.2">
      <c r="F815" s="253"/>
    </row>
    <row r="816" spans="6:6" x14ac:dyDescent="0.2">
      <c r="F816" s="253"/>
    </row>
    <row r="817" spans="6:6" x14ac:dyDescent="0.2">
      <c r="F817" s="253"/>
    </row>
    <row r="818" spans="6:6" x14ac:dyDescent="0.2">
      <c r="F818" s="253"/>
    </row>
    <row r="819" spans="6:6" x14ac:dyDescent="0.2">
      <c r="F819" s="253"/>
    </row>
    <row r="820" spans="6:6" x14ac:dyDescent="0.2">
      <c r="F820" s="253"/>
    </row>
    <row r="821" spans="6:6" x14ac:dyDescent="0.2">
      <c r="F821" s="253"/>
    </row>
    <row r="822" spans="6:6" x14ac:dyDescent="0.2">
      <c r="F822" s="253"/>
    </row>
    <row r="823" spans="6:6" x14ac:dyDescent="0.2">
      <c r="F823" s="253"/>
    </row>
    <row r="824" spans="6:6" x14ac:dyDescent="0.2">
      <c r="F824" s="253"/>
    </row>
    <row r="825" spans="6:6" x14ac:dyDescent="0.2">
      <c r="F825" s="253"/>
    </row>
    <row r="826" spans="6:6" x14ac:dyDescent="0.2">
      <c r="F826" s="253"/>
    </row>
    <row r="827" spans="6:6" x14ac:dyDescent="0.2">
      <c r="F827" s="253"/>
    </row>
    <row r="828" spans="6:6" x14ac:dyDescent="0.2">
      <c r="F828" s="253"/>
    </row>
    <row r="829" spans="6:6" x14ac:dyDescent="0.2">
      <c r="F829" s="253"/>
    </row>
    <row r="830" spans="6:6" x14ac:dyDescent="0.2">
      <c r="F830" s="253"/>
    </row>
    <row r="831" spans="6:6" x14ac:dyDescent="0.2">
      <c r="F831" s="253"/>
    </row>
    <row r="832" spans="6:6" x14ac:dyDescent="0.2">
      <c r="F832" s="253"/>
    </row>
    <row r="833" spans="6:6" x14ac:dyDescent="0.2">
      <c r="F833" s="253"/>
    </row>
    <row r="834" spans="6:6" x14ac:dyDescent="0.2">
      <c r="F834" s="253"/>
    </row>
    <row r="835" spans="6:6" x14ac:dyDescent="0.2">
      <c r="F835" s="253"/>
    </row>
    <row r="836" spans="6:6" x14ac:dyDescent="0.2">
      <c r="F836" s="253"/>
    </row>
    <row r="837" spans="6:6" x14ac:dyDescent="0.2">
      <c r="F837" s="253"/>
    </row>
    <row r="838" spans="6:6" x14ac:dyDescent="0.2">
      <c r="F838" s="253"/>
    </row>
    <row r="839" spans="6:6" x14ac:dyDescent="0.2">
      <c r="F839" s="253"/>
    </row>
    <row r="840" spans="6:6" x14ac:dyDescent="0.2">
      <c r="F840" s="253"/>
    </row>
    <row r="841" spans="6:6" x14ac:dyDescent="0.2">
      <c r="F841" s="253"/>
    </row>
    <row r="842" spans="6:6" x14ac:dyDescent="0.2">
      <c r="F842" s="253"/>
    </row>
    <row r="843" spans="6:6" x14ac:dyDescent="0.2">
      <c r="F843" s="253"/>
    </row>
    <row r="844" spans="6:6" x14ac:dyDescent="0.2">
      <c r="F844" s="253"/>
    </row>
    <row r="845" spans="6:6" x14ac:dyDescent="0.2">
      <c r="F845" s="253"/>
    </row>
    <row r="846" spans="6:6" x14ac:dyDescent="0.2">
      <c r="F846" s="253"/>
    </row>
    <row r="847" spans="6:6" x14ac:dyDescent="0.2">
      <c r="F847" s="253"/>
    </row>
    <row r="848" spans="6:6" x14ac:dyDescent="0.2">
      <c r="F848" s="253"/>
    </row>
    <row r="849" spans="6:6" x14ac:dyDescent="0.2">
      <c r="F849" s="253"/>
    </row>
    <row r="850" spans="6:6" x14ac:dyDescent="0.2">
      <c r="F850" s="253"/>
    </row>
    <row r="851" spans="6:6" x14ac:dyDescent="0.2">
      <c r="F851" s="253"/>
    </row>
    <row r="852" spans="6:6" x14ac:dyDescent="0.2">
      <c r="F852" s="253"/>
    </row>
    <row r="853" spans="6:6" x14ac:dyDescent="0.2">
      <c r="F853" s="253"/>
    </row>
    <row r="854" spans="6:6" x14ac:dyDescent="0.2">
      <c r="F854" s="253"/>
    </row>
    <row r="855" spans="6:6" x14ac:dyDescent="0.2">
      <c r="F855" s="253"/>
    </row>
    <row r="856" spans="6:6" x14ac:dyDescent="0.2">
      <c r="F856" s="253"/>
    </row>
    <row r="857" spans="6:6" x14ac:dyDescent="0.2">
      <c r="F857" s="253"/>
    </row>
    <row r="858" spans="6:6" x14ac:dyDescent="0.2">
      <c r="F858" s="253"/>
    </row>
    <row r="859" spans="6:6" x14ac:dyDescent="0.2">
      <c r="F859" s="253"/>
    </row>
    <row r="860" spans="6:6" x14ac:dyDescent="0.2">
      <c r="F860" s="253"/>
    </row>
    <row r="861" spans="6:6" x14ac:dyDescent="0.2">
      <c r="F861" s="253"/>
    </row>
    <row r="862" spans="6:6" x14ac:dyDescent="0.2">
      <c r="F862" s="253"/>
    </row>
    <row r="863" spans="6:6" x14ac:dyDescent="0.2">
      <c r="F863" s="253"/>
    </row>
    <row r="864" spans="6:6" x14ac:dyDescent="0.2">
      <c r="F864" s="253"/>
    </row>
    <row r="865" spans="6:6" x14ac:dyDescent="0.2">
      <c r="F865" s="253"/>
    </row>
    <row r="866" spans="6:6" x14ac:dyDescent="0.2">
      <c r="F866" s="253"/>
    </row>
    <row r="867" spans="6:6" x14ac:dyDescent="0.2">
      <c r="F867" s="253"/>
    </row>
    <row r="868" spans="6:6" x14ac:dyDescent="0.2">
      <c r="F868" s="253"/>
    </row>
    <row r="869" spans="6:6" x14ac:dyDescent="0.2">
      <c r="F869" s="253"/>
    </row>
    <row r="870" spans="6:6" x14ac:dyDescent="0.2">
      <c r="F870" s="253"/>
    </row>
    <row r="871" spans="6:6" x14ac:dyDescent="0.2">
      <c r="F871" s="253"/>
    </row>
    <row r="872" spans="6:6" x14ac:dyDescent="0.2">
      <c r="F872" s="253"/>
    </row>
    <row r="873" spans="6:6" x14ac:dyDescent="0.2">
      <c r="F873" s="253"/>
    </row>
    <row r="874" spans="6:6" x14ac:dyDescent="0.2">
      <c r="F874" s="253"/>
    </row>
    <row r="875" spans="6:6" x14ac:dyDescent="0.2">
      <c r="F875" s="253"/>
    </row>
    <row r="876" spans="6:6" x14ac:dyDescent="0.2">
      <c r="F876" s="253"/>
    </row>
    <row r="877" spans="6:6" x14ac:dyDescent="0.2">
      <c r="F877" s="253"/>
    </row>
    <row r="878" spans="6:6" x14ac:dyDescent="0.2">
      <c r="F878" s="253"/>
    </row>
    <row r="879" spans="6:6" x14ac:dyDescent="0.2">
      <c r="F879" s="253"/>
    </row>
    <row r="880" spans="6:6" x14ac:dyDescent="0.2">
      <c r="F880" s="253"/>
    </row>
    <row r="881" spans="6:6" x14ac:dyDescent="0.2">
      <c r="F881" s="253"/>
    </row>
    <row r="882" spans="6:6" x14ac:dyDescent="0.2">
      <c r="F882" s="253"/>
    </row>
    <row r="883" spans="6:6" x14ac:dyDescent="0.2">
      <c r="F883" s="253"/>
    </row>
    <row r="884" spans="6:6" x14ac:dyDescent="0.2">
      <c r="F884" s="253"/>
    </row>
    <row r="885" spans="6:6" x14ac:dyDescent="0.2">
      <c r="F885" s="253"/>
    </row>
    <row r="886" spans="6:6" x14ac:dyDescent="0.2">
      <c r="F886" s="253"/>
    </row>
    <row r="887" spans="6:6" x14ac:dyDescent="0.2">
      <c r="F887" s="253"/>
    </row>
    <row r="888" spans="6:6" x14ac:dyDescent="0.2">
      <c r="F888" s="253"/>
    </row>
    <row r="889" spans="6:6" x14ac:dyDescent="0.2">
      <c r="F889" s="253"/>
    </row>
    <row r="890" spans="6:6" x14ac:dyDescent="0.2">
      <c r="F890" s="253"/>
    </row>
    <row r="891" spans="6:6" x14ac:dyDescent="0.2">
      <c r="F891" s="253"/>
    </row>
    <row r="892" spans="6:6" x14ac:dyDescent="0.2">
      <c r="F892" s="253"/>
    </row>
    <row r="893" spans="6:6" x14ac:dyDescent="0.2">
      <c r="F893" s="253"/>
    </row>
    <row r="894" spans="6:6" x14ac:dyDescent="0.2">
      <c r="F894" s="253"/>
    </row>
    <row r="895" spans="6:6" x14ac:dyDescent="0.2">
      <c r="F895" s="253"/>
    </row>
    <row r="896" spans="6:6" x14ac:dyDescent="0.2">
      <c r="F896" s="253"/>
    </row>
    <row r="897" spans="6:6" x14ac:dyDescent="0.2">
      <c r="F897" s="253"/>
    </row>
    <row r="898" spans="6:6" x14ac:dyDescent="0.2">
      <c r="F898" s="253"/>
    </row>
    <row r="899" spans="6:6" x14ac:dyDescent="0.2">
      <c r="F899" s="253"/>
    </row>
    <row r="900" spans="6:6" x14ac:dyDescent="0.2">
      <c r="F900" s="253"/>
    </row>
    <row r="901" spans="6:6" x14ac:dyDescent="0.2">
      <c r="F901" s="253"/>
    </row>
    <row r="902" spans="6:6" x14ac:dyDescent="0.2">
      <c r="F902" s="253"/>
    </row>
    <row r="903" spans="6:6" x14ac:dyDescent="0.2">
      <c r="F903" s="253"/>
    </row>
    <row r="904" spans="6:6" x14ac:dyDescent="0.2">
      <c r="F904" s="253"/>
    </row>
    <row r="905" spans="6:6" x14ac:dyDescent="0.2">
      <c r="F905" s="253"/>
    </row>
    <row r="906" spans="6:6" x14ac:dyDescent="0.2">
      <c r="F906" s="253"/>
    </row>
    <row r="907" spans="6:6" x14ac:dyDescent="0.2">
      <c r="F907" s="253"/>
    </row>
    <row r="908" spans="6:6" x14ac:dyDescent="0.2">
      <c r="F908" s="253"/>
    </row>
    <row r="909" spans="6:6" x14ac:dyDescent="0.2">
      <c r="F909" s="253"/>
    </row>
    <row r="910" spans="6:6" x14ac:dyDescent="0.2">
      <c r="F910" s="253"/>
    </row>
    <row r="911" spans="6:6" x14ac:dyDescent="0.2">
      <c r="F911" s="253"/>
    </row>
    <row r="912" spans="6:6" x14ac:dyDescent="0.2">
      <c r="F912" s="253"/>
    </row>
    <row r="913" spans="6:6" x14ac:dyDescent="0.2">
      <c r="F913" s="253"/>
    </row>
    <row r="914" spans="6:6" x14ac:dyDescent="0.2">
      <c r="F914" s="253"/>
    </row>
    <row r="915" spans="6:6" x14ac:dyDescent="0.2">
      <c r="F915" s="253"/>
    </row>
    <row r="916" spans="6:6" x14ac:dyDescent="0.2">
      <c r="F916" s="253"/>
    </row>
    <row r="917" spans="6:6" x14ac:dyDescent="0.2">
      <c r="F917" s="253"/>
    </row>
    <row r="918" spans="6:6" x14ac:dyDescent="0.2">
      <c r="F918" s="253"/>
    </row>
    <row r="919" spans="6:6" x14ac:dyDescent="0.2">
      <c r="F919" s="253"/>
    </row>
    <row r="920" spans="6:6" x14ac:dyDescent="0.2">
      <c r="F920" s="253"/>
    </row>
    <row r="921" spans="6:6" x14ac:dyDescent="0.2">
      <c r="F921" s="253"/>
    </row>
    <row r="922" spans="6:6" x14ac:dyDescent="0.2">
      <c r="F922" s="253"/>
    </row>
    <row r="923" spans="6:6" x14ac:dyDescent="0.2">
      <c r="F923" s="253"/>
    </row>
    <row r="924" spans="6:6" x14ac:dyDescent="0.2">
      <c r="F924" s="253"/>
    </row>
    <row r="925" spans="6:6" x14ac:dyDescent="0.2">
      <c r="F925" s="253"/>
    </row>
    <row r="926" spans="6:6" x14ac:dyDescent="0.2">
      <c r="F926" s="253"/>
    </row>
    <row r="927" spans="6:6" x14ac:dyDescent="0.2">
      <c r="F927" s="253"/>
    </row>
    <row r="928" spans="6:6" x14ac:dyDescent="0.2">
      <c r="F928" s="253"/>
    </row>
    <row r="929" spans="6:6" x14ac:dyDescent="0.2">
      <c r="F929" s="253"/>
    </row>
    <row r="930" spans="6:6" x14ac:dyDescent="0.2">
      <c r="F930" s="253"/>
    </row>
    <row r="931" spans="6:6" x14ac:dyDescent="0.2">
      <c r="F931" s="253"/>
    </row>
    <row r="932" spans="6:6" x14ac:dyDescent="0.2">
      <c r="F932" s="253"/>
    </row>
    <row r="933" spans="6:6" x14ac:dyDescent="0.2">
      <c r="F933" s="253"/>
    </row>
    <row r="934" spans="6:6" x14ac:dyDescent="0.2">
      <c r="F934" s="253"/>
    </row>
    <row r="935" spans="6:6" x14ac:dyDescent="0.2">
      <c r="F935" s="253"/>
    </row>
    <row r="936" spans="6:6" x14ac:dyDescent="0.2">
      <c r="F936" s="253"/>
    </row>
    <row r="937" spans="6:6" x14ac:dyDescent="0.2">
      <c r="F937" s="253"/>
    </row>
    <row r="938" spans="6:6" x14ac:dyDescent="0.2">
      <c r="F938" s="253"/>
    </row>
    <row r="939" spans="6:6" x14ac:dyDescent="0.2">
      <c r="F939" s="253"/>
    </row>
    <row r="940" spans="6:6" x14ac:dyDescent="0.2">
      <c r="F940" s="253"/>
    </row>
    <row r="941" spans="6:6" x14ac:dyDescent="0.2">
      <c r="F941" s="253"/>
    </row>
    <row r="942" spans="6:6" x14ac:dyDescent="0.2">
      <c r="F942" s="253"/>
    </row>
    <row r="943" spans="6:6" x14ac:dyDescent="0.2">
      <c r="F943" s="253"/>
    </row>
    <row r="944" spans="6:6" x14ac:dyDescent="0.2">
      <c r="F944" s="253"/>
    </row>
    <row r="945" spans="6:6" x14ac:dyDescent="0.2">
      <c r="F945" s="253"/>
    </row>
    <row r="946" spans="6:6" x14ac:dyDescent="0.2">
      <c r="F946" s="253"/>
    </row>
    <row r="947" spans="6:6" x14ac:dyDescent="0.2">
      <c r="F947" s="253"/>
    </row>
    <row r="948" spans="6:6" x14ac:dyDescent="0.2">
      <c r="F948" s="253"/>
    </row>
    <row r="949" spans="6:6" x14ac:dyDescent="0.2">
      <c r="F949" s="253"/>
    </row>
    <row r="950" spans="6:6" x14ac:dyDescent="0.2">
      <c r="F950" s="253"/>
    </row>
    <row r="951" spans="6:6" x14ac:dyDescent="0.2">
      <c r="F951" s="253"/>
    </row>
    <row r="952" spans="6:6" x14ac:dyDescent="0.2">
      <c r="F952" s="253"/>
    </row>
    <row r="953" spans="6:6" x14ac:dyDescent="0.2">
      <c r="F953" s="253"/>
    </row>
    <row r="954" spans="6:6" x14ac:dyDescent="0.2">
      <c r="F954" s="253"/>
    </row>
    <row r="955" spans="6:6" x14ac:dyDescent="0.2">
      <c r="F955" s="253"/>
    </row>
    <row r="956" spans="6:6" x14ac:dyDescent="0.2">
      <c r="F956" s="253"/>
    </row>
    <row r="957" spans="6:6" x14ac:dyDescent="0.2">
      <c r="F957" s="253"/>
    </row>
    <row r="958" spans="6:6" x14ac:dyDescent="0.2">
      <c r="F958" s="253"/>
    </row>
    <row r="959" spans="6:6" x14ac:dyDescent="0.2">
      <c r="F959" s="253"/>
    </row>
    <row r="960" spans="6:6" x14ac:dyDescent="0.2">
      <c r="F960" s="253"/>
    </row>
    <row r="961" spans="6:6" x14ac:dyDescent="0.2">
      <c r="F961" s="253"/>
    </row>
    <row r="962" spans="6:6" x14ac:dyDescent="0.2">
      <c r="F962" s="253"/>
    </row>
    <row r="963" spans="6:6" x14ac:dyDescent="0.2">
      <c r="F963" s="253"/>
    </row>
    <row r="964" spans="6:6" x14ac:dyDescent="0.2">
      <c r="F964" s="253"/>
    </row>
    <row r="965" spans="6:6" x14ac:dyDescent="0.2">
      <c r="F965" s="253"/>
    </row>
    <row r="966" spans="6:6" x14ac:dyDescent="0.2">
      <c r="F966" s="253"/>
    </row>
    <row r="967" spans="6:6" x14ac:dyDescent="0.2">
      <c r="F967" s="253"/>
    </row>
    <row r="968" spans="6:6" x14ac:dyDescent="0.2">
      <c r="F968" s="253"/>
    </row>
    <row r="969" spans="6:6" x14ac:dyDescent="0.2">
      <c r="F969" s="253"/>
    </row>
    <row r="970" spans="6:6" x14ac:dyDescent="0.2">
      <c r="F970" s="253"/>
    </row>
    <row r="971" spans="6:6" x14ac:dyDescent="0.2">
      <c r="F971" s="253"/>
    </row>
    <row r="972" spans="6:6" x14ac:dyDescent="0.2">
      <c r="F972" s="253"/>
    </row>
    <row r="973" spans="6:6" x14ac:dyDescent="0.2">
      <c r="F973" s="253"/>
    </row>
    <row r="974" spans="6:6" x14ac:dyDescent="0.2">
      <c r="F974" s="253"/>
    </row>
    <row r="975" spans="6:6" x14ac:dyDescent="0.2">
      <c r="F975" s="253"/>
    </row>
    <row r="976" spans="6:6" x14ac:dyDescent="0.2">
      <c r="F976" s="253"/>
    </row>
    <row r="977" spans="6:6" x14ac:dyDescent="0.2">
      <c r="F977" s="253"/>
    </row>
    <row r="978" spans="6:6" x14ac:dyDescent="0.2">
      <c r="F978" s="253"/>
    </row>
    <row r="979" spans="6:6" x14ac:dyDescent="0.2">
      <c r="F979" s="253"/>
    </row>
    <row r="980" spans="6:6" x14ac:dyDescent="0.2">
      <c r="F980" s="253"/>
    </row>
    <row r="981" spans="6:6" x14ac:dyDescent="0.2">
      <c r="F981" s="253"/>
    </row>
    <row r="982" spans="6:6" x14ac:dyDescent="0.2">
      <c r="F982" s="253"/>
    </row>
    <row r="983" spans="6:6" x14ac:dyDescent="0.2">
      <c r="F983" s="253"/>
    </row>
    <row r="984" spans="6:6" x14ac:dyDescent="0.2">
      <c r="F984" s="253"/>
    </row>
    <row r="985" spans="6:6" x14ac:dyDescent="0.2">
      <c r="F985" s="253"/>
    </row>
    <row r="986" spans="6:6" x14ac:dyDescent="0.2">
      <c r="F986" s="253"/>
    </row>
    <row r="987" spans="6:6" x14ac:dyDescent="0.2">
      <c r="F987" s="253"/>
    </row>
    <row r="988" spans="6:6" x14ac:dyDescent="0.2">
      <c r="F988" s="253"/>
    </row>
    <row r="989" spans="6:6" x14ac:dyDescent="0.2">
      <c r="F989" s="253"/>
    </row>
    <row r="990" spans="6:6" x14ac:dyDescent="0.2">
      <c r="F990" s="253"/>
    </row>
    <row r="991" spans="6:6" x14ac:dyDescent="0.2">
      <c r="F991" s="253"/>
    </row>
    <row r="992" spans="6:6" x14ac:dyDescent="0.2">
      <c r="F992" s="253"/>
    </row>
    <row r="993" spans="6:6" x14ac:dyDescent="0.2">
      <c r="F993" s="253"/>
    </row>
    <row r="994" spans="6:6" x14ac:dyDescent="0.2">
      <c r="F994" s="253"/>
    </row>
    <row r="995" spans="6:6" x14ac:dyDescent="0.2">
      <c r="F995" s="253"/>
    </row>
    <row r="996" spans="6:6" x14ac:dyDescent="0.2">
      <c r="F996" s="253"/>
    </row>
    <row r="997" spans="6:6" x14ac:dyDescent="0.2">
      <c r="F997" s="253"/>
    </row>
    <row r="998" spans="6:6" x14ac:dyDescent="0.2">
      <c r="F998" s="253"/>
    </row>
    <row r="999" spans="6:6" x14ac:dyDescent="0.2">
      <c r="F999" s="253"/>
    </row>
    <row r="1000" spans="6:6" x14ac:dyDescent="0.2">
      <c r="F1000" s="253"/>
    </row>
    <row r="1001" spans="6:6" x14ac:dyDescent="0.2">
      <c r="F1001" s="253"/>
    </row>
    <row r="1002" spans="6:6" x14ac:dyDescent="0.2">
      <c r="F1002" s="253"/>
    </row>
    <row r="1003" spans="6:6" x14ac:dyDescent="0.2">
      <c r="F1003" s="253"/>
    </row>
    <row r="1004" spans="6:6" x14ac:dyDescent="0.2">
      <c r="F1004" s="253"/>
    </row>
    <row r="1005" spans="6:6" x14ac:dyDescent="0.2">
      <c r="F1005" s="253"/>
    </row>
    <row r="1006" spans="6:6" x14ac:dyDescent="0.2">
      <c r="F1006" s="253"/>
    </row>
    <row r="1007" spans="6:6" x14ac:dyDescent="0.2">
      <c r="F1007" s="253"/>
    </row>
    <row r="1008" spans="6:6" x14ac:dyDescent="0.2">
      <c r="F1008" s="253"/>
    </row>
    <row r="1009" spans="6:6" x14ac:dyDescent="0.2">
      <c r="F1009" s="253"/>
    </row>
    <row r="1010" spans="6:6" x14ac:dyDescent="0.2">
      <c r="F1010" s="253"/>
    </row>
    <row r="1011" spans="6:6" x14ac:dyDescent="0.2">
      <c r="F1011" s="253"/>
    </row>
    <row r="1012" spans="6:6" x14ac:dyDescent="0.2">
      <c r="F1012" s="253"/>
    </row>
    <row r="1013" spans="6:6" x14ac:dyDescent="0.2">
      <c r="F1013" s="253"/>
    </row>
    <row r="1014" spans="6:6" x14ac:dyDescent="0.2">
      <c r="F1014" s="253"/>
    </row>
    <row r="1015" spans="6:6" x14ac:dyDescent="0.2">
      <c r="F1015" s="253"/>
    </row>
    <row r="1016" spans="6:6" x14ac:dyDescent="0.2">
      <c r="F1016" s="253"/>
    </row>
    <row r="1017" spans="6:6" x14ac:dyDescent="0.2">
      <c r="F1017" s="253"/>
    </row>
    <row r="1018" spans="6:6" x14ac:dyDescent="0.2">
      <c r="F1018" s="253"/>
    </row>
    <row r="1019" spans="6:6" x14ac:dyDescent="0.2">
      <c r="F1019" s="253"/>
    </row>
    <row r="1020" spans="6:6" x14ac:dyDescent="0.2">
      <c r="F1020" s="253"/>
    </row>
    <row r="1021" spans="6:6" x14ac:dyDescent="0.2">
      <c r="F1021" s="253"/>
    </row>
    <row r="1022" spans="6:6" x14ac:dyDescent="0.2">
      <c r="F1022" s="253"/>
    </row>
    <row r="1023" spans="6:6" x14ac:dyDescent="0.2">
      <c r="F1023" s="253"/>
    </row>
    <row r="1024" spans="6:6" x14ac:dyDescent="0.2">
      <c r="F1024" s="253"/>
    </row>
    <row r="1025" spans="6:6" x14ac:dyDescent="0.2">
      <c r="F1025" s="253"/>
    </row>
    <row r="1026" spans="6:6" x14ac:dyDescent="0.2">
      <c r="F1026" s="253"/>
    </row>
    <row r="1027" spans="6:6" x14ac:dyDescent="0.2">
      <c r="F1027" s="253"/>
    </row>
    <row r="1028" spans="6:6" x14ac:dyDescent="0.2">
      <c r="F1028" s="253"/>
    </row>
    <row r="1029" spans="6:6" x14ac:dyDescent="0.2">
      <c r="F1029" s="253"/>
    </row>
    <row r="1030" spans="6:6" x14ac:dyDescent="0.2">
      <c r="F1030" s="253"/>
    </row>
    <row r="1031" spans="6:6" x14ac:dyDescent="0.2">
      <c r="F1031" s="253"/>
    </row>
    <row r="1032" spans="6:6" x14ac:dyDescent="0.2">
      <c r="F1032" s="253"/>
    </row>
    <row r="1033" spans="6:6" x14ac:dyDescent="0.2">
      <c r="F1033" s="253"/>
    </row>
    <row r="1034" spans="6:6" x14ac:dyDescent="0.2">
      <c r="F1034" s="253"/>
    </row>
    <row r="1035" spans="6:6" x14ac:dyDescent="0.2">
      <c r="F1035" s="253"/>
    </row>
    <row r="1036" spans="6:6" x14ac:dyDescent="0.2">
      <c r="F1036" s="253"/>
    </row>
    <row r="1037" spans="6:6" x14ac:dyDescent="0.2">
      <c r="F1037" s="253"/>
    </row>
    <row r="1038" spans="6:6" x14ac:dyDescent="0.2">
      <c r="F1038" s="253"/>
    </row>
    <row r="1039" spans="6:6" x14ac:dyDescent="0.2">
      <c r="F1039" s="253"/>
    </row>
    <row r="1040" spans="6:6" x14ac:dyDescent="0.2">
      <c r="F1040" s="253"/>
    </row>
    <row r="1041" spans="6:6" x14ac:dyDescent="0.2">
      <c r="F1041" s="253"/>
    </row>
    <row r="1042" spans="6:6" x14ac:dyDescent="0.2">
      <c r="F1042" s="253"/>
    </row>
    <row r="1043" spans="6:6" x14ac:dyDescent="0.2">
      <c r="F1043" s="253"/>
    </row>
    <row r="1044" spans="6:6" x14ac:dyDescent="0.2">
      <c r="F1044" s="253"/>
    </row>
    <row r="1045" spans="6:6" x14ac:dyDescent="0.2">
      <c r="F1045" s="253"/>
    </row>
    <row r="1046" spans="6:6" x14ac:dyDescent="0.2">
      <c r="F1046" s="253"/>
    </row>
    <row r="1047" spans="6:6" x14ac:dyDescent="0.2">
      <c r="F1047" s="253"/>
    </row>
    <row r="1048" spans="6:6" x14ac:dyDescent="0.2">
      <c r="F1048" s="253"/>
    </row>
    <row r="1049" spans="6:6" x14ac:dyDescent="0.2">
      <c r="F1049" s="253"/>
    </row>
    <row r="1050" spans="6:6" x14ac:dyDescent="0.2">
      <c r="F1050" s="253"/>
    </row>
    <row r="1051" spans="6:6" x14ac:dyDescent="0.2">
      <c r="F1051" s="253"/>
    </row>
    <row r="1052" spans="6:6" x14ac:dyDescent="0.2">
      <c r="F1052" s="253"/>
    </row>
    <row r="1053" spans="6:6" x14ac:dyDescent="0.2">
      <c r="F1053" s="253"/>
    </row>
    <row r="1054" spans="6:6" x14ac:dyDescent="0.2">
      <c r="F1054" s="253"/>
    </row>
    <row r="1055" spans="6:6" x14ac:dyDescent="0.2">
      <c r="F1055" s="253"/>
    </row>
    <row r="1056" spans="6:6" x14ac:dyDescent="0.2">
      <c r="F1056" s="253"/>
    </row>
    <row r="1057" spans="6:6" x14ac:dyDescent="0.2">
      <c r="F1057" s="253"/>
    </row>
    <row r="1058" spans="6:6" x14ac:dyDescent="0.2">
      <c r="F1058" s="253"/>
    </row>
    <row r="1059" spans="6:6" x14ac:dyDescent="0.2">
      <c r="F1059" s="253"/>
    </row>
    <row r="1060" spans="6:6" x14ac:dyDescent="0.2">
      <c r="F1060" s="253"/>
    </row>
    <row r="1061" spans="6:6" x14ac:dyDescent="0.2">
      <c r="F1061" s="253"/>
    </row>
    <row r="1062" spans="6:6" x14ac:dyDescent="0.2">
      <c r="F1062" s="253"/>
    </row>
    <row r="1063" spans="6:6" x14ac:dyDescent="0.2">
      <c r="F1063" s="253"/>
    </row>
    <row r="1064" spans="6:6" x14ac:dyDescent="0.2">
      <c r="F1064" s="253"/>
    </row>
    <row r="1065" spans="6:6" x14ac:dyDescent="0.2">
      <c r="F1065" s="253"/>
    </row>
    <row r="1066" spans="6:6" x14ac:dyDescent="0.2">
      <c r="F1066" s="253"/>
    </row>
    <row r="1067" spans="6:6" x14ac:dyDescent="0.2">
      <c r="F1067" s="253"/>
    </row>
    <row r="1068" spans="6:6" x14ac:dyDescent="0.2">
      <c r="F1068" s="253"/>
    </row>
    <row r="1069" spans="6:6" x14ac:dyDescent="0.2">
      <c r="F1069" s="253"/>
    </row>
    <row r="1070" spans="6:6" x14ac:dyDescent="0.2">
      <c r="F1070" s="253"/>
    </row>
    <row r="1071" spans="6:6" x14ac:dyDescent="0.2">
      <c r="F1071" s="253"/>
    </row>
    <row r="1072" spans="6:6" x14ac:dyDescent="0.2">
      <c r="F1072" s="253"/>
    </row>
    <row r="1073" spans="6:6" x14ac:dyDescent="0.2">
      <c r="F1073" s="253"/>
    </row>
    <row r="1074" spans="6:6" x14ac:dyDescent="0.2">
      <c r="F1074" s="253"/>
    </row>
    <row r="1075" spans="6:6" x14ac:dyDescent="0.2">
      <c r="F1075" s="253"/>
    </row>
    <row r="1076" spans="6:6" x14ac:dyDescent="0.2">
      <c r="F1076" s="253"/>
    </row>
    <row r="1077" spans="6:6" x14ac:dyDescent="0.2">
      <c r="F1077" s="253"/>
    </row>
    <row r="1078" spans="6:6" x14ac:dyDescent="0.2">
      <c r="F1078" s="253"/>
    </row>
    <row r="1079" spans="6:6" x14ac:dyDescent="0.2">
      <c r="F1079" s="253"/>
    </row>
    <row r="1080" spans="6:6" x14ac:dyDescent="0.2">
      <c r="F1080" s="253"/>
    </row>
    <row r="1081" spans="6:6" x14ac:dyDescent="0.2">
      <c r="F1081" s="253"/>
    </row>
    <row r="1082" spans="6:6" x14ac:dyDescent="0.2">
      <c r="F1082" s="253"/>
    </row>
    <row r="1083" spans="6:6" x14ac:dyDescent="0.2">
      <c r="F1083" s="253"/>
    </row>
    <row r="1084" spans="6:6" x14ac:dyDescent="0.2">
      <c r="F1084" s="253"/>
    </row>
    <row r="1085" spans="6:6" x14ac:dyDescent="0.2">
      <c r="F1085" s="253"/>
    </row>
    <row r="1086" spans="6:6" x14ac:dyDescent="0.2">
      <c r="F1086" s="253"/>
    </row>
    <row r="1087" spans="6:6" x14ac:dyDescent="0.2">
      <c r="F1087" s="253"/>
    </row>
    <row r="1088" spans="6:6" x14ac:dyDescent="0.2">
      <c r="F1088" s="253"/>
    </row>
    <row r="1089" spans="6:6" x14ac:dyDescent="0.2">
      <c r="F1089" s="253"/>
    </row>
    <row r="1090" spans="6:6" x14ac:dyDescent="0.2">
      <c r="F1090" s="253"/>
    </row>
    <row r="1091" spans="6:6" x14ac:dyDescent="0.2">
      <c r="F1091" s="253"/>
    </row>
    <row r="1092" spans="6:6" x14ac:dyDescent="0.2">
      <c r="F1092" s="253"/>
    </row>
    <row r="1093" spans="6:6" x14ac:dyDescent="0.2">
      <c r="F1093" s="253"/>
    </row>
    <row r="1094" spans="6:6" x14ac:dyDescent="0.2">
      <c r="F1094" s="253"/>
    </row>
    <row r="1095" spans="6:6" x14ac:dyDescent="0.2">
      <c r="F1095" s="253"/>
    </row>
    <row r="1096" spans="6:6" x14ac:dyDescent="0.2">
      <c r="F1096" s="253"/>
    </row>
    <row r="1097" spans="6:6" x14ac:dyDescent="0.2">
      <c r="F1097" s="253"/>
    </row>
    <row r="1098" spans="6:6" x14ac:dyDescent="0.2">
      <c r="F1098" s="253"/>
    </row>
    <row r="1099" spans="6:6" x14ac:dyDescent="0.2">
      <c r="F1099" s="253"/>
    </row>
    <row r="1100" spans="6:6" x14ac:dyDescent="0.2">
      <c r="F1100" s="253"/>
    </row>
    <row r="1101" spans="6:6" x14ac:dyDescent="0.2">
      <c r="F1101" s="253"/>
    </row>
    <row r="1102" spans="6:6" x14ac:dyDescent="0.2">
      <c r="F1102" s="253"/>
    </row>
    <row r="1103" spans="6:6" x14ac:dyDescent="0.2">
      <c r="F1103" s="253"/>
    </row>
    <row r="1104" spans="6:6" x14ac:dyDescent="0.2">
      <c r="F1104" s="253"/>
    </row>
    <row r="1105" spans="6:6" x14ac:dyDescent="0.2">
      <c r="F1105" s="253"/>
    </row>
    <row r="1106" spans="6:6" x14ac:dyDescent="0.2">
      <c r="F1106" s="253"/>
    </row>
    <row r="1107" spans="6:6" x14ac:dyDescent="0.2">
      <c r="F1107" s="253"/>
    </row>
    <row r="1108" spans="6:6" x14ac:dyDescent="0.2">
      <c r="F1108" s="253"/>
    </row>
    <row r="1109" spans="6:6" x14ac:dyDescent="0.2">
      <c r="F1109" s="253"/>
    </row>
    <row r="1110" spans="6:6" x14ac:dyDescent="0.2">
      <c r="F1110" s="253"/>
    </row>
    <row r="1111" spans="6:6" x14ac:dyDescent="0.2">
      <c r="F1111" s="253"/>
    </row>
    <row r="1112" spans="6:6" x14ac:dyDescent="0.2">
      <c r="F1112" s="253"/>
    </row>
    <row r="1113" spans="6:6" x14ac:dyDescent="0.2">
      <c r="F1113" s="253"/>
    </row>
    <row r="1114" spans="6:6" x14ac:dyDescent="0.2">
      <c r="F1114" s="253"/>
    </row>
    <row r="1115" spans="6:6" x14ac:dyDescent="0.2">
      <c r="F1115" s="253"/>
    </row>
    <row r="1116" spans="6:6" x14ac:dyDescent="0.2">
      <c r="F1116" s="253"/>
    </row>
    <row r="1117" spans="6:6" x14ac:dyDescent="0.2">
      <c r="F1117" s="253"/>
    </row>
    <row r="1118" spans="6:6" x14ac:dyDescent="0.2">
      <c r="F1118" s="253"/>
    </row>
    <row r="1119" spans="6:6" x14ac:dyDescent="0.2">
      <c r="F1119" s="253"/>
    </row>
    <row r="1120" spans="6:6" x14ac:dyDescent="0.2">
      <c r="F1120" s="253"/>
    </row>
    <row r="1121" spans="6:6" x14ac:dyDescent="0.2">
      <c r="F1121" s="253"/>
    </row>
    <row r="1122" spans="6:6" x14ac:dyDescent="0.2">
      <c r="F1122" s="253"/>
    </row>
    <row r="1123" spans="6:6" x14ac:dyDescent="0.2">
      <c r="F1123" s="253"/>
    </row>
    <row r="1124" spans="6:6" x14ac:dyDescent="0.2">
      <c r="F1124" s="253"/>
    </row>
    <row r="1125" spans="6:6" x14ac:dyDescent="0.2">
      <c r="F1125" s="253"/>
    </row>
    <row r="1126" spans="6:6" x14ac:dyDescent="0.2">
      <c r="F1126" s="253"/>
    </row>
    <row r="1127" spans="6:6" x14ac:dyDescent="0.2">
      <c r="F1127" s="253"/>
    </row>
    <row r="1128" spans="6:6" x14ac:dyDescent="0.2">
      <c r="F1128" s="253"/>
    </row>
    <row r="1129" spans="6:6" x14ac:dyDescent="0.2">
      <c r="F1129" s="253"/>
    </row>
    <row r="1130" spans="6:6" x14ac:dyDescent="0.2">
      <c r="F1130" s="253"/>
    </row>
    <row r="1131" spans="6:6" x14ac:dyDescent="0.2">
      <c r="F1131" s="253"/>
    </row>
    <row r="1132" spans="6:6" x14ac:dyDescent="0.2">
      <c r="F1132" s="253"/>
    </row>
    <row r="1133" spans="6:6" x14ac:dyDescent="0.2">
      <c r="F1133" s="253"/>
    </row>
    <row r="1134" spans="6:6" x14ac:dyDescent="0.2">
      <c r="F1134" s="253"/>
    </row>
    <row r="1135" spans="6:6" x14ac:dyDescent="0.2">
      <c r="F1135" s="253"/>
    </row>
    <row r="1136" spans="6:6" x14ac:dyDescent="0.2">
      <c r="F1136" s="253"/>
    </row>
    <row r="1137" spans="6:6" x14ac:dyDescent="0.2">
      <c r="F1137" s="253"/>
    </row>
    <row r="1138" spans="6:6" x14ac:dyDescent="0.2">
      <c r="F1138" s="253"/>
    </row>
    <row r="1139" spans="6:6" x14ac:dyDescent="0.2">
      <c r="F1139" s="253"/>
    </row>
    <row r="1140" spans="6:6" x14ac:dyDescent="0.2">
      <c r="F1140" s="253"/>
    </row>
    <row r="1141" spans="6:6" x14ac:dyDescent="0.2">
      <c r="F1141" s="253"/>
    </row>
    <row r="1142" spans="6:6" x14ac:dyDescent="0.2">
      <c r="F1142" s="253"/>
    </row>
    <row r="1143" spans="6:6" x14ac:dyDescent="0.2">
      <c r="F1143" s="253"/>
    </row>
    <row r="1144" spans="6:6" x14ac:dyDescent="0.2">
      <c r="F1144" s="253"/>
    </row>
    <row r="1145" spans="6:6" x14ac:dyDescent="0.2">
      <c r="F1145" s="253"/>
    </row>
    <row r="1146" spans="6:6" x14ac:dyDescent="0.2">
      <c r="F1146" s="253"/>
    </row>
    <row r="1147" spans="6:6" x14ac:dyDescent="0.2">
      <c r="F1147" s="253"/>
    </row>
    <row r="1148" spans="6:6" x14ac:dyDescent="0.2">
      <c r="F1148" s="253"/>
    </row>
    <row r="1149" spans="6:6" x14ac:dyDescent="0.2">
      <c r="F1149" s="253"/>
    </row>
    <row r="1150" spans="6:6" x14ac:dyDescent="0.2">
      <c r="F1150" s="253"/>
    </row>
    <row r="1151" spans="6:6" x14ac:dyDescent="0.2">
      <c r="F1151" s="253"/>
    </row>
    <row r="1152" spans="6:6" x14ac:dyDescent="0.2">
      <c r="F1152" s="253"/>
    </row>
    <row r="1153" spans="6:6" x14ac:dyDescent="0.2">
      <c r="F1153" s="253"/>
    </row>
    <row r="1154" spans="6:6" x14ac:dyDescent="0.2">
      <c r="F1154" s="253"/>
    </row>
    <row r="1155" spans="6:6" x14ac:dyDescent="0.2">
      <c r="F1155" s="253"/>
    </row>
    <row r="1156" spans="6:6" x14ac:dyDescent="0.2">
      <c r="F1156" s="253"/>
    </row>
    <row r="1157" spans="6:6" x14ac:dyDescent="0.2">
      <c r="F1157" s="253"/>
    </row>
    <row r="1158" spans="6:6" x14ac:dyDescent="0.2">
      <c r="F1158" s="253"/>
    </row>
    <row r="1159" spans="6:6" x14ac:dyDescent="0.2">
      <c r="F1159" s="253"/>
    </row>
    <row r="1160" spans="6:6" x14ac:dyDescent="0.2">
      <c r="F1160" s="253"/>
    </row>
    <row r="1161" spans="6:6" x14ac:dyDescent="0.2">
      <c r="F1161" s="253"/>
    </row>
    <row r="1162" spans="6:6" x14ac:dyDescent="0.2">
      <c r="F1162" s="253"/>
    </row>
    <row r="1163" spans="6:6" x14ac:dyDescent="0.2">
      <c r="F1163" s="253"/>
    </row>
    <row r="1164" spans="6:6" x14ac:dyDescent="0.2">
      <c r="F1164" s="253"/>
    </row>
    <row r="1165" spans="6:6" x14ac:dyDescent="0.2">
      <c r="F1165" s="253"/>
    </row>
    <row r="1166" spans="6:6" x14ac:dyDescent="0.2">
      <c r="F1166" s="253"/>
    </row>
    <row r="1167" spans="6:6" x14ac:dyDescent="0.2">
      <c r="F1167" s="253"/>
    </row>
    <row r="1168" spans="6:6" x14ac:dyDescent="0.2">
      <c r="F1168" s="253"/>
    </row>
    <row r="1169" spans="6:6" x14ac:dyDescent="0.2">
      <c r="F1169" s="253"/>
    </row>
    <row r="1170" spans="6:6" x14ac:dyDescent="0.2">
      <c r="F1170" s="253"/>
    </row>
    <row r="1171" spans="6:6" x14ac:dyDescent="0.2">
      <c r="F1171" s="253"/>
    </row>
    <row r="1172" spans="6:6" x14ac:dyDescent="0.2">
      <c r="F1172" s="253"/>
    </row>
    <row r="1173" spans="6:6" x14ac:dyDescent="0.2">
      <c r="F1173" s="253"/>
    </row>
    <row r="1174" spans="6:6" x14ac:dyDescent="0.2">
      <c r="F1174" s="253"/>
    </row>
    <row r="1175" spans="6:6" x14ac:dyDescent="0.2">
      <c r="F1175" s="253"/>
    </row>
    <row r="1176" spans="6:6" x14ac:dyDescent="0.2">
      <c r="F1176" s="253"/>
    </row>
    <row r="1177" spans="6:6" x14ac:dyDescent="0.2">
      <c r="F1177" s="253"/>
    </row>
    <row r="1178" spans="6:6" x14ac:dyDescent="0.2">
      <c r="F1178" s="253"/>
    </row>
    <row r="1179" spans="6:6" x14ac:dyDescent="0.2">
      <c r="F1179" s="253"/>
    </row>
    <row r="1180" spans="6:6" x14ac:dyDescent="0.2">
      <c r="F1180" s="253"/>
    </row>
    <row r="1181" spans="6:6" x14ac:dyDescent="0.2">
      <c r="F1181" s="253"/>
    </row>
    <row r="1182" spans="6:6" x14ac:dyDescent="0.2">
      <c r="F1182" s="253"/>
    </row>
    <row r="1183" spans="6:6" x14ac:dyDescent="0.2">
      <c r="F1183" s="253"/>
    </row>
    <row r="1184" spans="6:6" x14ac:dyDescent="0.2">
      <c r="F1184" s="253"/>
    </row>
    <row r="1185" spans="6:6" x14ac:dyDescent="0.2">
      <c r="F1185" s="253"/>
    </row>
    <row r="1186" spans="6:6" x14ac:dyDescent="0.2">
      <c r="F1186" s="253"/>
    </row>
    <row r="1187" spans="6:6" x14ac:dyDescent="0.2">
      <c r="F1187" s="253"/>
    </row>
    <row r="1188" spans="6:6" x14ac:dyDescent="0.2">
      <c r="F1188" s="253"/>
    </row>
    <row r="1189" spans="6:6" x14ac:dyDescent="0.2">
      <c r="F1189" s="253"/>
    </row>
    <row r="1190" spans="6:6" x14ac:dyDescent="0.2">
      <c r="F1190" s="253"/>
    </row>
    <row r="1191" spans="6:6" x14ac:dyDescent="0.2">
      <c r="F1191" s="253"/>
    </row>
    <row r="1192" spans="6:6" x14ac:dyDescent="0.2">
      <c r="F1192" s="253"/>
    </row>
    <row r="1193" spans="6:6" x14ac:dyDescent="0.2">
      <c r="F1193" s="253"/>
    </row>
    <row r="1194" spans="6:6" x14ac:dyDescent="0.2">
      <c r="F1194" s="253"/>
    </row>
    <row r="1195" spans="6:6" x14ac:dyDescent="0.2">
      <c r="F1195" s="253"/>
    </row>
    <row r="1196" spans="6:6" x14ac:dyDescent="0.2">
      <c r="F1196" s="253"/>
    </row>
    <row r="1197" spans="6:6" x14ac:dyDescent="0.2">
      <c r="F1197" s="253"/>
    </row>
    <row r="1198" spans="6:6" x14ac:dyDescent="0.2">
      <c r="F1198" s="253"/>
    </row>
    <row r="1199" spans="6:6" x14ac:dyDescent="0.2">
      <c r="F1199" s="253"/>
    </row>
    <row r="1200" spans="6:6" x14ac:dyDescent="0.2">
      <c r="F1200" s="253"/>
    </row>
    <row r="1201" spans="6:6" x14ac:dyDescent="0.2">
      <c r="F1201" s="253"/>
    </row>
    <row r="1202" spans="6:6" x14ac:dyDescent="0.2">
      <c r="F1202" s="253"/>
    </row>
    <row r="1203" spans="6:6" x14ac:dyDescent="0.2">
      <c r="F1203" s="253"/>
    </row>
    <row r="1204" spans="6:6" x14ac:dyDescent="0.2">
      <c r="F1204" s="253"/>
    </row>
    <row r="1205" spans="6:6" x14ac:dyDescent="0.2">
      <c r="F1205" s="253"/>
    </row>
    <row r="1206" spans="6:6" x14ac:dyDescent="0.2">
      <c r="F1206" s="253"/>
    </row>
    <row r="1207" spans="6:6" x14ac:dyDescent="0.2">
      <c r="F1207" s="253"/>
    </row>
    <row r="1208" spans="6:6" x14ac:dyDescent="0.2">
      <c r="F1208" s="253"/>
    </row>
    <row r="1209" spans="6:6" x14ac:dyDescent="0.2">
      <c r="F1209" s="253"/>
    </row>
    <row r="1210" spans="6:6" x14ac:dyDescent="0.2">
      <c r="F1210" s="253"/>
    </row>
    <row r="1211" spans="6:6" x14ac:dyDescent="0.2">
      <c r="F1211" s="253"/>
    </row>
    <row r="1212" spans="6:6" x14ac:dyDescent="0.2">
      <c r="F1212" s="253"/>
    </row>
    <row r="1213" spans="6:6" x14ac:dyDescent="0.2">
      <c r="F1213" s="253"/>
    </row>
    <row r="1214" spans="6:6" x14ac:dyDescent="0.2">
      <c r="F1214" s="253"/>
    </row>
    <row r="1215" spans="6:6" x14ac:dyDescent="0.2">
      <c r="F1215" s="253"/>
    </row>
    <row r="1216" spans="6:6" x14ac:dyDescent="0.2">
      <c r="F1216" s="253"/>
    </row>
    <row r="1217" spans="6:6" x14ac:dyDescent="0.2">
      <c r="F1217" s="253"/>
    </row>
    <row r="1218" spans="6:6" x14ac:dyDescent="0.2">
      <c r="F1218" s="253"/>
    </row>
    <row r="1219" spans="6:6" x14ac:dyDescent="0.2">
      <c r="F1219" s="253"/>
    </row>
    <row r="1220" spans="6:6" x14ac:dyDescent="0.2">
      <c r="F1220" s="253"/>
    </row>
    <row r="1221" spans="6:6" x14ac:dyDescent="0.2">
      <c r="F1221" s="253"/>
    </row>
    <row r="1222" spans="6:6" x14ac:dyDescent="0.2">
      <c r="F1222" s="253"/>
    </row>
    <row r="1223" spans="6:6" x14ac:dyDescent="0.2">
      <c r="F1223" s="253"/>
    </row>
    <row r="1224" spans="6:6" x14ac:dyDescent="0.2">
      <c r="F1224" s="253"/>
    </row>
    <row r="1225" spans="6:6" x14ac:dyDescent="0.2">
      <c r="F1225" s="253"/>
    </row>
    <row r="1226" spans="6:6" x14ac:dyDescent="0.2">
      <c r="F1226" s="253"/>
    </row>
    <row r="1227" spans="6:6" x14ac:dyDescent="0.2">
      <c r="F1227" s="253"/>
    </row>
    <row r="1228" spans="6:6" x14ac:dyDescent="0.2">
      <c r="F1228" s="253"/>
    </row>
    <row r="1229" spans="6:6" x14ac:dyDescent="0.2">
      <c r="F1229" s="253"/>
    </row>
    <row r="1230" spans="6:6" x14ac:dyDescent="0.2">
      <c r="F1230" s="253"/>
    </row>
    <row r="1231" spans="6:6" x14ac:dyDescent="0.2">
      <c r="F1231" s="253"/>
    </row>
    <row r="1232" spans="6:6" x14ac:dyDescent="0.2">
      <c r="F1232" s="253"/>
    </row>
    <row r="1233" spans="6:6" x14ac:dyDescent="0.2">
      <c r="F1233" s="253"/>
    </row>
    <row r="1234" spans="6:6" x14ac:dyDescent="0.2">
      <c r="F1234" s="253"/>
    </row>
    <row r="1235" spans="6:6" x14ac:dyDescent="0.2">
      <c r="F1235" s="253"/>
    </row>
    <row r="1236" spans="6:6" x14ac:dyDescent="0.2">
      <c r="F1236" s="253"/>
    </row>
    <row r="1237" spans="6:6" x14ac:dyDescent="0.2">
      <c r="F1237" s="253"/>
    </row>
    <row r="1238" spans="6:6" x14ac:dyDescent="0.2">
      <c r="F1238" s="253"/>
    </row>
    <row r="1239" spans="6:6" x14ac:dyDescent="0.2">
      <c r="F1239" s="253"/>
    </row>
    <row r="1240" spans="6:6" x14ac:dyDescent="0.2">
      <c r="F1240" s="253"/>
    </row>
    <row r="1241" spans="6:6" x14ac:dyDescent="0.2">
      <c r="F1241" s="253"/>
    </row>
    <row r="1242" spans="6:6" x14ac:dyDescent="0.2">
      <c r="F1242" s="253"/>
    </row>
    <row r="1243" spans="6:6" x14ac:dyDescent="0.2">
      <c r="F1243" s="253"/>
    </row>
    <row r="1244" spans="6:6" x14ac:dyDescent="0.2">
      <c r="F1244" s="253"/>
    </row>
    <row r="1245" spans="6:6" x14ac:dyDescent="0.2">
      <c r="F1245" s="253"/>
    </row>
    <row r="1246" spans="6:6" x14ac:dyDescent="0.2">
      <c r="F1246" s="253"/>
    </row>
    <row r="1247" spans="6:6" x14ac:dyDescent="0.2">
      <c r="F1247" s="253"/>
    </row>
    <row r="1248" spans="6:6" x14ac:dyDescent="0.2">
      <c r="F1248" s="253"/>
    </row>
    <row r="1249" spans="6:6" x14ac:dyDescent="0.2">
      <c r="F1249" s="253"/>
    </row>
    <row r="1250" spans="6:6" x14ac:dyDescent="0.2">
      <c r="F1250" s="253"/>
    </row>
    <row r="1251" spans="6:6" x14ac:dyDescent="0.2">
      <c r="F1251" s="253"/>
    </row>
    <row r="1252" spans="6:6" x14ac:dyDescent="0.2">
      <c r="F1252" s="253"/>
    </row>
    <row r="1253" spans="6:6" x14ac:dyDescent="0.2">
      <c r="F1253" s="253"/>
    </row>
    <row r="1254" spans="6:6" x14ac:dyDescent="0.2">
      <c r="F1254" s="253"/>
    </row>
    <row r="1255" spans="6:6" x14ac:dyDescent="0.2">
      <c r="F1255" s="253"/>
    </row>
    <row r="1256" spans="6:6" x14ac:dyDescent="0.2">
      <c r="F1256" s="253"/>
    </row>
    <row r="1257" spans="6:6" x14ac:dyDescent="0.2">
      <c r="F1257" s="253"/>
    </row>
    <row r="1258" spans="6:6" x14ac:dyDescent="0.2">
      <c r="F1258" s="253"/>
    </row>
    <row r="1259" spans="6:6" x14ac:dyDescent="0.2">
      <c r="F1259" s="253"/>
    </row>
    <row r="1260" spans="6:6" x14ac:dyDescent="0.2">
      <c r="F1260" s="253"/>
    </row>
    <row r="1261" spans="6:6" x14ac:dyDescent="0.2">
      <c r="F1261" s="253"/>
    </row>
    <row r="1262" spans="6:6" x14ac:dyDescent="0.2">
      <c r="F1262" s="253"/>
    </row>
    <row r="1263" spans="6:6" x14ac:dyDescent="0.2">
      <c r="F1263" s="253"/>
    </row>
    <row r="1264" spans="6:6" x14ac:dyDescent="0.2">
      <c r="F1264" s="253"/>
    </row>
    <row r="1265" spans="6:6" x14ac:dyDescent="0.2">
      <c r="F1265" s="253"/>
    </row>
    <row r="1266" spans="6:6" x14ac:dyDescent="0.2">
      <c r="F1266" s="253"/>
    </row>
    <row r="1267" spans="6:6" x14ac:dyDescent="0.2">
      <c r="F1267" s="253"/>
    </row>
    <row r="1268" spans="6:6" x14ac:dyDescent="0.2">
      <c r="F1268" s="253"/>
    </row>
    <row r="1269" spans="6:6" x14ac:dyDescent="0.2">
      <c r="F1269" s="253"/>
    </row>
    <row r="1270" spans="6:6" x14ac:dyDescent="0.2">
      <c r="F1270" s="253"/>
    </row>
    <row r="1271" spans="6:6" x14ac:dyDescent="0.2">
      <c r="F1271" s="253"/>
    </row>
    <row r="1272" spans="6:6" x14ac:dyDescent="0.2">
      <c r="F1272" s="253"/>
    </row>
    <row r="1273" spans="6:6" x14ac:dyDescent="0.2">
      <c r="F1273" s="253"/>
    </row>
    <row r="1274" spans="6:6" x14ac:dyDescent="0.2">
      <c r="F1274" s="253"/>
    </row>
    <row r="1275" spans="6:6" x14ac:dyDescent="0.2">
      <c r="F1275" s="253"/>
    </row>
    <row r="1276" spans="6:6" x14ac:dyDescent="0.2">
      <c r="F1276" s="253"/>
    </row>
    <row r="1277" spans="6:6" x14ac:dyDescent="0.2">
      <c r="F1277" s="253"/>
    </row>
    <row r="1278" spans="6:6" x14ac:dyDescent="0.2">
      <c r="F1278" s="253"/>
    </row>
    <row r="1279" spans="6:6" x14ac:dyDescent="0.2">
      <c r="F1279" s="253"/>
    </row>
    <row r="1280" spans="6:6" x14ac:dyDescent="0.2">
      <c r="F1280" s="253"/>
    </row>
    <row r="1281" spans="6:6" x14ac:dyDescent="0.2">
      <c r="F1281" s="253"/>
    </row>
    <row r="1282" spans="6:6" x14ac:dyDescent="0.2">
      <c r="F1282" s="253"/>
    </row>
    <row r="1283" spans="6:6" x14ac:dyDescent="0.2">
      <c r="F1283" s="253"/>
    </row>
    <row r="1284" spans="6:6" x14ac:dyDescent="0.2">
      <c r="F1284" s="253"/>
    </row>
    <row r="1285" spans="6:6" x14ac:dyDescent="0.2">
      <c r="F1285" s="253"/>
    </row>
    <row r="1286" spans="6:6" x14ac:dyDescent="0.2">
      <c r="F1286" s="253"/>
    </row>
    <row r="1287" spans="6:6" x14ac:dyDescent="0.2">
      <c r="F1287" s="253"/>
    </row>
    <row r="1288" spans="6:6" x14ac:dyDescent="0.2">
      <c r="F1288" s="253"/>
    </row>
    <row r="1289" spans="6:6" x14ac:dyDescent="0.2">
      <c r="F1289" s="253"/>
    </row>
    <row r="1290" spans="6:6" x14ac:dyDescent="0.2">
      <c r="F1290" s="253"/>
    </row>
    <row r="1291" spans="6:6" x14ac:dyDescent="0.2">
      <c r="F1291" s="253"/>
    </row>
    <row r="1292" spans="6:6" x14ac:dyDescent="0.2">
      <c r="F1292" s="253"/>
    </row>
    <row r="1293" spans="6:6" x14ac:dyDescent="0.2">
      <c r="F1293" s="253"/>
    </row>
    <row r="1294" spans="6:6" x14ac:dyDescent="0.2">
      <c r="F1294" s="253"/>
    </row>
    <row r="1295" spans="6:6" x14ac:dyDescent="0.2">
      <c r="F1295" s="253"/>
    </row>
    <row r="1296" spans="6:6" x14ac:dyDescent="0.2">
      <c r="F1296" s="253"/>
    </row>
    <row r="1297" spans="6:6" x14ac:dyDescent="0.2">
      <c r="F1297" s="253"/>
    </row>
    <row r="1298" spans="6:6" x14ac:dyDescent="0.2">
      <c r="F1298" s="253"/>
    </row>
    <row r="1299" spans="6:6" x14ac:dyDescent="0.2">
      <c r="F1299" s="253"/>
    </row>
    <row r="1300" spans="6:6" x14ac:dyDescent="0.2">
      <c r="F1300" s="253"/>
    </row>
    <row r="1301" spans="6:6" x14ac:dyDescent="0.2">
      <c r="F1301" s="253"/>
    </row>
    <row r="1302" spans="6:6" x14ac:dyDescent="0.2">
      <c r="F1302" s="253"/>
    </row>
    <row r="1303" spans="6:6" x14ac:dyDescent="0.2">
      <c r="F1303" s="253"/>
    </row>
    <row r="1304" spans="6:6" x14ac:dyDescent="0.2">
      <c r="F1304" s="253"/>
    </row>
    <row r="1305" spans="6:6" x14ac:dyDescent="0.2">
      <c r="F1305" s="253"/>
    </row>
    <row r="1306" spans="6:6" x14ac:dyDescent="0.2">
      <c r="F1306" s="253"/>
    </row>
    <row r="1307" spans="6:6" x14ac:dyDescent="0.2">
      <c r="F1307" s="253"/>
    </row>
    <row r="1308" spans="6:6" x14ac:dyDescent="0.2">
      <c r="F1308" s="253"/>
    </row>
    <row r="1309" spans="6:6" x14ac:dyDescent="0.2">
      <c r="F1309" s="253"/>
    </row>
    <row r="1310" spans="6:6" x14ac:dyDescent="0.2">
      <c r="F1310" s="253"/>
    </row>
    <row r="1311" spans="6:6" x14ac:dyDescent="0.2">
      <c r="F1311" s="253"/>
    </row>
    <row r="1312" spans="6:6" x14ac:dyDescent="0.2">
      <c r="F1312" s="253"/>
    </row>
    <row r="1313" spans="6:6" x14ac:dyDescent="0.2">
      <c r="F1313" s="253"/>
    </row>
    <row r="1314" spans="6:6" x14ac:dyDescent="0.2">
      <c r="F1314" s="253"/>
    </row>
    <row r="1315" spans="6:6" x14ac:dyDescent="0.2">
      <c r="F1315" s="253"/>
    </row>
    <row r="1316" spans="6:6" x14ac:dyDescent="0.2">
      <c r="F1316" s="253"/>
    </row>
    <row r="1317" spans="6:6" x14ac:dyDescent="0.2">
      <c r="F1317" s="253"/>
    </row>
    <row r="1318" spans="6:6" x14ac:dyDescent="0.2">
      <c r="F1318" s="253"/>
    </row>
    <row r="1319" spans="6:6" x14ac:dyDescent="0.2">
      <c r="F1319" s="253"/>
    </row>
    <row r="1320" spans="6:6" x14ac:dyDescent="0.2">
      <c r="F1320" s="253"/>
    </row>
    <row r="1321" spans="6:6" x14ac:dyDescent="0.2">
      <c r="F1321" s="253"/>
    </row>
    <row r="1322" spans="6:6" x14ac:dyDescent="0.2">
      <c r="F1322" s="253"/>
    </row>
    <row r="1323" spans="6:6" x14ac:dyDescent="0.2">
      <c r="F1323" s="253"/>
    </row>
    <row r="1324" spans="6:6" x14ac:dyDescent="0.2">
      <c r="F1324" s="253"/>
    </row>
    <row r="1325" spans="6:6" x14ac:dyDescent="0.2">
      <c r="F1325" s="253"/>
    </row>
    <row r="1326" spans="6:6" x14ac:dyDescent="0.2">
      <c r="F1326" s="253"/>
    </row>
    <row r="1327" spans="6:6" x14ac:dyDescent="0.2">
      <c r="F1327" s="253"/>
    </row>
    <row r="1328" spans="6:6" x14ac:dyDescent="0.2">
      <c r="F1328" s="253"/>
    </row>
    <row r="1329" spans="6:6" x14ac:dyDescent="0.2">
      <c r="F1329" s="253"/>
    </row>
    <row r="1330" spans="6:6" x14ac:dyDescent="0.2">
      <c r="F1330" s="253"/>
    </row>
    <row r="1331" spans="6:6" x14ac:dyDescent="0.2">
      <c r="F1331" s="253"/>
    </row>
    <row r="1332" spans="6:6" x14ac:dyDescent="0.2">
      <c r="F1332" s="253"/>
    </row>
    <row r="1333" spans="6:6" x14ac:dyDescent="0.2">
      <c r="F1333" s="253"/>
    </row>
    <row r="1334" spans="6:6" x14ac:dyDescent="0.2">
      <c r="F1334" s="253"/>
    </row>
    <row r="1335" spans="6:6" x14ac:dyDescent="0.2">
      <c r="F1335" s="253"/>
    </row>
    <row r="1336" spans="6:6" x14ac:dyDescent="0.2">
      <c r="F1336" s="253"/>
    </row>
    <row r="1337" spans="6:6" x14ac:dyDescent="0.2">
      <c r="F1337" s="253"/>
    </row>
    <row r="1338" spans="6:6" x14ac:dyDescent="0.2">
      <c r="F1338" s="253"/>
    </row>
    <row r="1339" spans="6:6" x14ac:dyDescent="0.2">
      <c r="F1339" s="253"/>
    </row>
    <row r="1340" spans="6:6" x14ac:dyDescent="0.2">
      <c r="F1340" s="253"/>
    </row>
    <row r="1341" spans="6:6" x14ac:dyDescent="0.2">
      <c r="F1341" s="253"/>
    </row>
    <row r="1342" spans="6:6" x14ac:dyDescent="0.2">
      <c r="F1342" s="253"/>
    </row>
    <row r="1343" spans="6:6" x14ac:dyDescent="0.2">
      <c r="F1343" s="253"/>
    </row>
    <row r="1344" spans="6:6" x14ac:dyDescent="0.2">
      <c r="F1344" s="253"/>
    </row>
    <row r="1345" spans="6:6" x14ac:dyDescent="0.2">
      <c r="F1345" s="253"/>
    </row>
    <row r="1346" spans="6:6" x14ac:dyDescent="0.2">
      <c r="F1346" s="253"/>
    </row>
    <row r="1347" spans="6:6" x14ac:dyDescent="0.2">
      <c r="F1347" s="253"/>
    </row>
    <row r="1348" spans="6:6" x14ac:dyDescent="0.2">
      <c r="F1348" s="253"/>
    </row>
    <row r="1349" spans="6:6" x14ac:dyDescent="0.2">
      <c r="F1349" s="253"/>
    </row>
    <row r="1350" spans="6:6" x14ac:dyDescent="0.2">
      <c r="F1350" s="253"/>
    </row>
    <row r="1351" spans="6:6" x14ac:dyDescent="0.2">
      <c r="F1351" s="253"/>
    </row>
    <row r="1352" spans="6:6" x14ac:dyDescent="0.2">
      <c r="F1352" s="253"/>
    </row>
    <row r="1353" spans="6:6" x14ac:dyDescent="0.2">
      <c r="F1353" s="253"/>
    </row>
    <row r="1354" spans="6:6" x14ac:dyDescent="0.2">
      <c r="F1354" s="253"/>
    </row>
    <row r="1355" spans="6:6" x14ac:dyDescent="0.2">
      <c r="F1355" s="253"/>
    </row>
    <row r="1356" spans="6:6" x14ac:dyDescent="0.2">
      <c r="F1356" s="253"/>
    </row>
    <row r="1357" spans="6:6" x14ac:dyDescent="0.2">
      <c r="F1357" s="253"/>
    </row>
    <row r="1358" spans="6:6" x14ac:dyDescent="0.2">
      <c r="F1358" s="253"/>
    </row>
    <row r="1359" spans="6:6" x14ac:dyDescent="0.2">
      <c r="F1359" s="253"/>
    </row>
    <row r="1360" spans="6:6" x14ac:dyDescent="0.2">
      <c r="F1360" s="253"/>
    </row>
    <row r="1361" spans="6:6" x14ac:dyDescent="0.2">
      <c r="F1361" s="253"/>
    </row>
    <row r="1362" spans="6:6" x14ac:dyDescent="0.2">
      <c r="F1362" s="253"/>
    </row>
    <row r="1363" spans="6:6" x14ac:dyDescent="0.2">
      <c r="F1363" s="253"/>
    </row>
    <row r="1364" spans="6:6" x14ac:dyDescent="0.2">
      <c r="F1364" s="253"/>
    </row>
    <row r="1365" spans="6:6" x14ac:dyDescent="0.2">
      <c r="F1365" s="253"/>
    </row>
    <row r="1366" spans="6:6" x14ac:dyDescent="0.2">
      <c r="F1366" s="253"/>
    </row>
    <row r="1367" spans="6:6" x14ac:dyDescent="0.2">
      <c r="F1367" s="253"/>
    </row>
    <row r="1368" spans="6:6" x14ac:dyDescent="0.2">
      <c r="F1368" s="253"/>
    </row>
    <row r="1369" spans="6:6" x14ac:dyDescent="0.2">
      <c r="F1369" s="253"/>
    </row>
    <row r="1370" spans="6:6" x14ac:dyDescent="0.2">
      <c r="F1370" s="253"/>
    </row>
    <row r="1371" spans="6:6" x14ac:dyDescent="0.2">
      <c r="F1371" s="253"/>
    </row>
    <row r="1372" spans="6:6" x14ac:dyDescent="0.2">
      <c r="F1372" s="253"/>
    </row>
    <row r="1373" spans="6:6" x14ac:dyDescent="0.2">
      <c r="F1373" s="253"/>
    </row>
    <row r="1374" spans="6:6" x14ac:dyDescent="0.2">
      <c r="F1374" s="253"/>
    </row>
    <row r="1375" spans="6:6" x14ac:dyDescent="0.2">
      <c r="F1375" s="253"/>
    </row>
    <row r="1376" spans="6:6" x14ac:dyDescent="0.2">
      <c r="F1376" s="253"/>
    </row>
    <row r="1377" spans="6:6" x14ac:dyDescent="0.2">
      <c r="F1377" s="253"/>
    </row>
    <row r="1378" spans="6:6" x14ac:dyDescent="0.2">
      <c r="F1378" s="253"/>
    </row>
    <row r="1379" spans="6:6" x14ac:dyDescent="0.2">
      <c r="F1379" s="253"/>
    </row>
    <row r="1380" spans="6:6" x14ac:dyDescent="0.2">
      <c r="F1380" s="253"/>
    </row>
    <row r="1381" spans="6:6" x14ac:dyDescent="0.2">
      <c r="F1381" s="253"/>
    </row>
    <row r="1382" spans="6:6" x14ac:dyDescent="0.2">
      <c r="F1382" s="253"/>
    </row>
    <row r="1383" spans="6:6" x14ac:dyDescent="0.2">
      <c r="F1383" s="253"/>
    </row>
    <row r="1384" spans="6:6" x14ac:dyDescent="0.2">
      <c r="F1384" s="253"/>
    </row>
    <row r="1385" spans="6:6" x14ac:dyDescent="0.2">
      <c r="F1385" s="253"/>
    </row>
    <row r="1386" spans="6:6" x14ac:dyDescent="0.2">
      <c r="F1386" s="253"/>
    </row>
    <row r="1387" spans="6:6" x14ac:dyDescent="0.2">
      <c r="F1387" s="253"/>
    </row>
    <row r="1388" spans="6:6" x14ac:dyDescent="0.2">
      <c r="F1388" s="253"/>
    </row>
    <row r="1389" spans="6:6" x14ac:dyDescent="0.2">
      <c r="F1389" s="253"/>
    </row>
    <row r="1390" spans="6:6" x14ac:dyDescent="0.2">
      <c r="F1390" s="253"/>
    </row>
    <row r="1391" spans="6:6" x14ac:dyDescent="0.2">
      <c r="F1391" s="253"/>
    </row>
    <row r="1392" spans="6:6" x14ac:dyDescent="0.2">
      <c r="F1392" s="253"/>
    </row>
    <row r="1393" spans="6:6" x14ac:dyDescent="0.2">
      <c r="F1393" s="253"/>
    </row>
    <row r="1394" spans="6:6" x14ac:dyDescent="0.2">
      <c r="F1394" s="253"/>
    </row>
    <row r="1395" spans="6:6" x14ac:dyDescent="0.2">
      <c r="F1395" s="253"/>
    </row>
    <row r="1396" spans="6:6" x14ac:dyDescent="0.2">
      <c r="F1396" s="253"/>
    </row>
    <row r="1397" spans="6:6" x14ac:dyDescent="0.2">
      <c r="F1397" s="253"/>
    </row>
    <row r="1398" spans="6:6" x14ac:dyDescent="0.2">
      <c r="F1398" s="253"/>
    </row>
    <row r="1399" spans="6:6" x14ac:dyDescent="0.2">
      <c r="F1399" s="253"/>
    </row>
    <row r="1400" spans="6:6" x14ac:dyDescent="0.2">
      <c r="F1400" s="253"/>
    </row>
    <row r="1401" spans="6:6" x14ac:dyDescent="0.2">
      <c r="F1401" s="253"/>
    </row>
    <row r="1402" spans="6:6" x14ac:dyDescent="0.2">
      <c r="F1402" s="253"/>
    </row>
    <row r="1403" spans="6:6" x14ac:dyDescent="0.2">
      <c r="F1403" s="253"/>
    </row>
    <row r="1404" spans="6:6" x14ac:dyDescent="0.2">
      <c r="F1404" s="253"/>
    </row>
    <row r="1405" spans="6:6" x14ac:dyDescent="0.2">
      <c r="F1405" s="253"/>
    </row>
    <row r="1406" spans="6:6" x14ac:dyDescent="0.2">
      <c r="F1406" s="253"/>
    </row>
    <row r="1407" spans="6:6" x14ac:dyDescent="0.2">
      <c r="F1407" s="253"/>
    </row>
    <row r="1408" spans="6:6" x14ac:dyDescent="0.2">
      <c r="F1408" s="253"/>
    </row>
    <row r="1409" spans="6:6" x14ac:dyDescent="0.2">
      <c r="F1409" s="253"/>
    </row>
    <row r="1410" spans="6:6" x14ac:dyDescent="0.2">
      <c r="F1410" s="253"/>
    </row>
    <row r="1411" spans="6:6" x14ac:dyDescent="0.2">
      <c r="F1411" s="253"/>
    </row>
    <row r="1412" spans="6:6" x14ac:dyDescent="0.2">
      <c r="F1412" s="253"/>
    </row>
    <row r="1413" spans="6:6" x14ac:dyDescent="0.2">
      <c r="F1413" s="253"/>
    </row>
    <row r="1414" spans="6:6" x14ac:dyDescent="0.2">
      <c r="F1414" s="253"/>
    </row>
    <row r="1415" spans="6:6" x14ac:dyDescent="0.2">
      <c r="F1415" s="253"/>
    </row>
    <row r="1416" spans="6:6" x14ac:dyDescent="0.2">
      <c r="F1416" s="253"/>
    </row>
    <row r="1417" spans="6:6" x14ac:dyDescent="0.2">
      <c r="F1417" s="253"/>
    </row>
    <row r="1418" spans="6:6" x14ac:dyDescent="0.2">
      <c r="F1418" s="253"/>
    </row>
    <row r="1419" spans="6:6" x14ac:dyDescent="0.2">
      <c r="F1419" s="253"/>
    </row>
    <row r="1420" spans="6:6" x14ac:dyDescent="0.2">
      <c r="F1420" s="253"/>
    </row>
    <row r="1421" spans="6:6" x14ac:dyDescent="0.2">
      <c r="F1421" s="253"/>
    </row>
    <row r="1422" spans="6:6" x14ac:dyDescent="0.2">
      <c r="F1422" s="253"/>
    </row>
    <row r="1423" spans="6:6" x14ac:dyDescent="0.2">
      <c r="F1423" s="253"/>
    </row>
    <row r="1424" spans="6:6" x14ac:dyDescent="0.2">
      <c r="F1424" s="253"/>
    </row>
    <row r="1425" spans="6:6" x14ac:dyDescent="0.2">
      <c r="F1425" s="253"/>
    </row>
    <row r="1426" spans="6:6" x14ac:dyDescent="0.2">
      <c r="F1426" s="253"/>
    </row>
    <row r="1427" spans="6:6" x14ac:dyDescent="0.2">
      <c r="F1427" s="253"/>
    </row>
    <row r="1428" spans="6:6" x14ac:dyDescent="0.2">
      <c r="F1428" s="253"/>
    </row>
    <row r="1429" spans="6:6" x14ac:dyDescent="0.2">
      <c r="F1429" s="253"/>
    </row>
    <row r="1430" spans="6:6" x14ac:dyDescent="0.2">
      <c r="F1430" s="253"/>
    </row>
    <row r="1431" spans="6:6" x14ac:dyDescent="0.2">
      <c r="F1431" s="253"/>
    </row>
    <row r="1432" spans="6:6" x14ac:dyDescent="0.2">
      <c r="F1432" s="253"/>
    </row>
    <row r="1433" spans="6:6" x14ac:dyDescent="0.2">
      <c r="F1433" s="253"/>
    </row>
    <row r="1434" spans="6:6" x14ac:dyDescent="0.2">
      <c r="F1434" s="253"/>
    </row>
    <row r="1435" spans="6:6" x14ac:dyDescent="0.2">
      <c r="F1435" s="253"/>
    </row>
    <row r="1436" spans="6:6" x14ac:dyDescent="0.2">
      <c r="F1436" s="253"/>
    </row>
    <row r="1437" spans="6:6" x14ac:dyDescent="0.2">
      <c r="F1437" s="253"/>
    </row>
    <row r="1438" spans="6:6" x14ac:dyDescent="0.2">
      <c r="F1438" s="253"/>
    </row>
    <row r="1439" spans="6:6" x14ac:dyDescent="0.2">
      <c r="F1439" s="253"/>
    </row>
    <row r="1440" spans="6:6" x14ac:dyDescent="0.2">
      <c r="F1440" s="253"/>
    </row>
    <row r="1441" spans="6:6" x14ac:dyDescent="0.2">
      <c r="F1441" s="253"/>
    </row>
    <row r="1442" spans="6:6" x14ac:dyDescent="0.2">
      <c r="F1442" s="253"/>
    </row>
    <row r="1443" spans="6:6" x14ac:dyDescent="0.2">
      <c r="F1443" s="253"/>
    </row>
    <row r="1444" spans="6:6" x14ac:dyDescent="0.2">
      <c r="F1444" s="253"/>
    </row>
    <row r="1445" spans="6:6" x14ac:dyDescent="0.2">
      <c r="F1445" s="253"/>
    </row>
    <row r="1446" spans="6:6" x14ac:dyDescent="0.2">
      <c r="F1446" s="253"/>
    </row>
    <row r="1447" spans="6:6" x14ac:dyDescent="0.2">
      <c r="F1447" s="253"/>
    </row>
    <row r="1448" spans="6:6" x14ac:dyDescent="0.2">
      <c r="F1448" s="253"/>
    </row>
    <row r="1449" spans="6:6" x14ac:dyDescent="0.2">
      <c r="F1449" s="253"/>
    </row>
    <row r="1450" spans="6:6" x14ac:dyDescent="0.2">
      <c r="F1450" s="253"/>
    </row>
    <row r="1451" spans="6:6" x14ac:dyDescent="0.2">
      <c r="F1451" s="253"/>
    </row>
    <row r="1452" spans="6:6" x14ac:dyDescent="0.2">
      <c r="F1452" s="253"/>
    </row>
    <row r="1453" spans="6:6" x14ac:dyDescent="0.2">
      <c r="F1453" s="253"/>
    </row>
    <row r="1454" spans="6:6" x14ac:dyDescent="0.2">
      <c r="F1454" s="253"/>
    </row>
    <row r="1455" spans="6:6" x14ac:dyDescent="0.2">
      <c r="F1455" s="253"/>
    </row>
    <row r="1456" spans="6:6" x14ac:dyDescent="0.2">
      <c r="F1456" s="253"/>
    </row>
    <row r="1457" spans="6:6" x14ac:dyDescent="0.2">
      <c r="F1457" s="253"/>
    </row>
    <row r="1458" spans="6:6" x14ac:dyDescent="0.2">
      <c r="F1458" s="253"/>
    </row>
    <row r="1459" spans="6:6" x14ac:dyDescent="0.2">
      <c r="F1459" s="253"/>
    </row>
    <row r="1460" spans="6:6" x14ac:dyDescent="0.2">
      <c r="F1460" s="253"/>
    </row>
    <row r="1461" spans="6:6" x14ac:dyDescent="0.2">
      <c r="F1461" s="253"/>
    </row>
    <row r="1462" spans="6:6" x14ac:dyDescent="0.2">
      <c r="F1462" s="253"/>
    </row>
    <row r="1463" spans="6:6" x14ac:dyDescent="0.2">
      <c r="F1463" s="253"/>
    </row>
    <row r="1464" spans="6:6" x14ac:dyDescent="0.2">
      <c r="F1464" s="253"/>
    </row>
    <row r="1465" spans="6:6" x14ac:dyDescent="0.2">
      <c r="F1465" s="253"/>
    </row>
    <row r="1466" spans="6:6" x14ac:dyDescent="0.2">
      <c r="F1466" s="253"/>
    </row>
    <row r="1467" spans="6:6" x14ac:dyDescent="0.2">
      <c r="F1467" s="253"/>
    </row>
    <row r="1468" spans="6:6" x14ac:dyDescent="0.2">
      <c r="F1468" s="253"/>
    </row>
    <row r="1469" spans="6:6" x14ac:dyDescent="0.2">
      <c r="F1469" s="253"/>
    </row>
    <row r="1470" spans="6:6" x14ac:dyDescent="0.2">
      <c r="F1470" s="253"/>
    </row>
    <row r="1471" spans="6:6" x14ac:dyDescent="0.2">
      <c r="F1471" s="253"/>
    </row>
    <row r="1472" spans="6:6" x14ac:dyDescent="0.2">
      <c r="F1472" s="253"/>
    </row>
    <row r="1473" spans="6:6" x14ac:dyDescent="0.2">
      <c r="F1473" s="253"/>
    </row>
    <row r="1474" spans="6:6" x14ac:dyDescent="0.2">
      <c r="F1474" s="253"/>
    </row>
    <row r="1475" spans="6:6" x14ac:dyDescent="0.2">
      <c r="F1475" s="253"/>
    </row>
    <row r="1476" spans="6:6" x14ac:dyDescent="0.2">
      <c r="F1476" s="253"/>
    </row>
    <row r="1477" spans="6:6" x14ac:dyDescent="0.2">
      <c r="F1477" s="253"/>
    </row>
    <row r="1478" spans="6:6" x14ac:dyDescent="0.2">
      <c r="F1478" s="253"/>
    </row>
    <row r="1479" spans="6:6" x14ac:dyDescent="0.2">
      <c r="F1479" s="253"/>
    </row>
    <row r="1480" spans="6:6" x14ac:dyDescent="0.2">
      <c r="F1480" s="253"/>
    </row>
    <row r="1481" spans="6:6" x14ac:dyDescent="0.2">
      <c r="F1481" s="253"/>
    </row>
    <row r="1482" spans="6:6" x14ac:dyDescent="0.2">
      <c r="F1482" s="253"/>
    </row>
    <row r="1483" spans="6:6" x14ac:dyDescent="0.2">
      <c r="F1483" s="253"/>
    </row>
    <row r="1484" spans="6:6" x14ac:dyDescent="0.2">
      <c r="F1484" s="253"/>
    </row>
    <row r="1485" spans="6:6" x14ac:dyDescent="0.2">
      <c r="F1485" s="253"/>
    </row>
    <row r="1486" spans="6:6" x14ac:dyDescent="0.2">
      <c r="F1486" s="253"/>
    </row>
    <row r="1487" spans="6:6" x14ac:dyDescent="0.2">
      <c r="F1487" s="253"/>
    </row>
    <row r="1488" spans="6:6" x14ac:dyDescent="0.2">
      <c r="F1488" s="253"/>
    </row>
    <row r="1489" spans="6:6" x14ac:dyDescent="0.2">
      <c r="F1489" s="253"/>
    </row>
    <row r="1490" spans="6:6" x14ac:dyDescent="0.2">
      <c r="F1490" s="253"/>
    </row>
    <row r="1491" spans="6:6" x14ac:dyDescent="0.2">
      <c r="F1491" s="253"/>
    </row>
    <row r="1492" spans="6:6" x14ac:dyDescent="0.2">
      <c r="F1492" s="253"/>
    </row>
    <row r="1493" spans="6:6" x14ac:dyDescent="0.2">
      <c r="F1493" s="253"/>
    </row>
    <row r="1494" spans="6:6" x14ac:dyDescent="0.2">
      <c r="F1494" s="253"/>
    </row>
    <row r="1495" spans="6:6" x14ac:dyDescent="0.2">
      <c r="F1495" s="253"/>
    </row>
    <row r="1496" spans="6:6" x14ac:dyDescent="0.2">
      <c r="F1496" s="253"/>
    </row>
    <row r="1497" spans="6:6" x14ac:dyDescent="0.2">
      <c r="F1497" s="253"/>
    </row>
    <row r="1498" spans="6:6" x14ac:dyDescent="0.2">
      <c r="F1498" s="253"/>
    </row>
    <row r="1499" spans="6:6" x14ac:dyDescent="0.2">
      <c r="F1499" s="253"/>
    </row>
    <row r="1500" spans="6:6" x14ac:dyDescent="0.2">
      <c r="F1500" s="253"/>
    </row>
    <row r="1501" spans="6:6" x14ac:dyDescent="0.2">
      <c r="F1501" s="253"/>
    </row>
    <row r="1502" spans="6:6" x14ac:dyDescent="0.2">
      <c r="F1502" s="253"/>
    </row>
    <row r="1503" spans="6:6" x14ac:dyDescent="0.2">
      <c r="F1503" s="253"/>
    </row>
    <row r="1504" spans="6:6" x14ac:dyDescent="0.2">
      <c r="F1504" s="253"/>
    </row>
    <row r="1505" spans="6:6" x14ac:dyDescent="0.2">
      <c r="F1505" s="253"/>
    </row>
    <row r="1506" spans="6:6" x14ac:dyDescent="0.2">
      <c r="F1506" s="253"/>
    </row>
    <row r="1507" spans="6:6" x14ac:dyDescent="0.2">
      <c r="F1507" s="253"/>
    </row>
    <row r="1508" spans="6:6" x14ac:dyDescent="0.2">
      <c r="F1508" s="253"/>
    </row>
    <row r="1509" spans="6:6" x14ac:dyDescent="0.2">
      <c r="F1509" s="253"/>
    </row>
    <row r="1510" spans="6:6" x14ac:dyDescent="0.2">
      <c r="F1510" s="253"/>
    </row>
    <row r="1511" spans="6:6" x14ac:dyDescent="0.2">
      <c r="F1511" s="253"/>
    </row>
    <row r="1512" spans="6:6" x14ac:dyDescent="0.2">
      <c r="F1512" s="253"/>
    </row>
    <row r="1513" spans="6:6" x14ac:dyDescent="0.2">
      <c r="F1513" s="253"/>
    </row>
    <row r="1514" spans="6:6" x14ac:dyDescent="0.2">
      <c r="F1514" s="253"/>
    </row>
    <row r="1515" spans="6:6" x14ac:dyDescent="0.2">
      <c r="F1515" s="253"/>
    </row>
    <row r="1516" spans="6:6" x14ac:dyDescent="0.2">
      <c r="F1516" s="253"/>
    </row>
    <row r="1517" spans="6:6" x14ac:dyDescent="0.2">
      <c r="F1517" s="253"/>
    </row>
    <row r="1518" spans="6:6" x14ac:dyDescent="0.2">
      <c r="F1518" s="253"/>
    </row>
    <row r="1519" spans="6:6" x14ac:dyDescent="0.2">
      <c r="F1519" s="253"/>
    </row>
    <row r="1520" spans="6:6" x14ac:dyDescent="0.2">
      <c r="F1520" s="253"/>
    </row>
    <row r="1521" spans="6:6" x14ac:dyDescent="0.2">
      <c r="F1521" s="253"/>
    </row>
    <row r="1522" spans="6:6" x14ac:dyDescent="0.2">
      <c r="F1522" s="253"/>
    </row>
    <row r="1523" spans="6:6" x14ac:dyDescent="0.2">
      <c r="F1523" s="253"/>
    </row>
    <row r="1524" spans="6:6" x14ac:dyDescent="0.2">
      <c r="F1524" s="253"/>
    </row>
    <row r="1525" spans="6:6" x14ac:dyDescent="0.2">
      <c r="F1525" s="253"/>
    </row>
    <row r="1526" spans="6:6" x14ac:dyDescent="0.2">
      <c r="F1526" s="253"/>
    </row>
    <row r="1527" spans="6:6" x14ac:dyDescent="0.2">
      <c r="F1527" s="253"/>
    </row>
    <row r="1528" spans="6:6" x14ac:dyDescent="0.2">
      <c r="F1528" s="253"/>
    </row>
    <row r="1529" spans="6:6" x14ac:dyDescent="0.2">
      <c r="F1529" s="253"/>
    </row>
    <row r="1530" spans="6:6" x14ac:dyDescent="0.2">
      <c r="F1530" s="253"/>
    </row>
    <row r="1531" spans="6:6" x14ac:dyDescent="0.2">
      <c r="F1531" s="253"/>
    </row>
    <row r="1532" spans="6:6" x14ac:dyDescent="0.2">
      <c r="F1532" s="253"/>
    </row>
    <row r="1533" spans="6:6" x14ac:dyDescent="0.2">
      <c r="F1533" s="253"/>
    </row>
    <row r="1534" spans="6:6" x14ac:dyDescent="0.2">
      <c r="F1534" s="253"/>
    </row>
    <row r="1535" spans="6:6" x14ac:dyDescent="0.2">
      <c r="F1535" s="253"/>
    </row>
    <row r="1536" spans="6:6" x14ac:dyDescent="0.2">
      <c r="F1536" s="253"/>
    </row>
    <row r="1537" spans="6:6" x14ac:dyDescent="0.2">
      <c r="F1537" s="253"/>
    </row>
    <row r="1538" spans="6:6" x14ac:dyDescent="0.2">
      <c r="F1538" s="253"/>
    </row>
    <row r="1539" spans="6:6" x14ac:dyDescent="0.2">
      <c r="F1539" s="253"/>
    </row>
    <row r="1540" spans="6:6" x14ac:dyDescent="0.2">
      <c r="F1540" s="253"/>
    </row>
    <row r="1541" spans="6:6" x14ac:dyDescent="0.2">
      <c r="F1541" s="253"/>
    </row>
    <row r="1542" spans="6:6" x14ac:dyDescent="0.2">
      <c r="F1542" s="253"/>
    </row>
    <row r="1543" spans="6:6" x14ac:dyDescent="0.2">
      <c r="F1543" s="253"/>
    </row>
    <row r="1544" spans="6:6" x14ac:dyDescent="0.2">
      <c r="F1544" s="253"/>
    </row>
    <row r="1545" spans="6:6" x14ac:dyDescent="0.2">
      <c r="F1545" s="253"/>
    </row>
    <row r="1546" spans="6:6" x14ac:dyDescent="0.2">
      <c r="F1546" s="253"/>
    </row>
    <row r="1547" spans="6:6" x14ac:dyDescent="0.2">
      <c r="F1547" s="253"/>
    </row>
    <row r="1548" spans="6:6" x14ac:dyDescent="0.2">
      <c r="F1548" s="253"/>
    </row>
    <row r="1549" spans="6:6" x14ac:dyDescent="0.2">
      <c r="F1549" s="253"/>
    </row>
    <row r="1550" spans="6:6" x14ac:dyDescent="0.2">
      <c r="F1550" s="253"/>
    </row>
    <row r="1551" spans="6:6" x14ac:dyDescent="0.2">
      <c r="F1551" s="253"/>
    </row>
    <row r="1552" spans="6:6" x14ac:dyDescent="0.2">
      <c r="F1552" s="253"/>
    </row>
    <row r="1553" spans="6:6" x14ac:dyDescent="0.2">
      <c r="F1553" s="253"/>
    </row>
    <row r="1554" spans="6:6" x14ac:dyDescent="0.2">
      <c r="F1554" s="253"/>
    </row>
    <row r="1555" spans="6:6" x14ac:dyDescent="0.2">
      <c r="F1555" s="253"/>
    </row>
    <row r="1556" spans="6:6" x14ac:dyDescent="0.2">
      <c r="F1556" s="253"/>
    </row>
    <row r="1557" spans="6:6" x14ac:dyDescent="0.2">
      <c r="F1557" s="253"/>
    </row>
    <row r="1558" spans="6:6" x14ac:dyDescent="0.2">
      <c r="F1558" s="253"/>
    </row>
    <row r="1559" spans="6:6" x14ac:dyDescent="0.2">
      <c r="F1559" s="253"/>
    </row>
    <row r="1560" spans="6:6" x14ac:dyDescent="0.2">
      <c r="F1560" s="253"/>
    </row>
    <row r="1561" spans="6:6" x14ac:dyDescent="0.2">
      <c r="F1561" s="253"/>
    </row>
    <row r="1562" spans="6:6" x14ac:dyDescent="0.2">
      <c r="F1562" s="253"/>
    </row>
    <row r="1563" spans="6:6" x14ac:dyDescent="0.2">
      <c r="F1563" s="253"/>
    </row>
    <row r="1564" spans="6:6" x14ac:dyDescent="0.2">
      <c r="F1564" s="253"/>
    </row>
    <row r="1565" spans="6:6" x14ac:dyDescent="0.2">
      <c r="F1565" s="253"/>
    </row>
    <row r="1566" spans="6:6" x14ac:dyDescent="0.2">
      <c r="F1566" s="253"/>
    </row>
    <row r="1567" spans="6:6" x14ac:dyDescent="0.2">
      <c r="F1567" s="253"/>
    </row>
    <row r="1568" spans="6:6" x14ac:dyDescent="0.2">
      <c r="F1568" s="253"/>
    </row>
    <row r="1569" spans="6:6" x14ac:dyDescent="0.2">
      <c r="F1569" s="253"/>
    </row>
    <row r="1570" spans="6:6" x14ac:dyDescent="0.2">
      <c r="F1570" s="253"/>
    </row>
    <row r="1571" spans="6:6" x14ac:dyDescent="0.2">
      <c r="F1571" s="253"/>
    </row>
    <row r="1572" spans="6:6" x14ac:dyDescent="0.2">
      <c r="F1572" s="253"/>
    </row>
    <row r="1573" spans="6:6" x14ac:dyDescent="0.2">
      <c r="F1573" s="253"/>
    </row>
    <row r="1574" spans="6:6" x14ac:dyDescent="0.2">
      <c r="F1574" s="253"/>
    </row>
    <row r="1575" spans="6:6" x14ac:dyDescent="0.2">
      <c r="F1575" s="253"/>
    </row>
    <row r="1576" spans="6:6" x14ac:dyDescent="0.2">
      <c r="F1576" s="253"/>
    </row>
    <row r="1577" spans="6:6" x14ac:dyDescent="0.2">
      <c r="F1577" s="253"/>
    </row>
    <row r="1578" spans="6:6" x14ac:dyDescent="0.2">
      <c r="F1578" s="253"/>
    </row>
    <row r="1579" spans="6:6" x14ac:dyDescent="0.2">
      <c r="F1579" s="253"/>
    </row>
    <row r="1580" spans="6:6" x14ac:dyDescent="0.2">
      <c r="F1580" s="253"/>
    </row>
    <row r="1581" spans="6:6" x14ac:dyDescent="0.2">
      <c r="F1581" s="253"/>
    </row>
    <row r="1582" spans="6:6" x14ac:dyDescent="0.2">
      <c r="F1582" s="253"/>
    </row>
    <row r="1583" spans="6:6" x14ac:dyDescent="0.2">
      <c r="F1583" s="253"/>
    </row>
    <row r="1584" spans="6:6" x14ac:dyDescent="0.2">
      <c r="F1584" s="253"/>
    </row>
    <row r="1585" spans="6:6" x14ac:dyDescent="0.2">
      <c r="F1585" s="253"/>
    </row>
    <row r="1586" spans="6:6" x14ac:dyDescent="0.2">
      <c r="F1586" s="253"/>
    </row>
    <row r="1587" spans="6:6" x14ac:dyDescent="0.2">
      <c r="F1587" s="253"/>
    </row>
    <row r="1588" spans="6:6" x14ac:dyDescent="0.2">
      <c r="F1588" s="253"/>
    </row>
    <row r="1589" spans="6:6" x14ac:dyDescent="0.2">
      <c r="F1589" s="253"/>
    </row>
    <row r="1590" spans="6:6" x14ac:dyDescent="0.2">
      <c r="F1590" s="253"/>
    </row>
    <row r="1591" spans="6:6" x14ac:dyDescent="0.2">
      <c r="F1591" s="253"/>
    </row>
    <row r="1592" spans="6:6" x14ac:dyDescent="0.2">
      <c r="F1592" s="253"/>
    </row>
    <row r="1593" spans="6:6" x14ac:dyDescent="0.2">
      <c r="F1593" s="253"/>
    </row>
    <row r="1594" spans="6:6" x14ac:dyDescent="0.2">
      <c r="F1594" s="253"/>
    </row>
    <row r="1595" spans="6:6" x14ac:dyDescent="0.2">
      <c r="F1595" s="253"/>
    </row>
    <row r="1596" spans="6:6" x14ac:dyDescent="0.2">
      <c r="F1596" s="253"/>
    </row>
    <row r="1597" spans="6:6" x14ac:dyDescent="0.2">
      <c r="F1597" s="253"/>
    </row>
    <row r="1598" spans="6:6" x14ac:dyDescent="0.2">
      <c r="F1598" s="253"/>
    </row>
    <row r="1599" spans="6:6" x14ac:dyDescent="0.2">
      <c r="F1599" s="253"/>
    </row>
    <row r="1600" spans="6:6" x14ac:dyDescent="0.2">
      <c r="F1600" s="253"/>
    </row>
    <row r="1601" spans="6:6" x14ac:dyDescent="0.2">
      <c r="F1601" s="253"/>
    </row>
    <row r="1602" spans="6:6" x14ac:dyDescent="0.2">
      <c r="F1602" s="253"/>
    </row>
    <row r="1603" spans="6:6" x14ac:dyDescent="0.2">
      <c r="F1603" s="253"/>
    </row>
    <row r="1604" spans="6:6" x14ac:dyDescent="0.2">
      <c r="F1604" s="253"/>
    </row>
    <row r="1605" spans="6:6" x14ac:dyDescent="0.2">
      <c r="F1605" s="253"/>
    </row>
    <row r="1606" spans="6:6" x14ac:dyDescent="0.2">
      <c r="F1606" s="253"/>
    </row>
    <row r="1607" spans="6:6" x14ac:dyDescent="0.2">
      <c r="F1607" s="253"/>
    </row>
    <row r="1608" spans="6:6" x14ac:dyDescent="0.2">
      <c r="F1608" s="253"/>
    </row>
    <row r="1609" spans="6:6" x14ac:dyDescent="0.2">
      <c r="F1609" s="253"/>
    </row>
    <row r="1610" spans="6:6" x14ac:dyDescent="0.2">
      <c r="F1610" s="253"/>
    </row>
    <row r="1611" spans="6:6" x14ac:dyDescent="0.2">
      <c r="F1611" s="253"/>
    </row>
    <row r="1612" spans="6:6" x14ac:dyDescent="0.2">
      <c r="F1612" s="253"/>
    </row>
    <row r="1613" spans="6:6" x14ac:dyDescent="0.2">
      <c r="F1613" s="253"/>
    </row>
    <row r="1614" spans="6:6" x14ac:dyDescent="0.2">
      <c r="F1614" s="253"/>
    </row>
    <row r="1615" spans="6:6" x14ac:dyDescent="0.2">
      <c r="F1615" s="253"/>
    </row>
    <row r="1616" spans="6:6" x14ac:dyDescent="0.2">
      <c r="F1616" s="253"/>
    </row>
    <row r="1617" spans="6:6" x14ac:dyDescent="0.2">
      <c r="F1617" s="253"/>
    </row>
    <row r="1618" spans="6:6" x14ac:dyDescent="0.2">
      <c r="F1618" s="253"/>
    </row>
    <row r="1619" spans="6:6" x14ac:dyDescent="0.2">
      <c r="F1619" s="253"/>
    </row>
    <row r="1620" spans="6:6" x14ac:dyDescent="0.2">
      <c r="F1620" s="253"/>
    </row>
    <row r="1621" spans="6:6" x14ac:dyDescent="0.2">
      <c r="F1621" s="253"/>
    </row>
    <row r="1622" spans="6:6" x14ac:dyDescent="0.2">
      <c r="F1622" s="253"/>
    </row>
    <row r="1623" spans="6:6" x14ac:dyDescent="0.2">
      <c r="F1623" s="253"/>
    </row>
    <row r="1624" spans="6:6" x14ac:dyDescent="0.2">
      <c r="F1624" s="253"/>
    </row>
    <row r="1625" spans="6:6" x14ac:dyDescent="0.2">
      <c r="F1625" s="253"/>
    </row>
    <row r="1626" spans="6:6" x14ac:dyDescent="0.2">
      <c r="F1626" s="253"/>
    </row>
    <row r="1627" spans="6:6" x14ac:dyDescent="0.2">
      <c r="F1627" s="253"/>
    </row>
    <row r="1628" spans="6:6" x14ac:dyDescent="0.2">
      <c r="F1628" s="253"/>
    </row>
    <row r="1629" spans="6:6" x14ac:dyDescent="0.2">
      <c r="F1629" s="253"/>
    </row>
    <row r="1630" spans="6:6" x14ac:dyDescent="0.2">
      <c r="F1630" s="253"/>
    </row>
    <row r="1631" spans="6:6" x14ac:dyDescent="0.2">
      <c r="F1631" s="253"/>
    </row>
    <row r="1632" spans="6:6" x14ac:dyDescent="0.2">
      <c r="F1632" s="253"/>
    </row>
    <row r="1633" spans="6:6" x14ac:dyDescent="0.2">
      <c r="F1633" s="253"/>
    </row>
    <row r="1634" spans="6:6" x14ac:dyDescent="0.2">
      <c r="F1634" s="253"/>
    </row>
    <row r="1635" spans="6:6" x14ac:dyDescent="0.2">
      <c r="F1635" s="253"/>
    </row>
    <row r="1636" spans="6:6" x14ac:dyDescent="0.2">
      <c r="F1636" s="253"/>
    </row>
    <row r="1637" spans="6:6" x14ac:dyDescent="0.2">
      <c r="F1637" s="253"/>
    </row>
    <row r="1638" spans="6:6" x14ac:dyDescent="0.2">
      <c r="F1638" s="253"/>
    </row>
    <row r="1639" spans="6:6" x14ac:dyDescent="0.2">
      <c r="F1639" s="253"/>
    </row>
    <row r="1640" spans="6:6" x14ac:dyDescent="0.2">
      <c r="F1640" s="253"/>
    </row>
    <row r="1641" spans="6:6" x14ac:dyDescent="0.2">
      <c r="F1641" s="253"/>
    </row>
    <row r="1642" spans="6:6" x14ac:dyDescent="0.2">
      <c r="F1642" s="253"/>
    </row>
    <row r="1643" spans="6:6" x14ac:dyDescent="0.2">
      <c r="F1643" s="253"/>
    </row>
    <row r="1644" spans="6:6" x14ac:dyDescent="0.2">
      <c r="F1644" s="253"/>
    </row>
    <row r="1645" spans="6:6" x14ac:dyDescent="0.2">
      <c r="F1645" s="253"/>
    </row>
    <row r="1646" spans="6:6" x14ac:dyDescent="0.2">
      <c r="F1646" s="253"/>
    </row>
    <row r="1647" spans="6:6" x14ac:dyDescent="0.2">
      <c r="F1647" s="253"/>
    </row>
    <row r="1648" spans="6:6" x14ac:dyDescent="0.2">
      <c r="F1648" s="253"/>
    </row>
    <row r="1649" spans="6:6" x14ac:dyDescent="0.2">
      <c r="F1649" s="253"/>
    </row>
    <row r="1650" spans="6:6" x14ac:dyDescent="0.2">
      <c r="F1650" s="253"/>
    </row>
    <row r="1651" spans="6:6" x14ac:dyDescent="0.2">
      <c r="F1651" s="253"/>
    </row>
    <row r="1652" spans="6:6" x14ac:dyDescent="0.2">
      <c r="F1652" s="253"/>
    </row>
    <row r="1653" spans="6:6" x14ac:dyDescent="0.2">
      <c r="F1653" s="253"/>
    </row>
    <row r="1654" spans="6:6" x14ac:dyDescent="0.2">
      <c r="F1654" s="253"/>
    </row>
    <row r="1655" spans="6:6" x14ac:dyDescent="0.2">
      <c r="F1655" s="253"/>
    </row>
    <row r="1656" spans="6:6" x14ac:dyDescent="0.2">
      <c r="F1656" s="253"/>
    </row>
    <row r="1657" spans="6:6" x14ac:dyDescent="0.2">
      <c r="F1657" s="253"/>
    </row>
    <row r="1658" spans="6:6" x14ac:dyDescent="0.2">
      <c r="F1658" s="253"/>
    </row>
    <row r="1659" spans="6:6" x14ac:dyDescent="0.2">
      <c r="F1659" s="253"/>
    </row>
    <row r="1660" spans="6:6" x14ac:dyDescent="0.2">
      <c r="F1660" s="253"/>
    </row>
    <row r="1661" spans="6:6" x14ac:dyDescent="0.2">
      <c r="F1661" s="253"/>
    </row>
    <row r="1662" spans="6:6" x14ac:dyDescent="0.2">
      <c r="F1662" s="253"/>
    </row>
    <row r="1663" spans="6:6" x14ac:dyDescent="0.2">
      <c r="F1663" s="253"/>
    </row>
    <row r="1664" spans="6:6" x14ac:dyDescent="0.2">
      <c r="F1664" s="253"/>
    </row>
    <row r="1665" spans="6:6" x14ac:dyDescent="0.2">
      <c r="F1665" s="253"/>
    </row>
    <row r="1666" spans="6:6" x14ac:dyDescent="0.2">
      <c r="F1666" s="253"/>
    </row>
    <row r="1667" spans="6:6" x14ac:dyDescent="0.2">
      <c r="F1667" s="253"/>
    </row>
    <row r="1668" spans="6:6" x14ac:dyDescent="0.2">
      <c r="F1668" s="253"/>
    </row>
    <row r="1669" spans="6:6" x14ac:dyDescent="0.2">
      <c r="F1669" s="253"/>
    </row>
    <row r="1670" spans="6:6" x14ac:dyDescent="0.2">
      <c r="F1670" s="253"/>
    </row>
    <row r="1671" spans="6:6" x14ac:dyDescent="0.2">
      <c r="F1671" s="253"/>
    </row>
    <row r="1672" spans="6:6" x14ac:dyDescent="0.2">
      <c r="F1672" s="253"/>
    </row>
    <row r="1673" spans="6:6" x14ac:dyDescent="0.2">
      <c r="F1673" s="253"/>
    </row>
    <row r="1674" spans="6:6" x14ac:dyDescent="0.2">
      <c r="F1674" s="253"/>
    </row>
    <row r="1675" spans="6:6" x14ac:dyDescent="0.2">
      <c r="F1675" s="253"/>
    </row>
    <row r="1676" spans="6:6" x14ac:dyDescent="0.2">
      <c r="F1676" s="253"/>
    </row>
    <row r="1677" spans="6:6" x14ac:dyDescent="0.2">
      <c r="F1677" s="253"/>
    </row>
    <row r="1678" spans="6:6" x14ac:dyDescent="0.2">
      <c r="F1678" s="253"/>
    </row>
    <row r="1679" spans="6:6" x14ac:dyDescent="0.2">
      <c r="F1679" s="253"/>
    </row>
    <row r="1680" spans="6:6" x14ac:dyDescent="0.2">
      <c r="F1680" s="253"/>
    </row>
    <row r="1681" spans="6:6" x14ac:dyDescent="0.2">
      <c r="F1681" s="253"/>
    </row>
    <row r="1682" spans="6:6" x14ac:dyDescent="0.2">
      <c r="F1682" s="253"/>
    </row>
    <row r="1683" spans="6:6" x14ac:dyDescent="0.2">
      <c r="F1683" s="253"/>
    </row>
    <row r="1684" spans="6:6" x14ac:dyDescent="0.2">
      <c r="F1684" s="253"/>
    </row>
    <row r="1685" spans="6:6" x14ac:dyDescent="0.2">
      <c r="F1685" s="253"/>
    </row>
    <row r="1686" spans="6:6" x14ac:dyDescent="0.2">
      <c r="F1686" s="253"/>
    </row>
    <row r="1687" spans="6:6" x14ac:dyDescent="0.2">
      <c r="F1687" s="253"/>
    </row>
    <row r="1688" spans="6:6" x14ac:dyDescent="0.2">
      <c r="F1688" s="253"/>
    </row>
    <row r="1689" spans="6:6" x14ac:dyDescent="0.2">
      <c r="F1689" s="253"/>
    </row>
    <row r="1690" spans="6:6" x14ac:dyDescent="0.2">
      <c r="F1690" s="253"/>
    </row>
    <row r="1691" spans="6:6" x14ac:dyDescent="0.2">
      <c r="F1691" s="253"/>
    </row>
    <row r="1692" spans="6:6" x14ac:dyDescent="0.2">
      <c r="F1692" s="253"/>
    </row>
    <row r="1693" spans="6:6" x14ac:dyDescent="0.2">
      <c r="F1693" s="253"/>
    </row>
    <row r="1694" spans="6:6" x14ac:dyDescent="0.2">
      <c r="F1694" s="253"/>
    </row>
    <row r="1695" spans="6:6" x14ac:dyDescent="0.2">
      <c r="F1695" s="253"/>
    </row>
    <row r="1696" spans="6:6" x14ac:dyDescent="0.2">
      <c r="F1696" s="253"/>
    </row>
    <row r="1697" spans="6:6" x14ac:dyDescent="0.2">
      <c r="F1697" s="253"/>
    </row>
    <row r="1698" spans="6:6" x14ac:dyDescent="0.2">
      <c r="F1698" s="253"/>
    </row>
    <row r="1699" spans="6:6" x14ac:dyDescent="0.2">
      <c r="F1699" s="253"/>
    </row>
    <row r="1700" spans="6:6" x14ac:dyDescent="0.2">
      <c r="F1700" s="253"/>
    </row>
    <row r="1701" spans="6:6" x14ac:dyDescent="0.2">
      <c r="F1701" s="253"/>
    </row>
    <row r="1702" spans="6:6" x14ac:dyDescent="0.2">
      <c r="F1702" s="253"/>
    </row>
    <row r="1703" spans="6:6" x14ac:dyDescent="0.2">
      <c r="F1703" s="253"/>
    </row>
    <row r="1704" spans="6:6" x14ac:dyDescent="0.2">
      <c r="F1704" s="253"/>
    </row>
    <row r="1705" spans="6:6" x14ac:dyDescent="0.2">
      <c r="F1705" s="253"/>
    </row>
    <row r="1706" spans="6:6" x14ac:dyDescent="0.2">
      <c r="F1706" s="253"/>
    </row>
    <row r="1707" spans="6:6" x14ac:dyDescent="0.2">
      <c r="F1707" s="253"/>
    </row>
    <row r="1708" spans="6:6" x14ac:dyDescent="0.2">
      <c r="F1708" s="253"/>
    </row>
    <row r="1709" spans="6:6" x14ac:dyDescent="0.2">
      <c r="F1709" s="253"/>
    </row>
    <row r="1710" spans="6:6" x14ac:dyDescent="0.2">
      <c r="F1710" s="253"/>
    </row>
    <row r="1711" spans="6:6" x14ac:dyDescent="0.2">
      <c r="F1711" s="253"/>
    </row>
    <row r="1712" spans="6:6" x14ac:dyDescent="0.2">
      <c r="F1712" s="253"/>
    </row>
    <row r="1713" spans="6:6" x14ac:dyDescent="0.2">
      <c r="F1713" s="253"/>
    </row>
    <row r="1714" spans="6:6" x14ac:dyDescent="0.2">
      <c r="F1714" s="253"/>
    </row>
    <row r="1715" spans="6:6" x14ac:dyDescent="0.2">
      <c r="F1715" s="253"/>
    </row>
    <row r="1716" spans="6:6" x14ac:dyDescent="0.2">
      <c r="F1716" s="253"/>
    </row>
    <row r="1717" spans="6:6" x14ac:dyDescent="0.2">
      <c r="F1717" s="253"/>
    </row>
    <row r="1718" spans="6:6" x14ac:dyDescent="0.2">
      <c r="F1718" s="253"/>
    </row>
    <row r="1719" spans="6:6" x14ac:dyDescent="0.2">
      <c r="F1719" s="253"/>
    </row>
    <row r="1720" spans="6:6" x14ac:dyDescent="0.2">
      <c r="F1720" s="253"/>
    </row>
    <row r="1721" spans="6:6" x14ac:dyDescent="0.2">
      <c r="F1721" s="253"/>
    </row>
    <row r="1722" spans="6:6" x14ac:dyDescent="0.2">
      <c r="F1722" s="253"/>
    </row>
    <row r="1723" spans="6:6" x14ac:dyDescent="0.2">
      <c r="F1723" s="253"/>
    </row>
    <row r="1724" spans="6:6" x14ac:dyDescent="0.2">
      <c r="F1724" s="253"/>
    </row>
    <row r="1725" spans="6:6" x14ac:dyDescent="0.2">
      <c r="F1725" s="253"/>
    </row>
    <row r="1726" spans="6:6" x14ac:dyDescent="0.2">
      <c r="F1726" s="253"/>
    </row>
    <row r="1727" spans="6:6" x14ac:dyDescent="0.2">
      <c r="F1727" s="253"/>
    </row>
    <row r="1728" spans="6:6" x14ac:dyDescent="0.2">
      <c r="F1728" s="253"/>
    </row>
    <row r="1729" spans="6:6" x14ac:dyDescent="0.2">
      <c r="F1729" s="253"/>
    </row>
    <row r="1730" spans="6:6" x14ac:dyDescent="0.2">
      <c r="F1730" s="253"/>
    </row>
    <row r="1731" spans="6:6" x14ac:dyDescent="0.2">
      <c r="F1731" s="253"/>
    </row>
    <row r="1732" spans="6:6" x14ac:dyDescent="0.2">
      <c r="F1732" s="253"/>
    </row>
    <row r="1733" spans="6:6" x14ac:dyDescent="0.2">
      <c r="F1733" s="253"/>
    </row>
    <row r="1734" spans="6:6" x14ac:dyDescent="0.2">
      <c r="F1734" s="253"/>
    </row>
    <row r="1735" spans="6:6" x14ac:dyDescent="0.2">
      <c r="F1735" s="253"/>
    </row>
    <row r="1736" spans="6:6" x14ac:dyDescent="0.2">
      <c r="F1736" s="253"/>
    </row>
    <row r="1737" spans="6:6" x14ac:dyDescent="0.2">
      <c r="F1737" s="253"/>
    </row>
    <row r="1738" spans="6:6" x14ac:dyDescent="0.2">
      <c r="F1738" s="253"/>
    </row>
    <row r="1739" spans="6:6" x14ac:dyDescent="0.2">
      <c r="F1739" s="253"/>
    </row>
    <row r="1740" spans="6:6" x14ac:dyDescent="0.2">
      <c r="F1740" s="253"/>
    </row>
    <row r="1741" spans="6:6" x14ac:dyDescent="0.2">
      <c r="F1741" s="253"/>
    </row>
    <row r="1742" spans="6:6" x14ac:dyDescent="0.2">
      <c r="F1742" s="253"/>
    </row>
    <row r="1743" spans="6:6" x14ac:dyDescent="0.2">
      <c r="F1743" s="253"/>
    </row>
    <row r="1744" spans="6:6" x14ac:dyDescent="0.2">
      <c r="F1744" s="253"/>
    </row>
    <row r="1745" spans="6:6" x14ac:dyDescent="0.2">
      <c r="F1745" s="253"/>
    </row>
    <row r="1746" spans="6:6" x14ac:dyDescent="0.2">
      <c r="F1746" s="253"/>
    </row>
    <row r="1747" spans="6:6" x14ac:dyDescent="0.2">
      <c r="F1747" s="253"/>
    </row>
    <row r="1748" spans="6:6" x14ac:dyDescent="0.2">
      <c r="F1748" s="253"/>
    </row>
    <row r="1749" spans="6:6" x14ac:dyDescent="0.2">
      <c r="F1749" s="253"/>
    </row>
    <row r="1750" spans="6:6" x14ac:dyDescent="0.2">
      <c r="F1750" s="253"/>
    </row>
    <row r="1751" spans="6:6" x14ac:dyDescent="0.2">
      <c r="F1751" s="253"/>
    </row>
    <row r="1752" spans="6:6" x14ac:dyDescent="0.2">
      <c r="F1752" s="253"/>
    </row>
    <row r="1753" spans="6:6" x14ac:dyDescent="0.2">
      <c r="F1753" s="253"/>
    </row>
    <row r="1754" spans="6:6" x14ac:dyDescent="0.2">
      <c r="F1754" s="253"/>
    </row>
    <row r="1755" spans="6:6" x14ac:dyDescent="0.2">
      <c r="F1755" s="253"/>
    </row>
    <row r="1756" spans="6:6" x14ac:dyDescent="0.2">
      <c r="F1756" s="253"/>
    </row>
    <row r="1757" spans="6:6" x14ac:dyDescent="0.2">
      <c r="F1757" s="253"/>
    </row>
    <row r="1758" spans="6:6" x14ac:dyDescent="0.2">
      <c r="F1758" s="253"/>
    </row>
    <row r="1759" spans="6:6" x14ac:dyDescent="0.2">
      <c r="F1759" s="253"/>
    </row>
    <row r="1760" spans="6:6" x14ac:dyDescent="0.2">
      <c r="F1760" s="253"/>
    </row>
    <row r="1761" spans="6:6" x14ac:dyDescent="0.2">
      <c r="F1761" s="253"/>
    </row>
    <row r="1762" spans="6:6" x14ac:dyDescent="0.2">
      <c r="F1762" s="253"/>
    </row>
    <row r="1763" spans="6:6" x14ac:dyDescent="0.2">
      <c r="F1763" s="253"/>
    </row>
    <row r="1764" spans="6:6" x14ac:dyDescent="0.2">
      <c r="F1764" s="253"/>
    </row>
    <row r="1765" spans="6:6" x14ac:dyDescent="0.2">
      <c r="F1765" s="253"/>
    </row>
    <row r="1766" spans="6:6" x14ac:dyDescent="0.2">
      <c r="F1766" s="253"/>
    </row>
    <row r="1767" spans="6:6" x14ac:dyDescent="0.2">
      <c r="F1767" s="253"/>
    </row>
    <row r="1768" spans="6:6" x14ac:dyDescent="0.2">
      <c r="F1768" s="253"/>
    </row>
    <row r="1769" spans="6:6" x14ac:dyDescent="0.2">
      <c r="F1769" s="253"/>
    </row>
    <row r="1770" spans="6:6" x14ac:dyDescent="0.2">
      <c r="F1770" s="253"/>
    </row>
    <row r="1771" spans="6:6" x14ac:dyDescent="0.2">
      <c r="F1771" s="253"/>
    </row>
    <row r="1772" spans="6:6" x14ac:dyDescent="0.2">
      <c r="F1772" s="253"/>
    </row>
    <row r="1773" spans="6:6" x14ac:dyDescent="0.2">
      <c r="F1773" s="253"/>
    </row>
    <row r="1774" spans="6:6" x14ac:dyDescent="0.2">
      <c r="F1774" s="253"/>
    </row>
    <row r="1775" spans="6:6" x14ac:dyDescent="0.2">
      <c r="F1775" s="253"/>
    </row>
    <row r="1776" spans="6:6" x14ac:dyDescent="0.2">
      <c r="F1776" s="253"/>
    </row>
    <row r="1777" spans="6:6" x14ac:dyDescent="0.2">
      <c r="F1777" s="253"/>
    </row>
    <row r="1778" spans="6:6" x14ac:dyDescent="0.2">
      <c r="F1778" s="253"/>
    </row>
    <row r="1779" spans="6:6" x14ac:dyDescent="0.2">
      <c r="F1779" s="253"/>
    </row>
    <row r="1780" spans="6:6" x14ac:dyDescent="0.2">
      <c r="F1780" s="253"/>
    </row>
    <row r="1781" spans="6:6" x14ac:dyDescent="0.2">
      <c r="F1781" s="253"/>
    </row>
    <row r="1782" spans="6:6" x14ac:dyDescent="0.2">
      <c r="F1782" s="253"/>
    </row>
    <row r="1783" spans="6:6" x14ac:dyDescent="0.2">
      <c r="F1783" s="253"/>
    </row>
    <row r="1784" spans="6:6" x14ac:dyDescent="0.2">
      <c r="F1784" s="253"/>
    </row>
    <row r="1785" spans="6:6" x14ac:dyDescent="0.2">
      <c r="F1785" s="253"/>
    </row>
    <row r="1786" spans="6:6" x14ac:dyDescent="0.2">
      <c r="F1786" s="253"/>
    </row>
    <row r="1787" spans="6:6" x14ac:dyDescent="0.2">
      <c r="F1787" s="253"/>
    </row>
    <row r="1788" spans="6:6" x14ac:dyDescent="0.2">
      <c r="F1788" s="253"/>
    </row>
    <row r="1789" spans="6:6" x14ac:dyDescent="0.2">
      <c r="F1789" s="253"/>
    </row>
    <row r="1790" spans="6:6" x14ac:dyDescent="0.2">
      <c r="F1790" s="253"/>
    </row>
    <row r="1791" spans="6:6" x14ac:dyDescent="0.2">
      <c r="F1791" s="253"/>
    </row>
    <row r="1792" spans="6:6" x14ac:dyDescent="0.2">
      <c r="F1792" s="253"/>
    </row>
    <row r="1793" spans="6:6" x14ac:dyDescent="0.2">
      <c r="F1793" s="253"/>
    </row>
    <row r="1794" spans="6:6" x14ac:dyDescent="0.2">
      <c r="F1794" s="253"/>
    </row>
    <row r="1795" spans="6:6" x14ac:dyDescent="0.2">
      <c r="F1795" s="253"/>
    </row>
    <row r="1796" spans="6:6" x14ac:dyDescent="0.2">
      <c r="F1796" s="253"/>
    </row>
    <row r="1797" spans="6:6" x14ac:dyDescent="0.2">
      <c r="F1797" s="253"/>
    </row>
    <row r="1798" spans="6:6" x14ac:dyDescent="0.2">
      <c r="F1798" s="253"/>
    </row>
    <row r="1799" spans="6:6" x14ac:dyDescent="0.2">
      <c r="F1799" s="253"/>
    </row>
    <row r="1800" spans="6:6" x14ac:dyDescent="0.2">
      <c r="F1800" s="253"/>
    </row>
    <row r="1801" spans="6:6" x14ac:dyDescent="0.2">
      <c r="F1801" s="253"/>
    </row>
    <row r="1802" spans="6:6" x14ac:dyDescent="0.2">
      <c r="F1802" s="253"/>
    </row>
    <row r="1803" spans="6:6" x14ac:dyDescent="0.2">
      <c r="F1803" s="253"/>
    </row>
    <row r="1804" spans="6:6" x14ac:dyDescent="0.2">
      <c r="F1804" s="253"/>
    </row>
    <row r="1805" spans="6:6" x14ac:dyDescent="0.2">
      <c r="F1805" s="253"/>
    </row>
    <row r="1806" spans="6:6" x14ac:dyDescent="0.2">
      <c r="F1806" s="253"/>
    </row>
    <row r="1807" spans="6:6" x14ac:dyDescent="0.2">
      <c r="F1807" s="253"/>
    </row>
    <row r="1808" spans="6:6" x14ac:dyDescent="0.2">
      <c r="F1808" s="253"/>
    </row>
    <row r="1809" spans="6:6" x14ac:dyDescent="0.2">
      <c r="F1809" s="253"/>
    </row>
    <row r="1810" spans="6:6" x14ac:dyDescent="0.2">
      <c r="F1810" s="253"/>
    </row>
    <row r="1811" spans="6:6" x14ac:dyDescent="0.2">
      <c r="F1811" s="253"/>
    </row>
    <row r="1812" spans="6:6" x14ac:dyDescent="0.2">
      <c r="F1812" s="253"/>
    </row>
    <row r="1813" spans="6:6" x14ac:dyDescent="0.2">
      <c r="F1813" s="253"/>
    </row>
    <row r="1814" spans="6:6" x14ac:dyDescent="0.2">
      <c r="F1814" s="253"/>
    </row>
    <row r="1815" spans="6:6" x14ac:dyDescent="0.2">
      <c r="F1815" s="253"/>
    </row>
    <row r="1816" spans="6:6" x14ac:dyDescent="0.2">
      <c r="F1816" s="253"/>
    </row>
    <row r="1817" spans="6:6" x14ac:dyDescent="0.2">
      <c r="F1817" s="253"/>
    </row>
    <row r="1818" spans="6:6" x14ac:dyDescent="0.2">
      <c r="F1818" s="253"/>
    </row>
    <row r="1819" spans="6:6" x14ac:dyDescent="0.2">
      <c r="F1819" s="253"/>
    </row>
    <row r="1820" spans="6:6" x14ac:dyDescent="0.2">
      <c r="F1820" s="253"/>
    </row>
    <row r="1821" spans="6:6" x14ac:dyDescent="0.2">
      <c r="F1821" s="253"/>
    </row>
    <row r="1822" spans="6:6" x14ac:dyDescent="0.2">
      <c r="F1822" s="253"/>
    </row>
    <row r="1823" spans="6:6" x14ac:dyDescent="0.2">
      <c r="F1823" s="253"/>
    </row>
    <row r="1824" spans="6:6" x14ac:dyDescent="0.2">
      <c r="F1824" s="253"/>
    </row>
    <row r="1825" spans="6:6" x14ac:dyDescent="0.2">
      <c r="F1825" s="253"/>
    </row>
    <row r="1826" spans="6:6" x14ac:dyDescent="0.2">
      <c r="F1826" s="253"/>
    </row>
    <row r="1827" spans="6:6" x14ac:dyDescent="0.2">
      <c r="F1827" s="253"/>
    </row>
    <row r="1828" spans="6:6" x14ac:dyDescent="0.2">
      <c r="F1828" s="253"/>
    </row>
    <row r="1829" spans="6:6" x14ac:dyDescent="0.2">
      <c r="F1829" s="253"/>
    </row>
    <row r="1830" spans="6:6" x14ac:dyDescent="0.2">
      <c r="F1830" s="253"/>
    </row>
    <row r="1831" spans="6:6" x14ac:dyDescent="0.2">
      <c r="F1831" s="253"/>
    </row>
    <row r="1832" spans="6:6" x14ac:dyDescent="0.2">
      <c r="F1832" s="253"/>
    </row>
    <row r="1833" spans="6:6" x14ac:dyDescent="0.2">
      <c r="F1833" s="253"/>
    </row>
    <row r="1834" spans="6:6" x14ac:dyDescent="0.2">
      <c r="F1834" s="253"/>
    </row>
    <row r="1835" spans="6:6" x14ac:dyDescent="0.2">
      <c r="F1835" s="253"/>
    </row>
    <row r="1836" spans="6:6" x14ac:dyDescent="0.2">
      <c r="F1836" s="253"/>
    </row>
    <row r="1837" spans="6:6" x14ac:dyDescent="0.2">
      <c r="F1837" s="253"/>
    </row>
    <row r="1838" spans="6:6" x14ac:dyDescent="0.2">
      <c r="F1838" s="253"/>
    </row>
    <row r="1839" spans="6:6" x14ac:dyDescent="0.2">
      <c r="F1839" s="253"/>
    </row>
    <row r="1840" spans="6:6" x14ac:dyDescent="0.2">
      <c r="F1840" s="253"/>
    </row>
    <row r="1841" spans="6:6" x14ac:dyDescent="0.2">
      <c r="F1841" s="253"/>
    </row>
    <row r="1842" spans="6:6" x14ac:dyDescent="0.2">
      <c r="F1842" s="253"/>
    </row>
    <row r="1843" spans="6:6" x14ac:dyDescent="0.2">
      <c r="F1843" s="253"/>
    </row>
    <row r="1844" spans="6:6" x14ac:dyDescent="0.2">
      <c r="F1844" s="253"/>
    </row>
    <row r="1845" spans="6:6" x14ac:dyDescent="0.2">
      <c r="F1845" s="253"/>
    </row>
    <row r="1846" spans="6:6" x14ac:dyDescent="0.2">
      <c r="F1846" s="253"/>
    </row>
    <row r="1847" spans="6:6" x14ac:dyDescent="0.2">
      <c r="F1847" s="253"/>
    </row>
    <row r="1848" spans="6:6" x14ac:dyDescent="0.2">
      <c r="F1848" s="253"/>
    </row>
    <row r="1849" spans="6:6" x14ac:dyDescent="0.2">
      <c r="F1849" s="253"/>
    </row>
    <row r="1850" spans="6:6" x14ac:dyDescent="0.2">
      <c r="F1850" s="253"/>
    </row>
    <row r="1851" spans="6:6" x14ac:dyDescent="0.2">
      <c r="F1851" s="253"/>
    </row>
    <row r="1852" spans="6:6" x14ac:dyDescent="0.2">
      <c r="F1852" s="253"/>
    </row>
    <row r="1853" spans="6:6" x14ac:dyDescent="0.2">
      <c r="F1853" s="253"/>
    </row>
    <row r="1854" spans="6:6" x14ac:dyDescent="0.2">
      <c r="F1854" s="253"/>
    </row>
    <row r="1855" spans="6:6" x14ac:dyDescent="0.2">
      <c r="F1855" s="253"/>
    </row>
    <row r="1856" spans="6:6" x14ac:dyDescent="0.2">
      <c r="F1856" s="253"/>
    </row>
    <row r="1857" spans="6:6" x14ac:dyDescent="0.2">
      <c r="F1857" s="253"/>
    </row>
    <row r="1858" spans="6:6" x14ac:dyDescent="0.2">
      <c r="F1858" s="253"/>
    </row>
    <row r="1859" spans="6:6" x14ac:dyDescent="0.2">
      <c r="F1859" s="253"/>
    </row>
    <row r="1860" spans="6:6" x14ac:dyDescent="0.2">
      <c r="F1860" s="253"/>
    </row>
    <row r="1861" spans="6:6" x14ac:dyDescent="0.2">
      <c r="F1861" s="253"/>
    </row>
    <row r="1862" spans="6:6" x14ac:dyDescent="0.2">
      <c r="F1862" s="253"/>
    </row>
    <row r="1863" spans="6:6" x14ac:dyDescent="0.2">
      <c r="F1863" s="253"/>
    </row>
    <row r="1864" spans="6:6" x14ac:dyDescent="0.2">
      <c r="F1864" s="253"/>
    </row>
    <row r="1865" spans="6:6" x14ac:dyDescent="0.2">
      <c r="F1865" s="253"/>
    </row>
    <row r="1866" spans="6:6" x14ac:dyDescent="0.2">
      <c r="F1866" s="253"/>
    </row>
    <row r="1867" spans="6:6" x14ac:dyDescent="0.2">
      <c r="F1867" s="253"/>
    </row>
    <row r="1868" spans="6:6" x14ac:dyDescent="0.2">
      <c r="F1868" s="253"/>
    </row>
    <row r="1869" spans="6:6" x14ac:dyDescent="0.2">
      <c r="F1869" s="253"/>
    </row>
    <row r="1870" spans="6:6" x14ac:dyDescent="0.2">
      <c r="F1870" s="253"/>
    </row>
    <row r="1871" spans="6:6" x14ac:dyDescent="0.2">
      <c r="F1871" s="253"/>
    </row>
    <row r="1872" spans="6:6" x14ac:dyDescent="0.2">
      <c r="F1872" s="253"/>
    </row>
    <row r="1873" spans="6:6" x14ac:dyDescent="0.2">
      <c r="F1873" s="253"/>
    </row>
    <row r="1874" spans="6:6" x14ac:dyDescent="0.2">
      <c r="F1874" s="253"/>
    </row>
    <row r="1875" spans="6:6" x14ac:dyDescent="0.2">
      <c r="F1875" s="253"/>
    </row>
    <row r="1876" spans="6:6" x14ac:dyDescent="0.2">
      <c r="F1876" s="253"/>
    </row>
    <row r="1877" spans="6:6" x14ac:dyDescent="0.2">
      <c r="F1877" s="253"/>
    </row>
    <row r="1878" spans="6:6" x14ac:dyDescent="0.2">
      <c r="F1878" s="253"/>
    </row>
    <row r="1879" spans="6:6" x14ac:dyDescent="0.2">
      <c r="F1879" s="253"/>
    </row>
    <row r="1880" spans="6:6" x14ac:dyDescent="0.2">
      <c r="F1880" s="253"/>
    </row>
    <row r="1881" spans="6:6" x14ac:dyDescent="0.2">
      <c r="F1881" s="253"/>
    </row>
    <row r="1882" spans="6:6" x14ac:dyDescent="0.2">
      <c r="F1882" s="253"/>
    </row>
    <row r="1883" spans="6:6" x14ac:dyDescent="0.2">
      <c r="F1883" s="253"/>
    </row>
    <row r="1884" spans="6:6" x14ac:dyDescent="0.2">
      <c r="F1884" s="253"/>
    </row>
    <row r="1885" spans="6:6" x14ac:dyDescent="0.2">
      <c r="F1885" s="253"/>
    </row>
    <row r="1886" spans="6:6" x14ac:dyDescent="0.2">
      <c r="F1886" s="253"/>
    </row>
    <row r="1887" spans="6:6" x14ac:dyDescent="0.2">
      <c r="F1887" s="253"/>
    </row>
    <row r="1888" spans="6:6" x14ac:dyDescent="0.2">
      <c r="F1888" s="253"/>
    </row>
    <row r="1889" spans="6:6" x14ac:dyDescent="0.2">
      <c r="F1889" s="253"/>
    </row>
    <row r="1890" spans="6:6" x14ac:dyDescent="0.2">
      <c r="F1890" s="253"/>
    </row>
    <row r="1891" spans="6:6" x14ac:dyDescent="0.2">
      <c r="F1891" s="253"/>
    </row>
    <row r="1892" spans="6:6" x14ac:dyDescent="0.2">
      <c r="F1892" s="253"/>
    </row>
    <row r="1893" spans="6:6" x14ac:dyDescent="0.2">
      <c r="F1893" s="253"/>
    </row>
    <row r="1894" spans="6:6" x14ac:dyDescent="0.2">
      <c r="F1894" s="253"/>
    </row>
    <row r="1895" spans="6:6" x14ac:dyDescent="0.2">
      <c r="F1895" s="253"/>
    </row>
    <row r="1896" spans="6:6" x14ac:dyDescent="0.2">
      <c r="F1896" s="253"/>
    </row>
    <row r="1897" spans="6:6" x14ac:dyDescent="0.2">
      <c r="F1897" s="253"/>
    </row>
    <row r="1898" spans="6:6" x14ac:dyDescent="0.2">
      <c r="F1898" s="253"/>
    </row>
    <row r="1899" spans="6:6" x14ac:dyDescent="0.2">
      <c r="F1899" s="253"/>
    </row>
    <row r="1900" spans="6:6" x14ac:dyDescent="0.2">
      <c r="F1900" s="253"/>
    </row>
    <row r="1901" spans="6:6" x14ac:dyDescent="0.2">
      <c r="F1901" s="253"/>
    </row>
    <row r="1902" spans="6:6" x14ac:dyDescent="0.2">
      <c r="F1902" s="253"/>
    </row>
    <row r="1903" spans="6:6" x14ac:dyDescent="0.2">
      <c r="F1903" s="253"/>
    </row>
    <row r="1904" spans="6:6" x14ac:dyDescent="0.2">
      <c r="F1904" s="253"/>
    </row>
    <row r="1905" spans="6:6" x14ac:dyDescent="0.2">
      <c r="F1905" s="253"/>
    </row>
    <row r="1906" spans="6:6" x14ac:dyDescent="0.2">
      <c r="F1906" s="253"/>
    </row>
    <row r="1907" spans="6:6" x14ac:dyDescent="0.2">
      <c r="F1907" s="253"/>
    </row>
    <row r="1908" spans="6:6" x14ac:dyDescent="0.2">
      <c r="F1908" s="253"/>
    </row>
    <row r="1909" spans="6:6" x14ac:dyDescent="0.2">
      <c r="F1909" s="253"/>
    </row>
    <row r="1910" spans="6:6" x14ac:dyDescent="0.2">
      <c r="F1910" s="253"/>
    </row>
    <row r="1911" spans="6:6" x14ac:dyDescent="0.2">
      <c r="F1911" s="253"/>
    </row>
    <row r="1912" spans="6:6" x14ac:dyDescent="0.2">
      <c r="F1912" s="253"/>
    </row>
    <row r="1913" spans="6:6" x14ac:dyDescent="0.2">
      <c r="F1913" s="253"/>
    </row>
    <row r="1914" spans="6:6" x14ac:dyDescent="0.2">
      <c r="F1914" s="253"/>
    </row>
    <row r="1915" spans="6:6" x14ac:dyDescent="0.2">
      <c r="F1915" s="253"/>
    </row>
    <row r="1916" spans="6:6" x14ac:dyDescent="0.2">
      <c r="F1916" s="253"/>
    </row>
    <row r="1917" spans="6:6" x14ac:dyDescent="0.2">
      <c r="F1917" s="253"/>
    </row>
    <row r="1918" spans="6:6" x14ac:dyDescent="0.2">
      <c r="F1918" s="253"/>
    </row>
    <row r="1919" spans="6:6" x14ac:dyDescent="0.2">
      <c r="F1919" s="253"/>
    </row>
    <row r="1920" spans="6:6" x14ac:dyDescent="0.2">
      <c r="F1920" s="253"/>
    </row>
    <row r="1921" spans="6:6" x14ac:dyDescent="0.2">
      <c r="F1921" s="253"/>
    </row>
    <row r="1922" spans="6:6" x14ac:dyDescent="0.2">
      <c r="F1922" s="253"/>
    </row>
    <row r="1923" spans="6:6" x14ac:dyDescent="0.2">
      <c r="F1923" s="253"/>
    </row>
    <row r="1924" spans="6:6" x14ac:dyDescent="0.2">
      <c r="F1924" s="253"/>
    </row>
    <row r="1925" spans="6:6" x14ac:dyDescent="0.2">
      <c r="F1925" s="253"/>
    </row>
    <row r="1926" spans="6:6" x14ac:dyDescent="0.2">
      <c r="F1926" s="253"/>
    </row>
    <row r="1927" spans="6:6" x14ac:dyDescent="0.2">
      <c r="F1927" s="253"/>
    </row>
    <row r="1928" spans="6:6" x14ac:dyDescent="0.2">
      <c r="F1928" s="253"/>
    </row>
    <row r="1929" spans="6:6" x14ac:dyDescent="0.2">
      <c r="F1929" s="253"/>
    </row>
    <row r="1930" spans="6:6" x14ac:dyDescent="0.2">
      <c r="F1930" s="253"/>
    </row>
    <row r="1931" spans="6:6" x14ac:dyDescent="0.2">
      <c r="F1931" s="253"/>
    </row>
    <row r="1932" spans="6:6" x14ac:dyDescent="0.2">
      <c r="F1932" s="253"/>
    </row>
    <row r="1933" spans="6:6" x14ac:dyDescent="0.2">
      <c r="F1933" s="253"/>
    </row>
    <row r="1934" spans="6:6" x14ac:dyDescent="0.2">
      <c r="F1934" s="253"/>
    </row>
    <row r="1935" spans="6:6" x14ac:dyDescent="0.2">
      <c r="F1935" s="253"/>
    </row>
    <row r="1936" spans="6:6" x14ac:dyDescent="0.2">
      <c r="F1936" s="253"/>
    </row>
    <row r="1937" spans="6:6" x14ac:dyDescent="0.2">
      <c r="F1937" s="253"/>
    </row>
    <row r="1938" spans="6:6" x14ac:dyDescent="0.2">
      <c r="F1938" s="253"/>
    </row>
    <row r="1939" spans="6:6" x14ac:dyDescent="0.2">
      <c r="F1939" s="253"/>
    </row>
    <row r="1940" spans="6:6" x14ac:dyDescent="0.2">
      <c r="F1940" s="253"/>
    </row>
    <row r="1941" spans="6:6" x14ac:dyDescent="0.2">
      <c r="F1941" s="253"/>
    </row>
    <row r="1942" spans="6:6" x14ac:dyDescent="0.2">
      <c r="F1942" s="253"/>
    </row>
    <row r="1943" spans="6:6" x14ac:dyDescent="0.2">
      <c r="F1943" s="253"/>
    </row>
    <row r="1944" spans="6:6" x14ac:dyDescent="0.2">
      <c r="F1944" s="253"/>
    </row>
    <row r="1945" spans="6:6" x14ac:dyDescent="0.2">
      <c r="F1945" s="253"/>
    </row>
    <row r="1946" spans="6:6" x14ac:dyDescent="0.2">
      <c r="F1946" s="253"/>
    </row>
    <row r="1947" spans="6:6" x14ac:dyDescent="0.2">
      <c r="F1947" s="253"/>
    </row>
    <row r="1948" spans="6:6" x14ac:dyDescent="0.2">
      <c r="F1948" s="253"/>
    </row>
    <row r="1949" spans="6:6" x14ac:dyDescent="0.2">
      <c r="F1949" s="253"/>
    </row>
    <row r="1950" spans="6:6" x14ac:dyDescent="0.2">
      <c r="F1950" s="253"/>
    </row>
    <row r="1951" spans="6:6" x14ac:dyDescent="0.2">
      <c r="F1951" s="253"/>
    </row>
    <row r="1952" spans="6:6" x14ac:dyDescent="0.2">
      <c r="F1952" s="253"/>
    </row>
    <row r="1953" spans="6:6" x14ac:dyDescent="0.2">
      <c r="F1953" s="253"/>
    </row>
    <row r="1954" spans="6:6" x14ac:dyDescent="0.2">
      <c r="F1954" s="253"/>
    </row>
    <row r="1955" spans="6:6" x14ac:dyDescent="0.2">
      <c r="F1955" s="253"/>
    </row>
    <row r="1956" spans="6:6" x14ac:dyDescent="0.2">
      <c r="F1956" s="253"/>
    </row>
    <row r="1957" spans="6:6" x14ac:dyDescent="0.2">
      <c r="F1957" s="253"/>
    </row>
    <row r="1958" spans="6:6" x14ac:dyDescent="0.2">
      <c r="F1958" s="253"/>
    </row>
    <row r="1959" spans="6:6" x14ac:dyDescent="0.2">
      <c r="F1959" s="253"/>
    </row>
    <row r="1960" spans="6:6" x14ac:dyDescent="0.2">
      <c r="F1960" s="253"/>
    </row>
    <row r="1961" spans="6:6" x14ac:dyDescent="0.2">
      <c r="F1961" s="253"/>
    </row>
    <row r="1962" spans="6:6" x14ac:dyDescent="0.2">
      <c r="F1962" s="253"/>
    </row>
    <row r="1963" spans="6:6" x14ac:dyDescent="0.2">
      <c r="F1963" s="253"/>
    </row>
    <row r="1964" spans="6:6" x14ac:dyDescent="0.2">
      <c r="F1964" s="253"/>
    </row>
    <row r="1965" spans="6:6" x14ac:dyDescent="0.2">
      <c r="F1965" s="253"/>
    </row>
    <row r="1966" spans="6:6" x14ac:dyDescent="0.2">
      <c r="F1966" s="253"/>
    </row>
    <row r="1967" spans="6:6" x14ac:dyDescent="0.2">
      <c r="F1967" s="253"/>
    </row>
    <row r="1968" spans="6:6" x14ac:dyDescent="0.2">
      <c r="F1968" s="253"/>
    </row>
    <row r="1969" spans="6:6" x14ac:dyDescent="0.2">
      <c r="F1969" s="253"/>
    </row>
    <row r="1970" spans="6:6" x14ac:dyDescent="0.2">
      <c r="F1970" s="253"/>
    </row>
    <row r="1971" spans="6:6" x14ac:dyDescent="0.2">
      <c r="F1971" s="253"/>
    </row>
    <row r="1972" spans="6:6" x14ac:dyDescent="0.2">
      <c r="F1972" s="253"/>
    </row>
    <row r="1973" spans="6:6" x14ac:dyDescent="0.2">
      <c r="F1973" s="253"/>
    </row>
    <row r="1974" spans="6:6" x14ac:dyDescent="0.2">
      <c r="F1974" s="253"/>
    </row>
    <row r="1975" spans="6:6" x14ac:dyDescent="0.2">
      <c r="F1975" s="253"/>
    </row>
    <row r="1976" spans="6:6" x14ac:dyDescent="0.2">
      <c r="F1976" s="253"/>
    </row>
    <row r="1977" spans="6:6" x14ac:dyDescent="0.2">
      <c r="F1977" s="253"/>
    </row>
    <row r="1978" spans="6:6" x14ac:dyDescent="0.2">
      <c r="F1978" s="253"/>
    </row>
    <row r="1979" spans="6:6" x14ac:dyDescent="0.2">
      <c r="F1979" s="253"/>
    </row>
    <row r="1980" spans="6:6" x14ac:dyDescent="0.2">
      <c r="F1980" s="253"/>
    </row>
    <row r="1981" spans="6:6" x14ac:dyDescent="0.2">
      <c r="F1981" s="253"/>
    </row>
    <row r="1982" spans="6:6" x14ac:dyDescent="0.2">
      <c r="F1982" s="253"/>
    </row>
    <row r="1983" spans="6:6" x14ac:dyDescent="0.2">
      <c r="F1983" s="253"/>
    </row>
    <row r="1984" spans="6:6" x14ac:dyDescent="0.2">
      <c r="F1984" s="253"/>
    </row>
    <row r="1985" spans="6:6" x14ac:dyDescent="0.2">
      <c r="F1985" s="253"/>
    </row>
    <row r="1986" spans="6:6" x14ac:dyDescent="0.2">
      <c r="F1986" s="253"/>
    </row>
    <row r="1987" spans="6:6" x14ac:dyDescent="0.2">
      <c r="F1987" s="253"/>
    </row>
    <row r="1988" spans="6:6" x14ac:dyDescent="0.2">
      <c r="F1988" s="253"/>
    </row>
    <row r="1989" spans="6:6" x14ac:dyDescent="0.2">
      <c r="F1989" s="253"/>
    </row>
    <row r="1990" spans="6:6" x14ac:dyDescent="0.2">
      <c r="F1990" s="253"/>
    </row>
    <row r="1991" spans="6:6" x14ac:dyDescent="0.2">
      <c r="F1991" s="253"/>
    </row>
    <row r="1992" spans="6:6" x14ac:dyDescent="0.2">
      <c r="F1992" s="253"/>
    </row>
    <row r="1993" spans="6:6" x14ac:dyDescent="0.2">
      <c r="F1993" s="253"/>
    </row>
    <row r="1994" spans="6:6" x14ac:dyDescent="0.2">
      <c r="F1994" s="253"/>
    </row>
    <row r="1995" spans="6:6" x14ac:dyDescent="0.2">
      <c r="F1995" s="253"/>
    </row>
    <row r="1996" spans="6:6" x14ac:dyDescent="0.2">
      <c r="F1996" s="253"/>
    </row>
    <row r="1997" spans="6:6" x14ac:dyDescent="0.2">
      <c r="F1997" s="253"/>
    </row>
    <row r="1998" spans="6:6" x14ac:dyDescent="0.2">
      <c r="F1998" s="253"/>
    </row>
    <row r="1999" spans="6:6" x14ac:dyDescent="0.2">
      <c r="F1999" s="253"/>
    </row>
    <row r="2000" spans="6:6" x14ac:dyDescent="0.2">
      <c r="F2000" s="253"/>
    </row>
    <row r="2001" spans="6:6" x14ac:dyDescent="0.2">
      <c r="F2001" s="253"/>
    </row>
    <row r="2002" spans="6:6" x14ac:dyDescent="0.2">
      <c r="F2002" s="253"/>
    </row>
    <row r="2003" spans="6:6" x14ac:dyDescent="0.2">
      <c r="F2003" s="253"/>
    </row>
    <row r="2004" spans="6:6" x14ac:dyDescent="0.2">
      <c r="F2004" s="253"/>
    </row>
    <row r="2005" spans="6:6" x14ac:dyDescent="0.2">
      <c r="F2005" s="253"/>
    </row>
    <row r="2006" spans="6:6" x14ac:dyDescent="0.2">
      <c r="F2006" s="253"/>
    </row>
    <row r="2007" spans="6:6" x14ac:dyDescent="0.2">
      <c r="F2007" s="253"/>
    </row>
    <row r="2008" spans="6:6" x14ac:dyDescent="0.2">
      <c r="F2008" s="253"/>
    </row>
    <row r="2009" spans="6:6" x14ac:dyDescent="0.2">
      <c r="F2009" s="253"/>
    </row>
    <row r="2010" spans="6:6" x14ac:dyDescent="0.2">
      <c r="F2010" s="253"/>
    </row>
    <row r="2011" spans="6:6" x14ac:dyDescent="0.2">
      <c r="F2011" s="253"/>
    </row>
    <row r="2012" spans="6:6" x14ac:dyDescent="0.2">
      <c r="F2012" s="253"/>
    </row>
    <row r="2013" spans="6:6" x14ac:dyDescent="0.2">
      <c r="F2013" s="253"/>
    </row>
    <row r="2014" spans="6:6" x14ac:dyDescent="0.2">
      <c r="F2014" s="253"/>
    </row>
    <row r="2015" spans="6:6" x14ac:dyDescent="0.2">
      <c r="F2015" s="253"/>
    </row>
    <row r="2016" spans="6:6" x14ac:dyDescent="0.2">
      <c r="F2016" s="253"/>
    </row>
    <row r="2017" spans="6:6" x14ac:dyDescent="0.2">
      <c r="F2017" s="253"/>
    </row>
    <row r="2018" spans="6:6" x14ac:dyDescent="0.2">
      <c r="F2018" s="253"/>
    </row>
    <row r="2019" spans="6:6" x14ac:dyDescent="0.2">
      <c r="F2019" s="253"/>
    </row>
    <row r="2020" spans="6:6" x14ac:dyDescent="0.2">
      <c r="F2020" s="253"/>
    </row>
    <row r="2021" spans="6:6" x14ac:dyDescent="0.2">
      <c r="F2021" s="253"/>
    </row>
    <row r="2022" spans="6:6" x14ac:dyDescent="0.2">
      <c r="F2022" s="253"/>
    </row>
    <row r="2023" spans="6:6" x14ac:dyDescent="0.2">
      <c r="F2023" s="253"/>
    </row>
    <row r="2024" spans="6:6" x14ac:dyDescent="0.2">
      <c r="F2024" s="253"/>
    </row>
    <row r="2025" spans="6:6" x14ac:dyDescent="0.2">
      <c r="F2025" s="253"/>
    </row>
    <row r="2026" spans="6:6" x14ac:dyDescent="0.2">
      <c r="F2026" s="253"/>
    </row>
    <row r="2027" spans="6:6" x14ac:dyDescent="0.2">
      <c r="F2027" s="253"/>
    </row>
    <row r="2028" spans="6:6" x14ac:dyDescent="0.2">
      <c r="F2028" s="253"/>
    </row>
    <row r="2029" spans="6:6" x14ac:dyDescent="0.2">
      <c r="F2029" s="253"/>
    </row>
    <row r="2030" spans="6:6" x14ac:dyDescent="0.2">
      <c r="F2030" s="253"/>
    </row>
    <row r="2031" spans="6:6" x14ac:dyDescent="0.2">
      <c r="F2031" s="253"/>
    </row>
    <row r="2032" spans="6:6" x14ac:dyDescent="0.2">
      <c r="F2032" s="253"/>
    </row>
    <row r="2033" spans="6:6" x14ac:dyDescent="0.2">
      <c r="F2033" s="253"/>
    </row>
    <row r="2034" spans="6:6" x14ac:dyDescent="0.2">
      <c r="F2034" s="253"/>
    </row>
    <row r="2035" spans="6:6" x14ac:dyDescent="0.2">
      <c r="F2035" s="253"/>
    </row>
    <row r="2036" spans="6:6" x14ac:dyDescent="0.2">
      <c r="F2036" s="253"/>
    </row>
    <row r="2037" spans="6:6" x14ac:dyDescent="0.2">
      <c r="F2037" s="253"/>
    </row>
    <row r="2038" spans="6:6" x14ac:dyDescent="0.2">
      <c r="F2038" s="253"/>
    </row>
    <row r="2039" spans="6:6" x14ac:dyDescent="0.2">
      <c r="F2039" s="253"/>
    </row>
    <row r="2040" spans="6:6" x14ac:dyDescent="0.2">
      <c r="F2040" s="253"/>
    </row>
    <row r="2041" spans="6:6" x14ac:dyDescent="0.2">
      <c r="F2041" s="253"/>
    </row>
    <row r="2042" spans="6:6" x14ac:dyDescent="0.2">
      <c r="F2042" s="253"/>
    </row>
    <row r="2043" spans="6:6" x14ac:dyDescent="0.2">
      <c r="F2043" s="253"/>
    </row>
    <row r="2044" spans="6:6" x14ac:dyDescent="0.2">
      <c r="F2044" s="253"/>
    </row>
    <row r="2045" spans="6:6" x14ac:dyDescent="0.2">
      <c r="F2045" s="253"/>
    </row>
    <row r="2046" spans="6:6" x14ac:dyDescent="0.2">
      <c r="F2046" s="253"/>
    </row>
    <row r="2047" spans="6:6" x14ac:dyDescent="0.2">
      <c r="F2047" s="253"/>
    </row>
    <row r="2048" spans="6:6" x14ac:dyDescent="0.2">
      <c r="F2048" s="253"/>
    </row>
    <row r="2049" spans="6:6" x14ac:dyDescent="0.2">
      <c r="F2049" s="253"/>
    </row>
    <row r="2050" spans="6:6" x14ac:dyDescent="0.2">
      <c r="F2050" s="253"/>
    </row>
    <row r="2051" spans="6:6" x14ac:dyDescent="0.2">
      <c r="F2051" s="253"/>
    </row>
    <row r="2052" spans="6:6" x14ac:dyDescent="0.2">
      <c r="F2052" s="253"/>
    </row>
    <row r="2053" spans="6:6" x14ac:dyDescent="0.2">
      <c r="F2053" s="253"/>
    </row>
    <row r="2054" spans="6:6" x14ac:dyDescent="0.2">
      <c r="F2054" s="253"/>
    </row>
    <row r="2055" spans="6:6" x14ac:dyDescent="0.2">
      <c r="F2055" s="253"/>
    </row>
    <row r="2056" spans="6:6" x14ac:dyDescent="0.2">
      <c r="F2056" s="253"/>
    </row>
    <row r="2057" spans="6:6" x14ac:dyDescent="0.2">
      <c r="F2057" s="253"/>
    </row>
    <row r="2058" spans="6:6" x14ac:dyDescent="0.2">
      <c r="F2058" s="253"/>
    </row>
    <row r="2059" spans="6:6" x14ac:dyDescent="0.2">
      <c r="F2059" s="253"/>
    </row>
    <row r="2060" spans="6:6" x14ac:dyDescent="0.2">
      <c r="F2060" s="253"/>
    </row>
    <row r="2061" spans="6:6" x14ac:dyDescent="0.2">
      <c r="F2061" s="253"/>
    </row>
    <row r="2062" spans="6:6" x14ac:dyDescent="0.2">
      <c r="F2062" s="253"/>
    </row>
    <row r="2063" spans="6:6" x14ac:dyDescent="0.2">
      <c r="F2063" s="253"/>
    </row>
    <row r="2064" spans="6:6" x14ac:dyDescent="0.2">
      <c r="F2064" s="253"/>
    </row>
    <row r="2065" spans="6:6" x14ac:dyDescent="0.2">
      <c r="F2065" s="253"/>
    </row>
    <row r="2066" spans="6:6" x14ac:dyDescent="0.2">
      <c r="F2066" s="253"/>
    </row>
    <row r="2067" spans="6:6" x14ac:dyDescent="0.2">
      <c r="F2067" s="253"/>
    </row>
    <row r="2068" spans="6:6" x14ac:dyDescent="0.2">
      <c r="F2068" s="253"/>
    </row>
    <row r="2069" spans="6:6" x14ac:dyDescent="0.2">
      <c r="F2069" s="253"/>
    </row>
    <row r="2070" spans="6:6" x14ac:dyDescent="0.2">
      <c r="F2070" s="253"/>
    </row>
    <row r="2071" spans="6:6" x14ac:dyDescent="0.2">
      <c r="F2071" s="253"/>
    </row>
    <row r="2072" spans="6:6" x14ac:dyDescent="0.2">
      <c r="F2072" s="253"/>
    </row>
    <row r="2073" spans="6:6" x14ac:dyDescent="0.2">
      <c r="F2073" s="253"/>
    </row>
    <row r="2074" spans="6:6" x14ac:dyDescent="0.2">
      <c r="F2074" s="253"/>
    </row>
    <row r="2075" spans="6:6" x14ac:dyDescent="0.2">
      <c r="F2075" s="253"/>
    </row>
    <row r="2076" spans="6:6" x14ac:dyDescent="0.2">
      <c r="F2076" s="253"/>
    </row>
    <row r="2077" spans="6:6" x14ac:dyDescent="0.2">
      <c r="F2077" s="253"/>
    </row>
    <row r="2078" spans="6:6" x14ac:dyDescent="0.2">
      <c r="F2078" s="253"/>
    </row>
    <row r="2079" spans="6:6" x14ac:dyDescent="0.2">
      <c r="F2079" s="253"/>
    </row>
    <row r="2080" spans="6:6" x14ac:dyDescent="0.2">
      <c r="F2080" s="253"/>
    </row>
    <row r="2081" spans="6:6" x14ac:dyDescent="0.2">
      <c r="F2081" s="253"/>
    </row>
    <row r="2082" spans="6:6" x14ac:dyDescent="0.2">
      <c r="F2082" s="253"/>
    </row>
    <row r="2083" spans="6:6" x14ac:dyDescent="0.2">
      <c r="F2083" s="253"/>
    </row>
    <row r="2084" spans="6:6" x14ac:dyDescent="0.2">
      <c r="F2084" s="253"/>
    </row>
    <row r="2085" spans="6:6" x14ac:dyDescent="0.2">
      <c r="F2085" s="253"/>
    </row>
    <row r="2086" spans="6:6" x14ac:dyDescent="0.2">
      <c r="F2086" s="253"/>
    </row>
    <row r="2087" spans="6:6" x14ac:dyDescent="0.2">
      <c r="F2087" s="253"/>
    </row>
    <row r="2088" spans="6:6" x14ac:dyDescent="0.2">
      <c r="F2088" s="253"/>
    </row>
    <row r="2089" spans="6:6" x14ac:dyDescent="0.2">
      <c r="F2089" s="253"/>
    </row>
    <row r="2090" spans="6:6" x14ac:dyDescent="0.2">
      <c r="F2090" s="253"/>
    </row>
    <row r="2091" spans="6:6" x14ac:dyDescent="0.2">
      <c r="F2091" s="253"/>
    </row>
    <row r="2092" spans="6:6" x14ac:dyDescent="0.2">
      <c r="F2092" s="253"/>
    </row>
    <row r="2093" spans="6:6" x14ac:dyDescent="0.2">
      <c r="F2093" s="253"/>
    </row>
    <row r="2094" spans="6:6" x14ac:dyDescent="0.2">
      <c r="F2094" s="253"/>
    </row>
    <row r="2095" spans="6:6" x14ac:dyDescent="0.2">
      <c r="F2095" s="253"/>
    </row>
    <row r="2096" spans="6:6" x14ac:dyDescent="0.2">
      <c r="F2096" s="253"/>
    </row>
    <row r="2097" spans="6:6" x14ac:dyDescent="0.2">
      <c r="F2097" s="253"/>
    </row>
    <row r="2098" spans="6:6" x14ac:dyDescent="0.2">
      <c r="F2098" s="253"/>
    </row>
    <row r="2099" spans="6:6" x14ac:dyDescent="0.2">
      <c r="F2099" s="253"/>
    </row>
    <row r="2100" spans="6:6" x14ac:dyDescent="0.2">
      <c r="F2100" s="253"/>
    </row>
    <row r="2101" spans="6:6" x14ac:dyDescent="0.2">
      <c r="F2101" s="253"/>
    </row>
    <row r="2102" spans="6:6" x14ac:dyDescent="0.2">
      <c r="F2102" s="253"/>
    </row>
    <row r="2103" spans="6:6" x14ac:dyDescent="0.2">
      <c r="F2103" s="253"/>
    </row>
    <row r="2104" spans="6:6" x14ac:dyDescent="0.2">
      <c r="F2104" s="253"/>
    </row>
    <row r="2105" spans="6:6" x14ac:dyDescent="0.2">
      <c r="F2105" s="253"/>
    </row>
    <row r="2106" spans="6:6" x14ac:dyDescent="0.2">
      <c r="F2106" s="253"/>
    </row>
    <row r="2107" spans="6:6" x14ac:dyDescent="0.2">
      <c r="F2107" s="253"/>
    </row>
    <row r="2108" spans="6:6" x14ac:dyDescent="0.2">
      <c r="F2108" s="253"/>
    </row>
    <row r="2109" spans="6:6" x14ac:dyDescent="0.2">
      <c r="F2109" s="253"/>
    </row>
    <row r="2110" spans="6:6" x14ac:dyDescent="0.2">
      <c r="F2110" s="253"/>
    </row>
    <row r="2111" spans="6:6" x14ac:dyDescent="0.2">
      <c r="F2111" s="253"/>
    </row>
    <row r="2112" spans="6:6" x14ac:dyDescent="0.2">
      <c r="F2112" s="253"/>
    </row>
    <row r="2113" spans="6:6" x14ac:dyDescent="0.2">
      <c r="F2113" s="253"/>
    </row>
    <row r="2114" spans="6:6" x14ac:dyDescent="0.2">
      <c r="F2114" s="253"/>
    </row>
    <row r="2115" spans="6:6" x14ac:dyDescent="0.2">
      <c r="F2115" s="253"/>
    </row>
    <row r="2116" spans="6:6" x14ac:dyDescent="0.2">
      <c r="F2116" s="253"/>
    </row>
    <row r="2117" spans="6:6" x14ac:dyDescent="0.2">
      <c r="F2117" s="253"/>
    </row>
    <row r="2118" spans="6:6" x14ac:dyDescent="0.2">
      <c r="F2118" s="253"/>
    </row>
    <row r="2119" spans="6:6" x14ac:dyDescent="0.2">
      <c r="F2119" s="253"/>
    </row>
    <row r="2120" spans="6:6" x14ac:dyDescent="0.2">
      <c r="F2120" s="253"/>
    </row>
    <row r="2121" spans="6:6" x14ac:dyDescent="0.2">
      <c r="F2121" s="253"/>
    </row>
    <row r="2122" spans="6:6" x14ac:dyDescent="0.2">
      <c r="F2122" s="253"/>
    </row>
    <row r="2123" spans="6:6" x14ac:dyDescent="0.2">
      <c r="F2123" s="253"/>
    </row>
    <row r="2124" spans="6:6" x14ac:dyDescent="0.2">
      <c r="F2124" s="253"/>
    </row>
    <row r="2125" spans="6:6" x14ac:dyDescent="0.2">
      <c r="F2125" s="253"/>
    </row>
    <row r="2126" spans="6:6" x14ac:dyDescent="0.2">
      <c r="F2126" s="253"/>
    </row>
    <row r="2127" spans="6:6" x14ac:dyDescent="0.2">
      <c r="F2127" s="253"/>
    </row>
    <row r="2128" spans="6:6" x14ac:dyDescent="0.2">
      <c r="F2128" s="253"/>
    </row>
    <row r="2129" spans="6:6" x14ac:dyDescent="0.2">
      <c r="F2129" s="253"/>
    </row>
    <row r="2130" spans="6:6" x14ac:dyDescent="0.2">
      <c r="F2130" s="253"/>
    </row>
    <row r="2131" spans="6:6" x14ac:dyDescent="0.2">
      <c r="F2131" s="253"/>
    </row>
    <row r="2132" spans="6:6" x14ac:dyDescent="0.2">
      <c r="F2132" s="253"/>
    </row>
    <row r="2133" spans="6:6" x14ac:dyDescent="0.2">
      <c r="F2133" s="253"/>
    </row>
    <row r="2134" spans="6:6" x14ac:dyDescent="0.2">
      <c r="F2134" s="253"/>
    </row>
    <row r="2135" spans="6:6" x14ac:dyDescent="0.2">
      <c r="F2135" s="253"/>
    </row>
    <row r="2136" spans="6:6" x14ac:dyDescent="0.2">
      <c r="F2136" s="253"/>
    </row>
    <row r="2137" spans="6:6" x14ac:dyDescent="0.2">
      <c r="F2137" s="253"/>
    </row>
    <row r="2138" spans="6:6" x14ac:dyDescent="0.2">
      <c r="F2138" s="253"/>
    </row>
    <row r="2139" spans="6:6" x14ac:dyDescent="0.2">
      <c r="F2139" s="253"/>
    </row>
    <row r="2140" spans="6:6" x14ac:dyDescent="0.2">
      <c r="F2140" s="253"/>
    </row>
    <row r="2141" spans="6:6" x14ac:dyDescent="0.2">
      <c r="F2141" s="253"/>
    </row>
    <row r="2142" spans="6:6" x14ac:dyDescent="0.2">
      <c r="F2142" s="253"/>
    </row>
    <row r="2143" spans="6:6" x14ac:dyDescent="0.2">
      <c r="F2143" s="253"/>
    </row>
    <row r="2144" spans="6:6" x14ac:dyDescent="0.2">
      <c r="F2144" s="253"/>
    </row>
    <row r="2145" spans="6:6" x14ac:dyDescent="0.2">
      <c r="F2145" s="253"/>
    </row>
    <row r="2146" spans="6:6" x14ac:dyDescent="0.2">
      <c r="F2146" s="253"/>
    </row>
    <row r="2147" spans="6:6" x14ac:dyDescent="0.2">
      <c r="F2147" s="253"/>
    </row>
    <row r="2148" spans="6:6" x14ac:dyDescent="0.2">
      <c r="F2148" s="253"/>
    </row>
    <row r="2149" spans="6:6" x14ac:dyDescent="0.2">
      <c r="F2149" s="253"/>
    </row>
    <row r="2150" spans="6:6" x14ac:dyDescent="0.2">
      <c r="F2150" s="253"/>
    </row>
    <row r="2151" spans="6:6" x14ac:dyDescent="0.2">
      <c r="F2151" s="253"/>
    </row>
    <row r="2152" spans="6:6" x14ac:dyDescent="0.2">
      <c r="F2152" s="253"/>
    </row>
    <row r="2153" spans="6:6" x14ac:dyDescent="0.2">
      <c r="F2153" s="253"/>
    </row>
    <row r="2154" spans="6:6" x14ac:dyDescent="0.2">
      <c r="F2154" s="253"/>
    </row>
    <row r="2155" spans="6:6" x14ac:dyDescent="0.2">
      <c r="F2155" s="253"/>
    </row>
    <row r="2156" spans="6:6" x14ac:dyDescent="0.2">
      <c r="F2156" s="253"/>
    </row>
    <row r="2157" spans="6:6" x14ac:dyDescent="0.2">
      <c r="F2157" s="253"/>
    </row>
    <row r="2158" spans="6:6" x14ac:dyDescent="0.2">
      <c r="F2158" s="253"/>
    </row>
    <row r="2159" spans="6:6" x14ac:dyDescent="0.2">
      <c r="F2159" s="253"/>
    </row>
    <row r="2160" spans="6:6" x14ac:dyDescent="0.2">
      <c r="F2160" s="253"/>
    </row>
    <row r="2161" spans="6:6" x14ac:dyDescent="0.2">
      <c r="F2161" s="253"/>
    </row>
    <row r="2162" spans="6:6" x14ac:dyDescent="0.2">
      <c r="F2162" s="253"/>
    </row>
    <row r="2163" spans="6:6" x14ac:dyDescent="0.2">
      <c r="F2163" s="253"/>
    </row>
    <row r="2164" spans="6:6" x14ac:dyDescent="0.2">
      <c r="F2164" s="253"/>
    </row>
    <row r="2165" spans="6:6" x14ac:dyDescent="0.2">
      <c r="F2165" s="253"/>
    </row>
    <row r="2166" spans="6:6" x14ac:dyDescent="0.2">
      <c r="F2166" s="253"/>
    </row>
    <row r="2167" spans="6:6" x14ac:dyDescent="0.2">
      <c r="F2167" s="253"/>
    </row>
    <row r="2168" spans="6:6" x14ac:dyDescent="0.2">
      <c r="F2168" s="253"/>
    </row>
    <row r="2169" spans="6:6" x14ac:dyDescent="0.2">
      <c r="F2169" s="253"/>
    </row>
    <row r="2170" spans="6:6" x14ac:dyDescent="0.2">
      <c r="F2170" s="253"/>
    </row>
    <row r="2171" spans="6:6" x14ac:dyDescent="0.2">
      <c r="F2171" s="253"/>
    </row>
    <row r="2172" spans="6:6" x14ac:dyDescent="0.2">
      <c r="F2172" s="253"/>
    </row>
    <row r="2173" spans="6:6" x14ac:dyDescent="0.2">
      <c r="F2173" s="253"/>
    </row>
    <row r="2174" spans="6:6" x14ac:dyDescent="0.2">
      <c r="F2174" s="253"/>
    </row>
    <row r="2175" spans="6:6" x14ac:dyDescent="0.2">
      <c r="F2175" s="253"/>
    </row>
    <row r="2176" spans="6:6" x14ac:dyDescent="0.2">
      <c r="F2176" s="253"/>
    </row>
    <row r="2177" spans="6:6" x14ac:dyDescent="0.2">
      <c r="F2177" s="253"/>
    </row>
    <row r="2178" spans="6:6" x14ac:dyDescent="0.2">
      <c r="F2178" s="253"/>
    </row>
    <row r="2179" spans="6:6" x14ac:dyDescent="0.2">
      <c r="F2179" s="253"/>
    </row>
    <row r="2180" spans="6:6" x14ac:dyDescent="0.2">
      <c r="F2180" s="253"/>
    </row>
    <row r="2181" spans="6:6" x14ac:dyDescent="0.2">
      <c r="F2181" s="253"/>
    </row>
    <row r="2182" spans="6:6" x14ac:dyDescent="0.2">
      <c r="F2182" s="253"/>
    </row>
    <row r="2183" spans="6:6" x14ac:dyDescent="0.2">
      <c r="F2183" s="253"/>
    </row>
    <row r="2184" spans="6:6" x14ac:dyDescent="0.2">
      <c r="F2184" s="253"/>
    </row>
    <row r="2185" spans="6:6" x14ac:dyDescent="0.2">
      <c r="F2185" s="253"/>
    </row>
    <row r="2186" spans="6:6" x14ac:dyDescent="0.2">
      <c r="F2186" s="253"/>
    </row>
    <row r="2187" spans="6:6" x14ac:dyDescent="0.2">
      <c r="F2187" s="253"/>
    </row>
    <row r="2188" spans="6:6" x14ac:dyDescent="0.2">
      <c r="F2188" s="253"/>
    </row>
    <row r="2189" spans="6:6" x14ac:dyDescent="0.2">
      <c r="F2189" s="253"/>
    </row>
    <row r="2190" spans="6:6" x14ac:dyDescent="0.2">
      <c r="F2190" s="253"/>
    </row>
    <row r="2191" spans="6:6" x14ac:dyDescent="0.2">
      <c r="F2191" s="253"/>
    </row>
    <row r="2192" spans="6:6" x14ac:dyDescent="0.2">
      <c r="F2192" s="253"/>
    </row>
    <row r="2193" spans="6:6" x14ac:dyDescent="0.2">
      <c r="F2193" s="253"/>
    </row>
    <row r="2194" spans="6:6" x14ac:dyDescent="0.2">
      <c r="F2194" s="253"/>
    </row>
    <row r="2195" spans="6:6" x14ac:dyDescent="0.2">
      <c r="F2195" s="253"/>
    </row>
    <row r="2196" spans="6:6" x14ac:dyDescent="0.2">
      <c r="F2196" s="253"/>
    </row>
    <row r="2197" spans="6:6" x14ac:dyDescent="0.2">
      <c r="F2197" s="253"/>
    </row>
    <row r="2198" spans="6:6" x14ac:dyDescent="0.2">
      <c r="F2198" s="253"/>
    </row>
    <row r="2199" spans="6:6" x14ac:dyDescent="0.2">
      <c r="F2199" s="253"/>
    </row>
    <row r="2200" spans="6:6" x14ac:dyDescent="0.2">
      <c r="F2200" s="253"/>
    </row>
    <row r="2201" spans="6:6" x14ac:dyDescent="0.2">
      <c r="F2201" s="253"/>
    </row>
    <row r="2202" spans="6:6" x14ac:dyDescent="0.2">
      <c r="F2202" s="253"/>
    </row>
    <row r="2203" spans="6:6" x14ac:dyDescent="0.2">
      <c r="F2203" s="253"/>
    </row>
    <row r="2204" spans="6:6" x14ac:dyDescent="0.2">
      <c r="F2204" s="253"/>
    </row>
    <row r="2205" spans="6:6" x14ac:dyDescent="0.2">
      <c r="F2205" s="253"/>
    </row>
    <row r="2206" spans="6:6" x14ac:dyDescent="0.2">
      <c r="F2206" s="253"/>
    </row>
    <row r="2207" spans="6:6" x14ac:dyDescent="0.2">
      <c r="F2207" s="253"/>
    </row>
    <row r="2208" spans="6:6" x14ac:dyDescent="0.2">
      <c r="F2208" s="253"/>
    </row>
    <row r="2209" spans="6:6" x14ac:dyDescent="0.2">
      <c r="F2209" s="253"/>
    </row>
    <row r="2210" spans="6:6" x14ac:dyDescent="0.2">
      <c r="F2210" s="253"/>
    </row>
    <row r="2211" spans="6:6" x14ac:dyDescent="0.2">
      <c r="F2211" s="253"/>
    </row>
    <row r="2212" spans="6:6" x14ac:dyDescent="0.2">
      <c r="F2212" s="253"/>
    </row>
    <row r="2213" spans="6:6" x14ac:dyDescent="0.2">
      <c r="F2213" s="253"/>
    </row>
    <row r="2214" spans="6:6" x14ac:dyDescent="0.2">
      <c r="F2214" s="253"/>
    </row>
    <row r="2215" spans="6:6" x14ac:dyDescent="0.2">
      <c r="F2215" s="253"/>
    </row>
    <row r="2216" spans="6:6" x14ac:dyDescent="0.2">
      <c r="F2216" s="253"/>
    </row>
    <row r="2217" spans="6:6" x14ac:dyDescent="0.2">
      <c r="F2217" s="253"/>
    </row>
    <row r="2218" spans="6:6" x14ac:dyDescent="0.2">
      <c r="F2218" s="253"/>
    </row>
    <row r="2219" spans="6:6" x14ac:dyDescent="0.2">
      <c r="F2219" s="253"/>
    </row>
    <row r="2220" spans="6:6" x14ac:dyDescent="0.2">
      <c r="F2220" s="253"/>
    </row>
    <row r="2221" spans="6:6" x14ac:dyDescent="0.2">
      <c r="F2221" s="253"/>
    </row>
    <row r="2222" spans="6:6" x14ac:dyDescent="0.2">
      <c r="F2222" s="253"/>
    </row>
    <row r="2223" spans="6:6" x14ac:dyDescent="0.2">
      <c r="F2223" s="253"/>
    </row>
    <row r="2224" spans="6:6" x14ac:dyDescent="0.2">
      <c r="F2224" s="253"/>
    </row>
    <row r="2225" spans="6:6" x14ac:dyDescent="0.2">
      <c r="F2225" s="253"/>
    </row>
    <row r="2226" spans="6:6" x14ac:dyDescent="0.2">
      <c r="F2226" s="253"/>
    </row>
    <row r="2227" spans="6:6" x14ac:dyDescent="0.2">
      <c r="F2227" s="253"/>
    </row>
    <row r="2228" spans="6:6" x14ac:dyDescent="0.2">
      <c r="F2228" s="253"/>
    </row>
    <row r="2229" spans="6:6" x14ac:dyDescent="0.2">
      <c r="F2229" s="253"/>
    </row>
    <row r="2230" spans="6:6" x14ac:dyDescent="0.2">
      <c r="F2230" s="253"/>
    </row>
    <row r="2231" spans="6:6" x14ac:dyDescent="0.2">
      <c r="F2231" s="253"/>
    </row>
    <row r="2232" spans="6:6" x14ac:dyDescent="0.2">
      <c r="F2232" s="253"/>
    </row>
    <row r="2233" spans="6:6" x14ac:dyDescent="0.2">
      <c r="F2233" s="253"/>
    </row>
    <row r="2234" spans="6:6" x14ac:dyDescent="0.2">
      <c r="F2234" s="253"/>
    </row>
    <row r="2235" spans="6:6" x14ac:dyDescent="0.2">
      <c r="F2235" s="253"/>
    </row>
    <row r="2236" spans="6:6" x14ac:dyDescent="0.2">
      <c r="F2236" s="253"/>
    </row>
    <row r="2237" spans="6:6" x14ac:dyDescent="0.2">
      <c r="F2237" s="253"/>
    </row>
    <row r="2238" spans="6:6" x14ac:dyDescent="0.2">
      <c r="F2238" s="253"/>
    </row>
    <row r="2239" spans="6:6" x14ac:dyDescent="0.2">
      <c r="F2239" s="253"/>
    </row>
    <row r="2240" spans="6:6" x14ac:dyDescent="0.2">
      <c r="F2240" s="253"/>
    </row>
    <row r="2241" spans="6:6" x14ac:dyDescent="0.2">
      <c r="F2241" s="253"/>
    </row>
    <row r="2242" spans="6:6" x14ac:dyDescent="0.2">
      <c r="F2242" s="253"/>
    </row>
    <row r="2243" spans="6:6" x14ac:dyDescent="0.2">
      <c r="F2243" s="253"/>
    </row>
    <row r="2244" spans="6:6" x14ac:dyDescent="0.2">
      <c r="F2244" s="253"/>
    </row>
    <row r="2245" spans="6:6" x14ac:dyDescent="0.2">
      <c r="F2245" s="253"/>
    </row>
    <row r="2246" spans="6:6" x14ac:dyDescent="0.2">
      <c r="F2246" s="253"/>
    </row>
    <row r="2247" spans="6:6" x14ac:dyDescent="0.2">
      <c r="F2247" s="253"/>
    </row>
    <row r="2248" spans="6:6" x14ac:dyDescent="0.2">
      <c r="F2248" s="253"/>
    </row>
    <row r="2249" spans="6:6" x14ac:dyDescent="0.2">
      <c r="F2249" s="253"/>
    </row>
    <row r="2250" spans="6:6" x14ac:dyDescent="0.2">
      <c r="F2250" s="253"/>
    </row>
    <row r="2251" spans="6:6" x14ac:dyDescent="0.2">
      <c r="F2251" s="253"/>
    </row>
    <row r="2252" spans="6:6" x14ac:dyDescent="0.2">
      <c r="F2252" s="253"/>
    </row>
    <row r="2253" spans="6:6" x14ac:dyDescent="0.2">
      <c r="F2253" s="253"/>
    </row>
    <row r="2254" spans="6:6" x14ac:dyDescent="0.2">
      <c r="F2254" s="253"/>
    </row>
    <row r="2255" spans="6:6" x14ac:dyDescent="0.2">
      <c r="F2255" s="253"/>
    </row>
    <row r="2256" spans="6:6" x14ac:dyDescent="0.2">
      <c r="F2256" s="253"/>
    </row>
    <row r="2257" spans="6:6" x14ac:dyDescent="0.2">
      <c r="F2257" s="253"/>
    </row>
    <row r="2258" spans="6:6" x14ac:dyDescent="0.2">
      <c r="F2258" s="253"/>
    </row>
    <row r="2259" spans="6:6" x14ac:dyDescent="0.2">
      <c r="F2259" s="253"/>
    </row>
    <row r="2260" spans="6:6" x14ac:dyDescent="0.2">
      <c r="F2260" s="253"/>
    </row>
    <row r="2261" spans="6:6" x14ac:dyDescent="0.2">
      <c r="F2261" s="253"/>
    </row>
    <row r="2262" spans="6:6" x14ac:dyDescent="0.2">
      <c r="F2262" s="253"/>
    </row>
    <row r="2263" spans="6:6" x14ac:dyDescent="0.2">
      <c r="F2263" s="253"/>
    </row>
    <row r="2264" spans="6:6" x14ac:dyDescent="0.2">
      <c r="F2264" s="253"/>
    </row>
    <row r="2265" spans="6:6" x14ac:dyDescent="0.2">
      <c r="F2265" s="253"/>
    </row>
    <row r="2266" spans="6:6" x14ac:dyDescent="0.2">
      <c r="F2266" s="253"/>
    </row>
    <row r="2267" spans="6:6" x14ac:dyDescent="0.2">
      <c r="F2267" s="253"/>
    </row>
    <row r="2268" spans="6:6" x14ac:dyDescent="0.2">
      <c r="F2268" s="253"/>
    </row>
    <row r="2269" spans="6:6" x14ac:dyDescent="0.2">
      <c r="F2269" s="253"/>
    </row>
    <row r="2270" spans="6:6" x14ac:dyDescent="0.2">
      <c r="F2270" s="253"/>
    </row>
    <row r="2271" spans="6:6" x14ac:dyDescent="0.2">
      <c r="F2271" s="253"/>
    </row>
    <row r="2272" spans="6:6" x14ac:dyDescent="0.2">
      <c r="F2272" s="253"/>
    </row>
    <row r="2273" spans="6:6" x14ac:dyDescent="0.2">
      <c r="F2273" s="253"/>
    </row>
    <row r="2274" spans="6:6" x14ac:dyDescent="0.2">
      <c r="F2274" s="253"/>
    </row>
    <row r="2275" spans="6:6" x14ac:dyDescent="0.2">
      <c r="F2275" s="253"/>
    </row>
    <row r="2276" spans="6:6" x14ac:dyDescent="0.2">
      <c r="F2276" s="253"/>
    </row>
    <row r="2277" spans="6:6" x14ac:dyDescent="0.2">
      <c r="F2277" s="253"/>
    </row>
    <row r="2278" spans="6:6" x14ac:dyDescent="0.2">
      <c r="F2278" s="253"/>
    </row>
    <row r="2279" spans="6:6" x14ac:dyDescent="0.2">
      <c r="F2279" s="253"/>
    </row>
    <row r="2280" spans="6:6" x14ac:dyDescent="0.2">
      <c r="F2280" s="253"/>
    </row>
    <row r="2281" spans="6:6" x14ac:dyDescent="0.2">
      <c r="F2281" s="253"/>
    </row>
    <row r="2282" spans="6:6" x14ac:dyDescent="0.2">
      <c r="F2282" s="253"/>
    </row>
    <row r="2283" spans="6:6" x14ac:dyDescent="0.2">
      <c r="F2283" s="253"/>
    </row>
    <row r="2284" spans="6:6" x14ac:dyDescent="0.2">
      <c r="F2284" s="253"/>
    </row>
    <row r="2285" spans="6:6" x14ac:dyDescent="0.2">
      <c r="F2285" s="253"/>
    </row>
    <row r="2286" spans="6:6" x14ac:dyDescent="0.2">
      <c r="F2286" s="253"/>
    </row>
    <row r="2287" spans="6:6" x14ac:dyDescent="0.2">
      <c r="F2287" s="253"/>
    </row>
    <row r="2288" spans="6:6" x14ac:dyDescent="0.2">
      <c r="F2288" s="253"/>
    </row>
    <row r="2289" spans="6:6" x14ac:dyDescent="0.2">
      <c r="F2289" s="253"/>
    </row>
    <row r="2290" spans="6:6" x14ac:dyDescent="0.2">
      <c r="F2290" s="253"/>
    </row>
    <row r="2291" spans="6:6" x14ac:dyDescent="0.2">
      <c r="F2291" s="253"/>
    </row>
    <row r="2292" spans="6:6" x14ac:dyDescent="0.2">
      <c r="F2292" s="253"/>
    </row>
    <row r="2293" spans="6:6" x14ac:dyDescent="0.2">
      <c r="F2293" s="253"/>
    </row>
    <row r="2294" spans="6:6" x14ac:dyDescent="0.2">
      <c r="F2294" s="253"/>
    </row>
    <row r="2295" spans="6:6" x14ac:dyDescent="0.2">
      <c r="F2295" s="253"/>
    </row>
    <row r="2296" spans="6:6" x14ac:dyDescent="0.2">
      <c r="F2296" s="253"/>
    </row>
    <row r="2297" spans="6:6" x14ac:dyDescent="0.2">
      <c r="F2297" s="253"/>
    </row>
    <row r="2298" spans="6:6" x14ac:dyDescent="0.2">
      <c r="F2298" s="253"/>
    </row>
    <row r="2299" spans="6:6" x14ac:dyDescent="0.2">
      <c r="F2299" s="253"/>
    </row>
    <row r="2300" spans="6:6" x14ac:dyDescent="0.2">
      <c r="F2300" s="253"/>
    </row>
    <row r="2301" spans="6:6" x14ac:dyDescent="0.2">
      <c r="F2301" s="253"/>
    </row>
    <row r="2302" spans="6:6" x14ac:dyDescent="0.2">
      <c r="F2302" s="253"/>
    </row>
    <row r="2303" spans="6:6" x14ac:dyDescent="0.2">
      <c r="F2303" s="253"/>
    </row>
    <row r="2304" spans="6:6" x14ac:dyDescent="0.2">
      <c r="F2304" s="253"/>
    </row>
    <row r="2305" spans="6:6" x14ac:dyDescent="0.2">
      <c r="F2305" s="253"/>
    </row>
    <row r="2306" spans="6:6" x14ac:dyDescent="0.2">
      <c r="F2306" s="253"/>
    </row>
    <row r="2307" spans="6:6" x14ac:dyDescent="0.2">
      <c r="F2307" s="253"/>
    </row>
    <row r="2308" spans="6:6" x14ac:dyDescent="0.2">
      <c r="F2308" s="253"/>
    </row>
    <row r="2309" spans="6:6" x14ac:dyDescent="0.2">
      <c r="F2309" s="253"/>
    </row>
    <row r="2310" spans="6:6" x14ac:dyDescent="0.2">
      <c r="F2310" s="253"/>
    </row>
    <row r="2311" spans="6:6" x14ac:dyDescent="0.2">
      <c r="F2311" s="253"/>
    </row>
    <row r="2312" spans="6:6" x14ac:dyDescent="0.2">
      <c r="F2312" s="253"/>
    </row>
    <row r="2313" spans="6:6" x14ac:dyDescent="0.2">
      <c r="F2313" s="253"/>
    </row>
    <row r="2314" spans="6:6" x14ac:dyDescent="0.2">
      <c r="F2314" s="253"/>
    </row>
    <row r="2315" spans="6:6" x14ac:dyDescent="0.2">
      <c r="F2315" s="253"/>
    </row>
    <row r="2316" spans="6:6" x14ac:dyDescent="0.2">
      <c r="F2316" s="253"/>
    </row>
    <row r="2317" spans="6:6" x14ac:dyDescent="0.2">
      <c r="F2317" s="253"/>
    </row>
    <row r="2318" spans="6:6" x14ac:dyDescent="0.2">
      <c r="F2318" s="253"/>
    </row>
    <row r="2319" spans="6:6" x14ac:dyDescent="0.2">
      <c r="F2319" s="253"/>
    </row>
    <row r="2320" spans="6:6" x14ac:dyDescent="0.2">
      <c r="F2320" s="253"/>
    </row>
    <row r="2321" spans="6:6" x14ac:dyDescent="0.2">
      <c r="F2321" s="253"/>
    </row>
    <row r="2322" spans="6:6" x14ac:dyDescent="0.2">
      <c r="F2322" s="253"/>
    </row>
    <row r="2323" spans="6:6" x14ac:dyDescent="0.2">
      <c r="F2323" s="253"/>
    </row>
    <row r="2324" spans="6:6" x14ac:dyDescent="0.2">
      <c r="F2324" s="253"/>
    </row>
    <row r="2325" spans="6:6" x14ac:dyDescent="0.2">
      <c r="F2325" s="253"/>
    </row>
    <row r="2326" spans="6:6" x14ac:dyDescent="0.2">
      <c r="F2326" s="253"/>
    </row>
    <row r="2327" spans="6:6" x14ac:dyDescent="0.2">
      <c r="F2327" s="253"/>
    </row>
    <row r="2328" spans="6:6" x14ac:dyDescent="0.2">
      <c r="F2328" s="253"/>
    </row>
    <row r="2329" spans="6:6" x14ac:dyDescent="0.2">
      <c r="F2329" s="253"/>
    </row>
    <row r="2330" spans="6:6" x14ac:dyDescent="0.2">
      <c r="F2330" s="253"/>
    </row>
    <row r="2331" spans="6:6" x14ac:dyDescent="0.2">
      <c r="F2331" s="253"/>
    </row>
    <row r="2332" spans="6:6" x14ac:dyDescent="0.2">
      <c r="F2332" s="253"/>
    </row>
    <row r="2333" spans="6:6" x14ac:dyDescent="0.2">
      <c r="F2333" s="253"/>
    </row>
    <row r="2334" spans="6:6" x14ac:dyDescent="0.2">
      <c r="F2334" s="253"/>
    </row>
    <row r="2335" spans="6:6" x14ac:dyDescent="0.2">
      <c r="F2335" s="253"/>
    </row>
    <row r="2336" spans="6:6" x14ac:dyDescent="0.2">
      <c r="F2336" s="253"/>
    </row>
    <row r="2337" spans="6:6" x14ac:dyDescent="0.2">
      <c r="F2337" s="253"/>
    </row>
    <row r="2338" spans="6:6" x14ac:dyDescent="0.2">
      <c r="F2338" s="253"/>
    </row>
    <row r="2339" spans="6:6" x14ac:dyDescent="0.2">
      <c r="F2339" s="253"/>
    </row>
    <row r="2340" spans="6:6" x14ac:dyDescent="0.2">
      <c r="F2340" s="253"/>
    </row>
    <row r="2341" spans="6:6" x14ac:dyDescent="0.2">
      <c r="F2341" s="253"/>
    </row>
    <row r="2342" spans="6:6" x14ac:dyDescent="0.2">
      <c r="F2342" s="253"/>
    </row>
    <row r="2343" spans="6:6" x14ac:dyDescent="0.2">
      <c r="F2343" s="253"/>
    </row>
    <row r="2344" spans="6:6" x14ac:dyDescent="0.2">
      <c r="F2344" s="253"/>
    </row>
    <row r="2345" spans="6:6" x14ac:dyDescent="0.2">
      <c r="F2345" s="253"/>
    </row>
    <row r="2346" spans="6:6" x14ac:dyDescent="0.2">
      <c r="F2346" s="253"/>
    </row>
    <row r="2347" spans="6:6" x14ac:dyDescent="0.2">
      <c r="F2347" s="253"/>
    </row>
    <row r="2348" spans="6:6" x14ac:dyDescent="0.2">
      <c r="F2348" s="253"/>
    </row>
    <row r="2349" spans="6:6" x14ac:dyDescent="0.2">
      <c r="F2349" s="253"/>
    </row>
    <row r="2350" spans="6:6" x14ac:dyDescent="0.2">
      <c r="F2350" s="253"/>
    </row>
    <row r="2351" spans="6:6" x14ac:dyDescent="0.2">
      <c r="F2351" s="253"/>
    </row>
    <row r="2352" spans="6:6" x14ac:dyDescent="0.2">
      <c r="F2352" s="253"/>
    </row>
    <row r="2353" spans="6:6" x14ac:dyDescent="0.2">
      <c r="F2353" s="253"/>
    </row>
    <row r="2354" spans="6:6" x14ac:dyDescent="0.2">
      <c r="F2354" s="253"/>
    </row>
    <row r="2355" spans="6:6" x14ac:dyDescent="0.2">
      <c r="F2355" s="253"/>
    </row>
    <row r="2356" spans="6:6" x14ac:dyDescent="0.2">
      <c r="F2356" s="253"/>
    </row>
    <row r="2357" spans="6:6" x14ac:dyDescent="0.2">
      <c r="F2357" s="253"/>
    </row>
    <row r="2358" spans="6:6" x14ac:dyDescent="0.2">
      <c r="F2358" s="253"/>
    </row>
    <row r="2359" spans="6:6" x14ac:dyDescent="0.2">
      <c r="F2359" s="253"/>
    </row>
    <row r="2360" spans="6:6" x14ac:dyDescent="0.2">
      <c r="F2360" s="253"/>
    </row>
    <row r="2361" spans="6:6" x14ac:dyDescent="0.2">
      <c r="F2361" s="253"/>
    </row>
    <row r="2362" spans="6:6" x14ac:dyDescent="0.2">
      <c r="F2362" s="253"/>
    </row>
    <row r="2363" spans="6:6" x14ac:dyDescent="0.2">
      <c r="F2363" s="253"/>
    </row>
    <row r="2364" spans="6:6" x14ac:dyDescent="0.2">
      <c r="F2364" s="253"/>
    </row>
    <row r="2365" spans="6:6" x14ac:dyDescent="0.2">
      <c r="F2365" s="253"/>
    </row>
    <row r="2366" spans="6:6" x14ac:dyDescent="0.2">
      <c r="F2366" s="253"/>
    </row>
    <row r="2367" spans="6:6" x14ac:dyDescent="0.2">
      <c r="F2367" s="253"/>
    </row>
    <row r="2368" spans="6:6" x14ac:dyDescent="0.2">
      <c r="F2368" s="253"/>
    </row>
    <row r="2369" spans="6:6" x14ac:dyDescent="0.2">
      <c r="F2369" s="253"/>
    </row>
    <row r="2370" spans="6:6" x14ac:dyDescent="0.2">
      <c r="F2370" s="253"/>
    </row>
    <row r="2371" spans="6:6" x14ac:dyDescent="0.2">
      <c r="F2371" s="253"/>
    </row>
    <row r="2372" spans="6:6" x14ac:dyDescent="0.2">
      <c r="F2372" s="253"/>
    </row>
    <row r="2373" spans="6:6" x14ac:dyDescent="0.2">
      <c r="F2373" s="253"/>
    </row>
    <row r="2374" spans="6:6" x14ac:dyDescent="0.2">
      <c r="F2374" s="253"/>
    </row>
    <row r="2375" spans="6:6" x14ac:dyDescent="0.2">
      <c r="F2375" s="253"/>
    </row>
    <row r="2376" spans="6:6" x14ac:dyDescent="0.2">
      <c r="F2376" s="253"/>
    </row>
    <row r="2377" spans="6:6" x14ac:dyDescent="0.2">
      <c r="F2377" s="253"/>
    </row>
    <row r="2378" spans="6:6" x14ac:dyDescent="0.2">
      <c r="F2378" s="253"/>
    </row>
    <row r="2379" spans="6:6" x14ac:dyDescent="0.2">
      <c r="F2379" s="253"/>
    </row>
    <row r="2380" spans="6:6" x14ac:dyDescent="0.2">
      <c r="F2380" s="253"/>
    </row>
    <row r="2381" spans="6:6" x14ac:dyDescent="0.2">
      <c r="F2381" s="253"/>
    </row>
    <row r="2382" spans="6:6" x14ac:dyDescent="0.2">
      <c r="F2382" s="253"/>
    </row>
    <row r="2383" spans="6:6" x14ac:dyDescent="0.2">
      <c r="F2383" s="253"/>
    </row>
    <row r="2384" spans="6:6" x14ac:dyDescent="0.2">
      <c r="F2384" s="253"/>
    </row>
    <row r="2385" spans="6:6" x14ac:dyDescent="0.2">
      <c r="F2385" s="253"/>
    </row>
    <row r="2386" spans="6:6" x14ac:dyDescent="0.2">
      <c r="F2386" s="253"/>
    </row>
    <row r="2387" spans="6:6" x14ac:dyDescent="0.2">
      <c r="F2387" s="253"/>
    </row>
    <row r="2388" spans="6:6" x14ac:dyDescent="0.2">
      <c r="F2388" s="253"/>
    </row>
    <row r="2389" spans="6:6" x14ac:dyDescent="0.2">
      <c r="F2389" s="253"/>
    </row>
    <row r="2390" spans="6:6" x14ac:dyDescent="0.2">
      <c r="F2390" s="253"/>
    </row>
    <row r="2391" spans="6:6" x14ac:dyDescent="0.2">
      <c r="F2391" s="253"/>
    </row>
    <row r="2392" spans="6:6" x14ac:dyDescent="0.2">
      <c r="F2392" s="253"/>
    </row>
    <row r="2393" spans="6:6" x14ac:dyDescent="0.2">
      <c r="F2393" s="253"/>
    </row>
    <row r="2394" spans="6:6" x14ac:dyDescent="0.2">
      <c r="F2394" s="253"/>
    </row>
    <row r="2395" spans="6:6" x14ac:dyDescent="0.2">
      <c r="F2395" s="253"/>
    </row>
    <row r="2396" spans="6:6" x14ac:dyDescent="0.2">
      <c r="F2396" s="253"/>
    </row>
    <row r="2397" spans="6:6" x14ac:dyDescent="0.2">
      <c r="F2397" s="253"/>
    </row>
    <row r="2398" spans="6:6" x14ac:dyDescent="0.2">
      <c r="F2398" s="253"/>
    </row>
    <row r="2399" spans="6:6" x14ac:dyDescent="0.2">
      <c r="F2399" s="253"/>
    </row>
    <row r="2400" spans="6:6" x14ac:dyDescent="0.2">
      <c r="F2400" s="253"/>
    </row>
    <row r="2401" spans="6:6" x14ac:dyDescent="0.2">
      <c r="F2401" s="253"/>
    </row>
    <row r="2402" spans="6:6" x14ac:dyDescent="0.2">
      <c r="F2402" s="253"/>
    </row>
    <row r="2403" spans="6:6" x14ac:dyDescent="0.2">
      <c r="F2403" s="253"/>
    </row>
    <row r="2404" spans="6:6" x14ac:dyDescent="0.2">
      <c r="F2404" s="253"/>
    </row>
    <row r="2405" spans="6:6" x14ac:dyDescent="0.2">
      <c r="F2405" s="253"/>
    </row>
    <row r="2406" spans="6:6" x14ac:dyDescent="0.2">
      <c r="F2406" s="253"/>
    </row>
    <row r="2407" spans="6:6" x14ac:dyDescent="0.2">
      <c r="F2407" s="253"/>
    </row>
    <row r="2408" spans="6:6" x14ac:dyDescent="0.2">
      <c r="F2408" s="253"/>
    </row>
    <row r="2409" spans="6:6" x14ac:dyDescent="0.2">
      <c r="F2409" s="253"/>
    </row>
    <row r="2410" spans="6:6" x14ac:dyDescent="0.2">
      <c r="F2410" s="253"/>
    </row>
    <row r="2411" spans="6:6" x14ac:dyDescent="0.2">
      <c r="F2411" s="253"/>
    </row>
    <row r="2412" spans="6:6" x14ac:dyDescent="0.2">
      <c r="F2412" s="253"/>
    </row>
    <row r="2413" spans="6:6" x14ac:dyDescent="0.2">
      <c r="F2413" s="253"/>
    </row>
    <row r="2414" spans="6:6" x14ac:dyDescent="0.2">
      <c r="F2414" s="253"/>
    </row>
    <row r="2415" spans="6:6" x14ac:dyDescent="0.2">
      <c r="F2415" s="253"/>
    </row>
    <row r="2416" spans="6:6" x14ac:dyDescent="0.2">
      <c r="F2416" s="253"/>
    </row>
    <row r="2417" spans="6:6" x14ac:dyDescent="0.2">
      <c r="F2417" s="253"/>
    </row>
    <row r="2418" spans="6:6" x14ac:dyDescent="0.2">
      <c r="F2418" s="253"/>
    </row>
    <row r="2419" spans="6:6" x14ac:dyDescent="0.2">
      <c r="F2419" s="253"/>
    </row>
    <row r="2420" spans="6:6" x14ac:dyDescent="0.2">
      <c r="F2420" s="253"/>
    </row>
    <row r="2421" spans="6:6" x14ac:dyDescent="0.2">
      <c r="F2421" s="253"/>
    </row>
    <row r="2422" spans="6:6" x14ac:dyDescent="0.2">
      <c r="F2422" s="253"/>
    </row>
    <row r="2423" spans="6:6" x14ac:dyDescent="0.2">
      <c r="F2423" s="253"/>
    </row>
    <row r="2424" spans="6:6" x14ac:dyDescent="0.2">
      <c r="F2424" s="253"/>
    </row>
    <row r="2425" spans="6:6" x14ac:dyDescent="0.2">
      <c r="F2425" s="253"/>
    </row>
    <row r="2426" spans="6:6" x14ac:dyDescent="0.2">
      <c r="F2426" s="253"/>
    </row>
    <row r="2427" spans="6:6" x14ac:dyDescent="0.2">
      <c r="F2427" s="253"/>
    </row>
    <row r="2428" spans="6:6" x14ac:dyDescent="0.2">
      <c r="F2428" s="253"/>
    </row>
    <row r="2429" spans="6:6" x14ac:dyDescent="0.2">
      <c r="F2429" s="253"/>
    </row>
    <row r="2430" spans="6:6" x14ac:dyDescent="0.2">
      <c r="F2430" s="253"/>
    </row>
    <row r="2431" spans="6:6" x14ac:dyDescent="0.2">
      <c r="F2431" s="253"/>
    </row>
    <row r="2432" spans="6:6" x14ac:dyDescent="0.2">
      <c r="F2432" s="253"/>
    </row>
    <row r="2433" spans="6:6" x14ac:dyDescent="0.2">
      <c r="F2433" s="253"/>
    </row>
    <row r="2434" spans="6:6" x14ac:dyDescent="0.2">
      <c r="F2434" s="253"/>
    </row>
    <row r="2435" spans="6:6" x14ac:dyDescent="0.2">
      <c r="F2435" s="253"/>
    </row>
    <row r="2436" spans="6:6" x14ac:dyDescent="0.2">
      <c r="F2436" s="253"/>
    </row>
    <row r="2437" spans="6:6" x14ac:dyDescent="0.2">
      <c r="F2437" s="253"/>
    </row>
    <row r="2438" spans="6:6" x14ac:dyDescent="0.2">
      <c r="F2438" s="253"/>
    </row>
    <row r="2439" spans="6:6" x14ac:dyDescent="0.2">
      <c r="F2439" s="253"/>
    </row>
    <row r="2440" spans="6:6" x14ac:dyDescent="0.2">
      <c r="F2440" s="253"/>
    </row>
    <row r="2441" spans="6:6" x14ac:dyDescent="0.2">
      <c r="F2441" s="253"/>
    </row>
    <row r="2442" spans="6:6" x14ac:dyDescent="0.2">
      <c r="F2442" s="253"/>
    </row>
    <row r="2443" spans="6:6" x14ac:dyDescent="0.2">
      <c r="F2443" s="253"/>
    </row>
    <row r="2444" spans="6:6" x14ac:dyDescent="0.2">
      <c r="F2444" s="253"/>
    </row>
    <row r="2445" spans="6:6" x14ac:dyDescent="0.2">
      <c r="F2445" s="253"/>
    </row>
    <row r="2446" spans="6:6" x14ac:dyDescent="0.2">
      <c r="F2446" s="253"/>
    </row>
    <row r="2447" spans="6:6" x14ac:dyDescent="0.2">
      <c r="F2447" s="253"/>
    </row>
    <row r="2448" spans="6:6" x14ac:dyDescent="0.2">
      <c r="F2448" s="253"/>
    </row>
    <row r="2449" spans="6:6" x14ac:dyDescent="0.2">
      <c r="F2449" s="253"/>
    </row>
    <row r="2450" spans="6:6" x14ac:dyDescent="0.2">
      <c r="F2450" s="253"/>
    </row>
    <row r="2451" spans="6:6" x14ac:dyDescent="0.2">
      <c r="F2451" s="253"/>
    </row>
    <row r="2452" spans="6:6" x14ac:dyDescent="0.2">
      <c r="F2452" s="253"/>
    </row>
    <row r="2453" spans="6:6" x14ac:dyDescent="0.2">
      <c r="F2453" s="253"/>
    </row>
    <row r="2454" spans="6:6" x14ac:dyDescent="0.2">
      <c r="F2454" s="253"/>
    </row>
    <row r="2455" spans="6:6" x14ac:dyDescent="0.2">
      <c r="F2455" s="253"/>
    </row>
    <row r="2456" spans="6:6" x14ac:dyDescent="0.2">
      <c r="F2456" s="253"/>
    </row>
    <row r="2457" spans="6:6" x14ac:dyDescent="0.2">
      <c r="F2457" s="253"/>
    </row>
    <row r="2458" spans="6:6" x14ac:dyDescent="0.2">
      <c r="F2458" s="253"/>
    </row>
    <row r="2459" spans="6:6" x14ac:dyDescent="0.2">
      <c r="F2459" s="253"/>
    </row>
    <row r="2460" spans="6:6" x14ac:dyDescent="0.2">
      <c r="F2460" s="253"/>
    </row>
    <row r="2461" spans="6:6" x14ac:dyDescent="0.2">
      <c r="F2461" s="253"/>
    </row>
    <row r="2462" spans="6:6" x14ac:dyDescent="0.2">
      <c r="F2462" s="253"/>
    </row>
    <row r="2463" spans="6:6" x14ac:dyDescent="0.2">
      <c r="F2463" s="253"/>
    </row>
    <row r="2464" spans="6:6" x14ac:dyDescent="0.2">
      <c r="F2464" s="253"/>
    </row>
    <row r="2465" spans="6:6" x14ac:dyDescent="0.2">
      <c r="F2465" s="253"/>
    </row>
    <row r="2466" spans="6:6" x14ac:dyDescent="0.2">
      <c r="F2466" s="253"/>
    </row>
    <row r="2467" spans="6:6" x14ac:dyDescent="0.2">
      <c r="F2467" s="253"/>
    </row>
    <row r="2468" spans="6:6" x14ac:dyDescent="0.2">
      <c r="F2468" s="253"/>
    </row>
    <row r="2469" spans="6:6" x14ac:dyDescent="0.2">
      <c r="F2469" s="253"/>
    </row>
    <row r="2470" spans="6:6" x14ac:dyDescent="0.2">
      <c r="F2470" s="253"/>
    </row>
    <row r="2471" spans="6:6" x14ac:dyDescent="0.2">
      <c r="F2471" s="253"/>
    </row>
    <row r="2472" spans="6:6" x14ac:dyDescent="0.2">
      <c r="F2472" s="253"/>
    </row>
    <row r="2473" spans="6:6" x14ac:dyDescent="0.2">
      <c r="F2473" s="253"/>
    </row>
    <row r="2474" spans="6:6" x14ac:dyDescent="0.2">
      <c r="F2474" s="253"/>
    </row>
    <row r="2475" spans="6:6" x14ac:dyDescent="0.2">
      <c r="F2475" s="253"/>
    </row>
    <row r="2476" spans="6:6" x14ac:dyDescent="0.2">
      <c r="F2476" s="253"/>
    </row>
    <row r="2477" spans="6:6" x14ac:dyDescent="0.2">
      <c r="F2477" s="253"/>
    </row>
    <row r="2478" spans="6:6" x14ac:dyDescent="0.2">
      <c r="F2478" s="253"/>
    </row>
    <row r="2479" spans="6:6" x14ac:dyDescent="0.2">
      <c r="F2479" s="253"/>
    </row>
    <row r="2480" spans="6:6" x14ac:dyDescent="0.2">
      <c r="F2480" s="253"/>
    </row>
    <row r="2481" spans="6:6" x14ac:dyDescent="0.2">
      <c r="F2481" s="253"/>
    </row>
    <row r="2482" spans="6:6" x14ac:dyDescent="0.2">
      <c r="F2482" s="253"/>
    </row>
    <row r="2483" spans="6:6" x14ac:dyDescent="0.2">
      <c r="F2483" s="253"/>
    </row>
    <row r="2484" spans="6:6" x14ac:dyDescent="0.2">
      <c r="F2484" s="253"/>
    </row>
    <row r="2485" spans="6:6" x14ac:dyDescent="0.2">
      <c r="F2485" s="253"/>
    </row>
    <row r="2486" spans="6:6" x14ac:dyDescent="0.2">
      <c r="F2486" s="253"/>
    </row>
    <row r="2487" spans="6:6" x14ac:dyDescent="0.2">
      <c r="F2487" s="253"/>
    </row>
    <row r="2488" spans="6:6" x14ac:dyDescent="0.2">
      <c r="F2488" s="253"/>
    </row>
    <row r="2489" spans="6:6" x14ac:dyDescent="0.2">
      <c r="F2489" s="253"/>
    </row>
    <row r="2490" spans="6:6" x14ac:dyDescent="0.2">
      <c r="F2490" s="253"/>
    </row>
    <row r="2491" spans="6:6" x14ac:dyDescent="0.2">
      <c r="F2491" s="253"/>
    </row>
    <row r="2492" spans="6:6" x14ac:dyDescent="0.2">
      <c r="F2492" s="253"/>
    </row>
    <row r="2493" spans="6:6" x14ac:dyDescent="0.2">
      <c r="F2493" s="253"/>
    </row>
    <row r="2494" spans="6:6" x14ac:dyDescent="0.2">
      <c r="F2494" s="253"/>
    </row>
    <row r="2495" spans="6:6" x14ac:dyDescent="0.2">
      <c r="F2495" s="253"/>
    </row>
    <row r="2496" spans="6:6" x14ac:dyDescent="0.2">
      <c r="F2496" s="253"/>
    </row>
    <row r="2497" spans="6:6" x14ac:dyDescent="0.2">
      <c r="F2497" s="253"/>
    </row>
    <row r="2498" spans="6:6" x14ac:dyDescent="0.2">
      <c r="F2498" s="253"/>
    </row>
    <row r="2499" spans="6:6" x14ac:dyDescent="0.2">
      <c r="F2499" s="253"/>
    </row>
    <row r="2500" spans="6:6" x14ac:dyDescent="0.2">
      <c r="F2500" s="253"/>
    </row>
    <row r="2501" spans="6:6" x14ac:dyDescent="0.2">
      <c r="F2501" s="253"/>
    </row>
    <row r="2502" spans="6:6" x14ac:dyDescent="0.2">
      <c r="F2502" s="253"/>
    </row>
    <row r="2503" spans="6:6" x14ac:dyDescent="0.2">
      <c r="F2503" s="253"/>
    </row>
    <row r="2504" spans="6:6" x14ac:dyDescent="0.2">
      <c r="F2504" s="253"/>
    </row>
    <row r="2505" spans="6:6" x14ac:dyDescent="0.2">
      <c r="F2505" s="253"/>
    </row>
    <row r="2506" spans="6:6" x14ac:dyDescent="0.2">
      <c r="F2506" s="253"/>
    </row>
    <row r="2507" spans="6:6" x14ac:dyDescent="0.2">
      <c r="F2507" s="253"/>
    </row>
    <row r="2508" spans="6:6" x14ac:dyDescent="0.2">
      <c r="F2508" s="253"/>
    </row>
    <row r="2509" spans="6:6" x14ac:dyDescent="0.2">
      <c r="F2509" s="253"/>
    </row>
    <row r="2510" spans="6:6" x14ac:dyDescent="0.2">
      <c r="F2510" s="253"/>
    </row>
    <row r="2511" spans="6:6" x14ac:dyDescent="0.2">
      <c r="F2511" s="253"/>
    </row>
    <row r="2512" spans="6:6" x14ac:dyDescent="0.2">
      <c r="F2512" s="253"/>
    </row>
    <row r="2513" spans="6:6" x14ac:dyDescent="0.2">
      <c r="F2513" s="253"/>
    </row>
    <row r="2514" spans="6:6" x14ac:dyDescent="0.2">
      <c r="F2514" s="253"/>
    </row>
    <row r="2515" spans="6:6" x14ac:dyDescent="0.2">
      <c r="F2515" s="253"/>
    </row>
    <row r="2516" spans="6:6" x14ac:dyDescent="0.2">
      <c r="F2516" s="253"/>
    </row>
    <row r="2517" spans="6:6" x14ac:dyDescent="0.2">
      <c r="F2517" s="253"/>
    </row>
    <row r="2518" spans="6:6" x14ac:dyDescent="0.2">
      <c r="F2518" s="253"/>
    </row>
    <row r="2519" spans="6:6" x14ac:dyDescent="0.2">
      <c r="F2519" s="253"/>
    </row>
    <row r="2520" spans="6:6" x14ac:dyDescent="0.2">
      <c r="F2520" s="253"/>
    </row>
    <row r="2521" spans="6:6" x14ac:dyDescent="0.2">
      <c r="F2521" s="253"/>
    </row>
    <row r="2522" spans="6:6" x14ac:dyDescent="0.2">
      <c r="F2522" s="253"/>
    </row>
    <row r="2523" spans="6:6" x14ac:dyDescent="0.2">
      <c r="F2523" s="253"/>
    </row>
    <row r="2524" spans="6:6" x14ac:dyDescent="0.2">
      <c r="F2524" s="253"/>
    </row>
    <row r="2525" spans="6:6" x14ac:dyDescent="0.2">
      <c r="F2525" s="253"/>
    </row>
    <row r="2526" spans="6:6" x14ac:dyDescent="0.2">
      <c r="F2526" s="253"/>
    </row>
    <row r="2527" spans="6:6" x14ac:dyDescent="0.2">
      <c r="F2527" s="253"/>
    </row>
    <row r="2528" spans="6:6" x14ac:dyDescent="0.2">
      <c r="F2528" s="253"/>
    </row>
    <row r="2529" spans="6:6" x14ac:dyDescent="0.2">
      <c r="F2529" s="253"/>
    </row>
    <row r="2530" spans="6:6" x14ac:dyDescent="0.2">
      <c r="F2530" s="253"/>
    </row>
    <row r="2531" spans="6:6" x14ac:dyDescent="0.2">
      <c r="F2531" s="253"/>
    </row>
    <row r="2532" spans="6:6" x14ac:dyDescent="0.2">
      <c r="F2532" s="253"/>
    </row>
    <row r="2533" spans="6:6" x14ac:dyDescent="0.2">
      <c r="F2533" s="253"/>
    </row>
    <row r="2534" spans="6:6" x14ac:dyDescent="0.2">
      <c r="F2534" s="253"/>
    </row>
    <row r="2535" spans="6:6" x14ac:dyDescent="0.2">
      <c r="F2535" s="253"/>
    </row>
    <row r="2536" spans="6:6" x14ac:dyDescent="0.2">
      <c r="F2536" s="253"/>
    </row>
    <row r="2537" spans="6:6" x14ac:dyDescent="0.2">
      <c r="F2537" s="253"/>
    </row>
    <row r="2538" spans="6:6" x14ac:dyDescent="0.2">
      <c r="F2538" s="253"/>
    </row>
    <row r="2539" spans="6:6" x14ac:dyDescent="0.2">
      <c r="F2539" s="253"/>
    </row>
    <row r="2540" spans="6:6" x14ac:dyDescent="0.2">
      <c r="F2540" s="253"/>
    </row>
    <row r="2541" spans="6:6" x14ac:dyDescent="0.2">
      <c r="F2541" s="253"/>
    </row>
    <row r="2542" spans="6:6" x14ac:dyDescent="0.2">
      <c r="F2542" s="253"/>
    </row>
    <row r="2543" spans="6:6" x14ac:dyDescent="0.2">
      <c r="F2543" s="253"/>
    </row>
    <row r="2544" spans="6:6" x14ac:dyDescent="0.2">
      <c r="F2544" s="253"/>
    </row>
    <row r="2545" spans="6:6" x14ac:dyDescent="0.2">
      <c r="F2545" s="253"/>
    </row>
    <row r="2546" spans="6:6" x14ac:dyDescent="0.2">
      <c r="F2546" s="253"/>
    </row>
    <row r="2547" spans="6:6" x14ac:dyDescent="0.2">
      <c r="F2547" s="253"/>
    </row>
    <row r="2548" spans="6:6" x14ac:dyDescent="0.2">
      <c r="F2548" s="253"/>
    </row>
    <row r="2549" spans="6:6" x14ac:dyDescent="0.2">
      <c r="F2549" s="253"/>
    </row>
    <row r="2550" spans="6:6" x14ac:dyDescent="0.2">
      <c r="F2550" s="253"/>
    </row>
    <row r="2551" spans="6:6" x14ac:dyDescent="0.2">
      <c r="F2551" s="253"/>
    </row>
    <row r="2552" spans="6:6" x14ac:dyDescent="0.2">
      <c r="F2552" s="253"/>
    </row>
    <row r="2553" spans="6:6" x14ac:dyDescent="0.2">
      <c r="F2553" s="253"/>
    </row>
    <row r="2554" spans="6:6" x14ac:dyDescent="0.2">
      <c r="F2554" s="253"/>
    </row>
    <row r="2555" spans="6:6" x14ac:dyDescent="0.2">
      <c r="F2555" s="253"/>
    </row>
    <row r="2556" spans="6:6" x14ac:dyDescent="0.2">
      <c r="F2556" s="253"/>
    </row>
    <row r="2557" spans="6:6" x14ac:dyDescent="0.2">
      <c r="F2557" s="253"/>
    </row>
    <row r="2558" spans="6:6" x14ac:dyDescent="0.2">
      <c r="F2558" s="253"/>
    </row>
    <row r="2559" spans="6:6" x14ac:dyDescent="0.2">
      <c r="F2559" s="253"/>
    </row>
    <row r="2560" spans="6:6" x14ac:dyDescent="0.2">
      <c r="F2560" s="253"/>
    </row>
    <row r="2561" spans="6:6" x14ac:dyDescent="0.2">
      <c r="F2561" s="253"/>
    </row>
    <row r="2562" spans="6:6" x14ac:dyDescent="0.2">
      <c r="F2562" s="253"/>
    </row>
    <row r="2563" spans="6:6" x14ac:dyDescent="0.2">
      <c r="F2563" s="253"/>
    </row>
    <row r="2564" spans="6:6" x14ac:dyDescent="0.2">
      <c r="F2564" s="253"/>
    </row>
    <row r="2565" spans="6:6" x14ac:dyDescent="0.2">
      <c r="F2565" s="253"/>
    </row>
    <row r="2566" spans="6:6" x14ac:dyDescent="0.2">
      <c r="F2566" s="253"/>
    </row>
    <row r="2567" spans="6:6" x14ac:dyDescent="0.2">
      <c r="F2567" s="253"/>
    </row>
    <row r="2568" spans="6:6" x14ac:dyDescent="0.2">
      <c r="F2568" s="253"/>
    </row>
    <row r="2569" spans="6:6" x14ac:dyDescent="0.2">
      <c r="F2569" s="253"/>
    </row>
    <row r="2570" spans="6:6" x14ac:dyDescent="0.2">
      <c r="F2570" s="253"/>
    </row>
    <row r="2571" spans="6:6" x14ac:dyDescent="0.2">
      <c r="F2571" s="253"/>
    </row>
    <row r="2572" spans="6:6" x14ac:dyDescent="0.2">
      <c r="F2572" s="253"/>
    </row>
    <row r="2573" spans="6:6" x14ac:dyDescent="0.2">
      <c r="F2573" s="253"/>
    </row>
    <row r="2574" spans="6:6" x14ac:dyDescent="0.2">
      <c r="F2574" s="253"/>
    </row>
    <row r="2575" spans="6:6" x14ac:dyDescent="0.2">
      <c r="F2575" s="253"/>
    </row>
    <row r="2576" spans="6:6" x14ac:dyDescent="0.2">
      <c r="F2576" s="253"/>
    </row>
    <row r="2577" spans="6:6" x14ac:dyDescent="0.2">
      <c r="F2577" s="253"/>
    </row>
    <row r="2578" spans="6:6" x14ac:dyDescent="0.2">
      <c r="F2578" s="253"/>
    </row>
    <row r="2579" spans="6:6" x14ac:dyDescent="0.2">
      <c r="F2579" s="253"/>
    </row>
    <row r="2580" spans="6:6" x14ac:dyDescent="0.2">
      <c r="F2580" s="253"/>
    </row>
    <row r="2581" spans="6:6" x14ac:dyDescent="0.2">
      <c r="F2581" s="253"/>
    </row>
    <row r="2582" spans="6:6" x14ac:dyDescent="0.2">
      <c r="F2582" s="253"/>
    </row>
    <row r="2583" spans="6:6" x14ac:dyDescent="0.2">
      <c r="F2583" s="253"/>
    </row>
    <row r="2584" spans="6:6" x14ac:dyDescent="0.2">
      <c r="F2584" s="253"/>
    </row>
    <row r="2585" spans="6:6" x14ac:dyDescent="0.2">
      <c r="F2585" s="253"/>
    </row>
    <row r="2586" spans="6:6" x14ac:dyDescent="0.2">
      <c r="F2586" s="253"/>
    </row>
    <row r="2587" spans="6:6" x14ac:dyDescent="0.2">
      <c r="F2587" s="253"/>
    </row>
    <row r="2588" spans="6:6" x14ac:dyDescent="0.2">
      <c r="F2588" s="253"/>
    </row>
    <row r="2589" spans="6:6" x14ac:dyDescent="0.2">
      <c r="F2589" s="253"/>
    </row>
    <row r="2590" spans="6:6" x14ac:dyDescent="0.2">
      <c r="F2590" s="253"/>
    </row>
    <row r="2591" spans="6:6" x14ac:dyDescent="0.2">
      <c r="F2591" s="253"/>
    </row>
    <row r="2592" spans="6:6" x14ac:dyDescent="0.2">
      <c r="F2592" s="253"/>
    </row>
    <row r="2593" spans="6:6" x14ac:dyDescent="0.2">
      <c r="F2593" s="253"/>
    </row>
    <row r="2594" spans="6:6" x14ac:dyDescent="0.2">
      <c r="F2594" s="253"/>
    </row>
    <row r="2595" spans="6:6" x14ac:dyDescent="0.2">
      <c r="F2595" s="253"/>
    </row>
    <row r="2596" spans="6:6" x14ac:dyDescent="0.2">
      <c r="F2596" s="253"/>
    </row>
    <row r="2597" spans="6:6" x14ac:dyDescent="0.2">
      <c r="F2597" s="253"/>
    </row>
    <row r="2598" spans="6:6" x14ac:dyDescent="0.2">
      <c r="F2598" s="253"/>
    </row>
    <row r="2599" spans="6:6" x14ac:dyDescent="0.2">
      <c r="F2599" s="253"/>
    </row>
    <row r="2600" spans="6:6" x14ac:dyDescent="0.2">
      <c r="F2600" s="253"/>
    </row>
    <row r="2601" spans="6:6" x14ac:dyDescent="0.2">
      <c r="F2601" s="253"/>
    </row>
    <row r="2602" spans="6:6" x14ac:dyDescent="0.2">
      <c r="F2602" s="253"/>
    </row>
    <row r="2603" spans="6:6" x14ac:dyDescent="0.2">
      <c r="F2603" s="253"/>
    </row>
    <row r="2604" spans="6:6" x14ac:dyDescent="0.2">
      <c r="F2604" s="253"/>
    </row>
    <row r="2605" spans="6:6" x14ac:dyDescent="0.2">
      <c r="F2605" s="253"/>
    </row>
    <row r="2606" spans="6:6" x14ac:dyDescent="0.2">
      <c r="F2606" s="253"/>
    </row>
    <row r="2607" spans="6:6" x14ac:dyDescent="0.2">
      <c r="F2607" s="253"/>
    </row>
    <row r="2608" spans="6:6" x14ac:dyDescent="0.2">
      <c r="F2608" s="253"/>
    </row>
    <row r="2609" spans="6:6" x14ac:dyDescent="0.2">
      <c r="F2609" s="253"/>
    </row>
    <row r="2610" spans="6:6" x14ac:dyDescent="0.2">
      <c r="F2610" s="253"/>
    </row>
    <row r="2611" spans="6:6" x14ac:dyDescent="0.2">
      <c r="F2611" s="253"/>
    </row>
    <row r="2612" spans="6:6" x14ac:dyDescent="0.2">
      <c r="F2612" s="253"/>
    </row>
    <row r="2613" spans="6:6" x14ac:dyDescent="0.2">
      <c r="F2613" s="253"/>
    </row>
    <row r="2614" spans="6:6" x14ac:dyDescent="0.2">
      <c r="F2614" s="253"/>
    </row>
    <row r="2615" spans="6:6" x14ac:dyDescent="0.2">
      <c r="F2615" s="253"/>
    </row>
    <row r="2616" spans="6:6" x14ac:dyDescent="0.2">
      <c r="F2616" s="253"/>
    </row>
    <row r="2617" spans="6:6" x14ac:dyDescent="0.2">
      <c r="F2617" s="253"/>
    </row>
    <row r="2618" spans="6:6" x14ac:dyDescent="0.2">
      <c r="F2618" s="253"/>
    </row>
    <row r="2619" spans="6:6" x14ac:dyDescent="0.2">
      <c r="F2619" s="253"/>
    </row>
    <row r="2620" spans="6:6" x14ac:dyDescent="0.2">
      <c r="F2620" s="253"/>
    </row>
    <row r="2621" spans="6:6" x14ac:dyDescent="0.2">
      <c r="F2621" s="253"/>
    </row>
    <row r="2622" spans="6:6" x14ac:dyDescent="0.2">
      <c r="F2622" s="253"/>
    </row>
    <row r="2623" spans="6:6" x14ac:dyDescent="0.2">
      <c r="F2623" s="253"/>
    </row>
    <row r="2624" spans="6:6" x14ac:dyDescent="0.2">
      <c r="F2624" s="253"/>
    </row>
    <row r="2625" spans="6:6" x14ac:dyDescent="0.2">
      <c r="F2625" s="253"/>
    </row>
    <row r="2626" spans="6:6" x14ac:dyDescent="0.2">
      <c r="F2626" s="253"/>
    </row>
    <row r="2627" spans="6:6" x14ac:dyDescent="0.2">
      <c r="F2627" s="253"/>
    </row>
    <row r="2628" spans="6:6" x14ac:dyDescent="0.2">
      <c r="F2628" s="253"/>
    </row>
    <row r="2629" spans="6:6" x14ac:dyDescent="0.2">
      <c r="F2629" s="253"/>
    </row>
    <row r="2630" spans="6:6" x14ac:dyDescent="0.2">
      <c r="F2630" s="253"/>
    </row>
    <row r="2631" spans="6:6" x14ac:dyDescent="0.2">
      <c r="F2631" s="253"/>
    </row>
    <row r="2632" spans="6:6" x14ac:dyDescent="0.2">
      <c r="F2632" s="253"/>
    </row>
    <row r="2633" spans="6:6" x14ac:dyDescent="0.2">
      <c r="F2633" s="253"/>
    </row>
    <row r="2634" spans="6:6" x14ac:dyDescent="0.2">
      <c r="F2634" s="253"/>
    </row>
    <row r="2635" spans="6:6" x14ac:dyDescent="0.2">
      <c r="F2635" s="253"/>
    </row>
    <row r="2636" spans="6:6" x14ac:dyDescent="0.2">
      <c r="F2636" s="253"/>
    </row>
    <row r="2637" spans="6:6" x14ac:dyDescent="0.2">
      <c r="F2637" s="253"/>
    </row>
    <row r="2638" spans="6:6" x14ac:dyDescent="0.2">
      <c r="F2638" s="253"/>
    </row>
    <row r="2639" spans="6:6" x14ac:dyDescent="0.2">
      <c r="F2639" s="253"/>
    </row>
    <row r="2640" spans="6:6" x14ac:dyDescent="0.2">
      <c r="F2640" s="253"/>
    </row>
    <row r="2641" spans="6:6" x14ac:dyDescent="0.2">
      <c r="F2641" s="253"/>
    </row>
    <row r="2642" spans="6:6" x14ac:dyDescent="0.2">
      <c r="F2642" s="253"/>
    </row>
    <row r="2643" spans="6:6" x14ac:dyDescent="0.2">
      <c r="F2643" s="253"/>
    </row>
    <row r="2644" spans="6:6" x14ac:dyDescent="0.2">
      <c r="F2644" s="253"/>
    </row>
    <row r="2645" spans="6:6" x14ac:dyDescent="0.2">
      <c r="F2645" s="253"/>
    </row>
    <row r="2646" spans="6:6" x14ac:dyDescent="0.2">
      <c r="F2646" s="253"/>
    </row>
    <row r="2647" spans="6:6" x14ac:dyDescent="0.2">
      <c r="F2647" s="253"/>
    </row>
    <row r="2648" spans="6:6" x14ac:dyDescent="0.2">
      <c r="F2648" s="253"/>
    </row>
    <row r="2649" spans="6:6" x14ac:dyDescent="0.2">
      <c r="F2649" s="253"/>
    </row>
    <row r="2650" spans="6:6" x14ac:dyDescent="0.2">
      <c r="F2650" s="253"/>
    </row>
    <row r="2651" spans="6:6" x14ac:dyDescent="0.2">
      <c r="F2651" s="253"/>
    </row>
    <row r="2652" spans="6:6" x14ac:dyDescent="0.2">
      <c r="F2652" s="253"/>
    </row>
    <row r="2653" spans="6:6" x14ac:dyDescent="0.2">
      <c r="F2653" s="253"/>
    </row>
    <row r="2654" spans="6:6" x14ac:dyDescent="0.2">
      <c r="F2654" s="253"/>
    </row>
    <row r="2655" spans="6:6" x14ac:dyDescent="0.2">
      <c r="F2655" s="253"/>
    </row>
    <row r="2656" spans="6:6" x14ac:dyDescent="0.2">
      <c r="F2656" s="253"/>
    </row>
    <row r="2657" spans="6:6" x14ac:dyDescent="0.2">
      <c r="F2657" s="253"/>
    </row>
    <row r="2658" spans="6:6" x14ac:dyDescent="0.2">
      <c r="F2658" s="253"/>
    </row>
    <row r="2659" spans="6:6" x14ac:dyDescent="0.2">
      <c r="F2659" s="253"/>
    </row>
    <row r="2660" spans="6:6" x14ac:dyDescent="0.2">
      <c r="F2660" s="253"/>
    </row>
    <row r="2661" spans="6:6" x14ac:dyDescent="0.2">
      <c r="F2661" s="253"/>
    </row>
    <row r="2662" spans="6:6" x14ac:dyDescent="0.2">
      <c r="F2662" s="253"/>
    </row>
    <row r="2663" spans="6:6" x14ac:dyDescent="0.2">
      <c r="F2663" s="253"/>
    </row>
    <row r="2664" spans="6:6" x14ac:dyDescent="0.2">
      <c r="F2664" s="253"/>
    </row>
    <row r="2665" spans="6:6" x14ac:dyDescent="0.2">
      <c r="F2665" s="253"/>
    </row>
    <row r="2666" spans="6:6" x14ac:dyDescent="0.2">
      <c r="F2666" s="253"/>
    </row>
    <row r="2667" spans="6:6" x14ac:dyDescent="0.2">
      <c r="F2667" s="253"/>
    </row>
    <row r="2668" spans="6:6" x14ac:dyDescent="0.2">
      <c r="F2668" s="253"/>
    </row>
    <row r="2669" spans="6:6" x14ac:dyDescent="0.2">
      <c r="F2669" s="253"/>
    </row>
    <row r="2670" spans="6:6" x14ac:dyDescent="0.2">
      <c r="F2670" s="253"/>
    </row>
    <row r="2671" spans="6:6" x14ac:dyDescent="0.2">
      <c r="F2671" s="253"/>
    </row>
    <row r="2672" spans="6:6" x14ac:dyDescent="0.2">
      <c r="F2672" s="253"/>
    </row>
    <row r="2673" spans="6:6" x14ac:dyDescent="0.2">
      <c r="F2673" s="253"/>
    </row>
    <row r="2674" spans="6:6" x14ac:dyDescent="0.2">
      <c r="F2674" s="253"/>
    </row>
    <row r="2675" spans="6:6" x14ac:dyDescent="0.2">
      <c r="F2675" s="253"/>
    </row>
    <row r="2676" spans="6:6" x14ac:dyDescent="0.2">
      <c r="F2676" s="253"/>
    </row>
    <row r="2677" spans="6:6" x14ac:dyDescent="0.2">
      <c r="F2677" s="253"/>
    </row>
    <row r="2678" spans="6:6" x14ac:dyDescent="0.2">
      <c r="F2678" s="253"/>
    </row>
    <row r="2679" spans="6:6" x14ac:dyDescent="0.2">
      <c r="F2679" s="253"/>
    </row>
    <row r="2680" spans="6:6" x14ac:dyDescent="0.2">
      <c r="F2680" s="253"/>
    </row>
    <row r="2681" spans="6:6" x14ac:dyDescent="0.2">
      <c r="F2681" s="253"/>
    </row>
    <row r="2682" spans="6:6" x14ac:dyDescent="0.2">
      <c r="F2682" s="253"/>
    </row>
    <row r="2683" spans="6:6" x14ac:dyDescent="0.2">
      <c r="F2683" s="253"/>
    </row>
    <row r="2684" spans="6:6" x14ac:dyDescent="0.2">
      <c r="F2684" s="253"/>
    </row>
    <row r="2685" spans="6:6" x14ac:dyDescent="0.2">
      <c r="F2685" s="253"/>
    </row>
    <row r="2686" spans="6:6" x14ac:dyDescent="0.2">
      <c r="F2686" s="253"/>
    </row>
    <row r="2687" spans="6:6" x14ac:dyDescent="0.2">
      <c r="F2687" s="253"/>
    </row>
    <row r="2688" spans="6:6" x14ac:dyDescent="0.2">
      <c r="F2688" s="253"/>
    </row>
    <row r="2689" spans="6:6" x14ac:dyDescent="0.2">
      <c r="F2689" s="253"/>
    </row>
    <row r="2690" spans="6:6" x14ac:dyDescent="0.2">
      <c r="F2690" s="253"/>
    </row>
    <row r="2691" spans="6:6" x14ac:dyDescent="0.2">
      <c r="F2691" s="253"/>
    </row>
    <row r="2692" spans="6:6" x14ac:dyDescent="0.2">
      <c r="F2692" s="253"/>
    </row>
    <row r="2693" spans="6:6" x14ac:dyDescent="0.2">
      <c r="F2693" s="253"/>
    </row>
    <row r="2694" spans="6:6" x14ac:dyDescent="0.2">
      <c r="F2694" s="253"/>
    </row>
    <row r="2695" spans="6:6" x14ac:dyDescent="0.2">
      <c r="F2695" s="253"/>
    </row>
    <row r="2696" spans="6:6" x14ac:dyDescent="0.2">
      <c r="F2696" s="253"/>
    </row>
    <row r="2697" spans="6:6" x14ac:dyDescent="0.2">
      <c r="F2697" s="253"/>
    </row>
    <row r="2698" spans="6:6" x14ac:dyDescent="0.2">
      <c r="F2698" s="253"/>
    </row>
    <row r="2699" spans="6:6" x14ac:dyDescent="0.2">
      <c r="F2699" s="253"/>
    </row>
    <row r="2700" spans="6:6" x14ac:dyDescent="0.2">
      <c r="F2700" s="253"/>
    </row>
    <row r="2701" spans="6:6" x14ac:dyDescent="0.2">
      <c r="F2701" s="253"/>
    </row>
    <row r="2702" spans="6:6" x14ac:dyDescent="0.2">
      <c r="F2702" s="253"/>
    </row>
    <row r="2703" spans="6:6" x14ac:dyDescent="0.2">
      <c r="F2703" s="253"/>
    </row>
    <row r="2704" spans="6:6" x14ac:dyDescent="0.2">
      <c r="F2704" s="253"/>
    </row>
    <row r="2705" spans="6:6" x14ac:dyDescent="0.2">
      <c r="F2705" s="253"/>
    </row>
    <row r="2706" spans="6:6" x14ac:dyDescent="0.2">
      <c r="F2706" s="253"/>
    </row>
    <row r="2707" spans="6:6" x14ac:dyDescent="0.2">
      <c r="F2707" s="253"/>
    </row>
    <row r="2708" spans="6:6" x14ac:dyDescent="0.2">
      <c r="F2708" s="253"/>
    </row>
    <row r="2709" spans="6:6" x14ac:dyDescent="0.2">
      <c r="F2709" s="253"/>
    </row>
    <row r="2710" spans="6:6" x14ac:dyDescent="0.2">
      <c r="F2710" s="253"/>
    </row>
    <row r="2711" spans="6:6" x14ac:dyDescent="0.2">
      <c r="F2711" s="253"/>
    </row>
    <row r="2712" spans="6:6" x14ac:dyDescent="0.2">
      <c r="F2712" s="253"/>
    </row>
    <row r="2713" spans="6:6" x14ac:dyDescent="0.2">
      <c r="F2713" s="253"/>
    </row>
    <row r="2714" spans="6:6" x14ac:dyDescent="0.2">
      <c r="F2714" s="253"/>
    </row>
    <row r="2715" spans="6:6" x14ac:dyDescent="0.2">
      <c r="F2715" s="253"/>
    </row>
    <row r="2716" spans="6:6" x14ac:dyDescent="0.2">
      <c r="F2716" s="253"/>
    </row>
    <row r="2717" spans="6:6" x14ac:dyDescent="0.2">
      <c r="F2717" s="253"/>
    </row>
    <row r="2718" spans="6:6" x14ac:dyDescent="0.2">
      <c r="F2718" s="253"/>
    </row>
    <row r="2719" spans="6:6" x14ac:dyDescent="0.2">
      <c r="F2719" s="253"/>
    </row>
    <row r="2720" spans="6:6" x14ac:dyDescent="0.2">
      <c r="F2720" s="253"/>
    </row>
    <row r="2721" spans="6:6" x14ac:dyDescent="0.2">
      <c r="F2721" s="253"/>
    </row>
    <row r="2722" spans="6:6" x14ac:dyDescent="0.2">
      <c r="F2722" s="253"/>
    </row>
    <row r="2723" spans="6:6" x14ac:dyDescent="0.2">
      <c r="F2723" s="253"/>
    </row>
    <row r="2724" spans="6:6" x14ac:dyDescent="0.2">
      <c r="F2724" s="253"/>
    </row>
    <row r="2725" spans="6:6" x14ac:dyDescent="0.2">
      <c r="F2725" s="253"/>
    </row>
    <row r="2726" spans="6:6" x14ac:dyDescent="0.2">
      <c r="F2726" s="253"/>
    </row>
    <row r="2727" spans="6:6" x14ac:dyDescent="0.2">
      <c r="F2727" s="253"/>
    </row>
    <row r="2728" spans="6:6" x14ac:dyDescent="0.2">
      <c r="F2728" s="253"/>
    </row>
    <row r="2729" spans="6:6" x14ac:dyDescent="0.2">
      <c r="F2729" s="253"/>
    </row>
    <row r="2730" spans="6:6" x14ac:dyDescent="0.2">
      <c r="F2730" s="253"/>
    </row>
    <row r="2731" spans="6:6" x14ac:dyDescent="0.2">
      <c r="F2731" s="253"/>
    </row>
    <row r="2732" spans="6:6" x14ac:dyDescent="0.2">
      <c r="F2732" s="253"/>
    </row>
    <row r="2733" spans="6:6" x14ac:dyDescent="0.2">
      <c r="F2733" s="253"/>
    </row>
    <row r="2734" spans="6:6" x14ac:dyDescent="0.2">
      <c r="F2734" s="253"/>
    </row>
    <row r="2735" spans="6:6" x14ac:dyDescent="0.2">
      <c r="F2735" s="253"/>
    </row>
    <row r="2736" spans="6:6" x14ac:dyDescent="0.2">
      <c r="F2736" s="253"/>
    </row>
    <row r="2737" spans="6:6" x14ac:dyDescent="0.2">
      <c r="F2737" s="253"/>
    </row>
    <row r="2738" spans="6:6" x14ac:dyDescent="0.2">
      <c r="F2738" s="253"/>
    </row>
    <row r="2739" spans="6:6" x14ac:dyDescent="0.2">
      <c r="F2739" s="253"/>
    </row>
    <row r="2740" spans="6:6" x14ac:dyDescent="0.2">
      <c r="F2740" s="253"/>
    </row>
    <row r="2741" spans="6:6" x14ac:dyDescent="0.2">
      <c r="F2741" s="253"/>
    </row>
    <row r="2742" spans="6:6" x14ac:dyDescent="0.2">
      <c r="F2742" s="253"/>
    </row>
    <row r="2743" spans="6:6" x14ac:dyDescent="0.2">
      <c r="F2743" s="253"/>
    </row>
    <row r="2744" spans="6:6" x14ac:dyDescent="0.2">
      <c r="F2744" s="253"/>
    </row>
    <row r="2745" spans="6:6" x14ac:dyDescent="0.2">
      <c r="F2745" s="253"/>
    </row>
    <row r="2746" spans="6:6" x14ac:dyDescent="0.2">
      <c r="F2746" s="253"/>
    </row>
    <row r="2747" spans="6:6" x14ac:dyDescent="0.2">
      <c r="F2747" s="253"/>
    </row>
    <row r="2748" spans="6:6" x14ac:dyDescent="0.2">
      <c r="F2748" s="253"/>
    </row>
    <row r="2749" spans="6:6" x14ac:dyDescent="0.2">
      <c r="F2749" s="253"/>
    </row>
    <row r="2750" spans="6:6" x14ac:dyDescent="0.2">
      <c r="F2750" s="253"/>
    </row>
    <row r="2751" spans="6:6" x14ac:dyDescent="0.2">
      <c r="F2751" s="253"/>
    </row>
    <row r="2752" spans="6:6" x14ac:dyDescent="0.2">
      <c r="F2752" s="253"/>
    </row>
    <row r="2753" spans="6:6" x14ac:dyDescent="0.2">
      <c r="F2753" s="253"/>
    </row>
    <row r="2754" spans="6:6" x14ac:dyDescent="0.2">
      <c r="F2754" s="253"/>
    </row>
    <row r="2755" spans="6:6" x14ac:dyDescent="0.2">
      <c r="F2755" s="253"/>
    </row>
    <row r="2756" spans="6:6" x14ac:dyDescent="0.2">
      <c r="F2756" s="253"/>
    </row>
    <row r="2757" spans="6:6" x14ac:dyDescent="0.2">
      <c r="F2757" s="253"/>
    </row>
    <row r="2758" spans="6:6" x14ac:dyDescent="0.2">
      <c r="F2758" s="253"/>
    </row>
    <row r="2759" spans="6:6" x14ac:dyDescent="0.2">
      <c r="F2759" s="253"/>
    </row>
    <row r="2760" spans="6:6" x14ac:dyDescent="0.2">
      <c r="F2760" s="253"/>
    </row>
    <row r="2761" spans="6:6" x14ac:dyDescent="0.2">
      <c r="F2761" s="253"/>
    </row>
    <row r="2762" spans="6:6" x14ac:dyDescent="0.2">
      <c r="F2762" s="253"/>
    </row>
    <row r="2763" spans="6:6" x14ac:dyDescent="0.2">
      <c r="F2763" s="253"/>
    </row>
    <row r="2764" spans="6:6" x14ac:dyDescent="0.2">
      <c r="F2764" s="253"/>
    </row>
    <row r="2765" spans="6:6" x14ac:dyDescent="0.2">
      <c r="F2765" s="253"/>
    </row>
    <row r="2766" spans="6:6" x14ac:dyDescent="0.2">
      <c r="F2766" s="253"/>
    </row>
    <row r="2767" spans="6:6" x14ac:dyDescent="0.2">
      <c r="F2767" s="253"/>
    </row>
    <row r="2768" spans="6:6" x14ac:dyDescent="0.2">
      <c r="F2768" s="253"/>
    </row>
    <row r="2769" spans="6:6" x14ac:dyDescent="0.2">
      <c r="F2769" s="253"/>
    </row>
    <row r="2770" spans="6:6" x14ac:dyDescent="0.2">
      <c r="F2770" s="253"/>
    </row>
    <row r="2771" spans="6:6" x14ac:dyDescent="0.2">
      <c r="F2771" s="253"/>
    </row>
    <row r="2772" spans="6:6" x14ac:dyDescent="0.2">
      <c r="F2772" s="253"/>
    </row>
    <row r="2773" spans="6:6" x14ac:dyDescent="0.2">
      <c r="F2773" s="253"/>
    </row>
    <row r="2774" spans="6:6" x14ac:dyDescent="0.2">
      <c r="F2774" s="253"/>
    </row>
    <row r="2775" spans="6:6" x14ac:dyDescent="0.2">
      <c r="F2775" s="253"/>
    </row>
    <row r="2776" spans="6:6" x14ac:dyDescent="0.2">
      <c r="F2776" s="253"/>
    </row>
    <row r="2777" spans="6:6" x14ac:dyDescent="0.2">
      <c r="F2777" s="253"/>
    </row>
    <row r="2778" spans="6:6" x14ac:dyDescent="0.2">
      <c r="F2778" s="253"/>
    </row>
    <row r="2779" spans="6:6" x14ac:dyDescent="0.2">
      <c r="F2779" s="253"/>
    </row>
    <row r="2780" spans="6:6" x14ac:dyDescent="0.2">
      <c r="F2780" s="253"/>
    </row>
    <row r="2781" spans="6:6" x14ac:dyDescent="0.2">
      <c r="F2781" s="253"/>
    </row>
    <row r="2782" spans="6:6" x14ac:dyDescent="0.2">
      <c r="F2782" s="253"/>
    </row>
    <row r="2783" spans="6:6" x14ac:dyDescent="0.2">
      <c r="F2783" s="253"/>
    </row>
    <row r="2784" spans="6:6" x14ac:dyDescent="0.2">
      <c r="F2784" s="253"/>
    </row>
    <row r="2785" spans="6:6" x14ac:dyDescent="0.2">
      <c r="F2785" s="253"/>
    </row>
    <row r="2786" spans="6:6" x14ac:dyDescent="0.2">
      <c r="F2786" s="253"/>
    </row>
    <row r="2787" spans="6:6" x14ac:dyDescent="0.2">
      <c r="F2787" s="253"/>
    </row>
    <row r="2788" spans="6:6" x14ac:dyDescent="0.2">
      <c r="F2788" s="253"/>
    </row>
    <row r="2789" spans="6:6" x14ac:dyDescent="0.2">
      <c r="F2789" s="253"/>
    </row>
    <row r="2790" spans="6:6" x14ac:dyDescent="0.2">
      <c r="F2790" s="253"/>
    </row>
    <row r="2791" spans="6:6" x14ac:dyDescent="0.2">
      <c r="F2791" s="253"/>
    </row>
    <row r="2792" spans="6:6" x14ac:dyDescent="0.2">
      <c r="F2792" s="253"/>
    </row>
    <row r="2793" spans="6:6" x14ac:dyDescent="0.2">
      <c r="F2793" s="253"/>
    </row>
    <row r="2794" spans="6:6" x14ac:dyDescent="0.2">
      <c r="F2794" s="253"/>
    </row>
    <row r="2795" spans="6:6" x14ac:dyDescent="0.2">
      <c r="F2795" s="253"/>
    </row>
    <row r="2796" spans="6:6" x14ac:dyDescent="0.2">
      <c r="F2796" s="253"/>
    </row>
    <row r="2797" spans="6:6" x14ac:dyDescent="0.2">
      <c r="F2797" s="253"/>
    </row>
    <row r="2798" spans="6:6" x14ac:dyDescent="0.2">
      <c r="F2798" s="253"/>
    </row>
    <row r="2799" spans="6:6" x14ac:dyDescent="0.2">
      <c r="F2799" s="253"/>
    </row>
    <row r="2800" spans="6:6" x14ac:dyDescent="0.2">
      <c r="F2800" s="253"/>
    </row>
    <row r="2801" spans="6:6" x14ac:dyDescent="0.2">
      <c r="F2801" s="253"/>
    </row>
    <row r="2802" spans="6:6" x14ac:dyDescent="0.2">
      <c r="F2802" s="253"/>
    </row>
    <row r="2803" spans="6:6" x14ac:dyDescent="0.2">
      <c r="F2803" s="253"/>
    </row>
    <row r="2804" spans="6:6" x14ac:dyDescent="0.2">
      <c r="F2804" s="253"/>
    </row>
    <row r="2805" spans="6:6" x14ac:dyDescent="0.2">
      <c r="F2805" s="253"/>
    </row>
    <row r="2806" spans="6:6" x14ac:dyDescent="0.2">
      <c r="F2806" s="253"/>
    </row>
    <row r="2807" spans="6:6" x14ac:dyDescent="0.2">
      <c r="F2807" s="253"/>
    </row>
    <row r="2808" spans="6:6" x14ac:dyDescent="0.2">
      <c r="F2808" s="253"/>
    </row>
    <row r="2809" spans="6:6" x14ac:dyDescent="0.2">
      <c r="F2809" s="253"/>
    </row>
    <row r="2810" spans="6:6" x14ac:dyDescent="0.2">
      <c r="F2810" s="253"/>
    </row>
    <row r="2811" spans="6:6" x14ac:dyDescent="0.2">
      <c r="F2811" s="253"/>
    </row>
    <row r="2812" spans="6:6" x14ac:dyDescent="0.2">
      <c r="F2812" s="253"/>
    </row>
    <row r="2813" spans="6:6" x14ac:dyDescent="0.2">
      <c r="F2813" s="253"/>
    </row>
    <row r="2814" spans="6:6" x14ac:dyDescent="0.2">
      <c r="F2814" s="253"/>
    </row>
    <row r="2815" spans="6:6" x14ac:dyDescent="0.2">
      <c r="F2815" s="253"/>
    </row>
    <row r="2816" spans="6:6" x14ac:dyDescent="0.2">
      <c r="F2816" s="253"/>
    </row>
    <row r="2817" spans="6:6" x14ac:dyDescent="0.2">
      <c r="F2817" s="253"/>
    </row>
    <row r="2818" spans="6:6" x14ac:dyDescent="0.2">
      <c r="F2818" s="253"/>
    </row>
    <row r="2819" spans="6:6" x14ac:dyDescent="0.2">
      <c r="F2819" s="253"/>
    </row>
    <row r="2820" spans="6:6" x14ac:dyDescent="0.2">
      <c r="F2820" s="253"/>
    </row>
    <row r="2821" spans="6:6" x14ac:dyDescent="0.2">
      <c r="F2821" s="253"/>
    </row>
    <row r="2822" spans="6:6" x14ac:dyDescent="0.2">
      <c r="F2822" s="253"/>
    </row>
    <row r="2823" spans="6:6" x14ac:dyDescent="0.2">
      <c r="F2823" s="253"/>
    </row>
    <row r="2824" spans="6:6" x14ac:dyDescent="0.2">
      <c r="F2824" s="253"/>
    </row>
    <row r="2825" spans="6:6" x14ac:dyDescent="0.2">
      <c r="F2825" s="253"/>
    </row>
    <row r="2826" spans="6:6" x14ac:dyDescent="0.2">
      <c r="F2826" s="253"/>
    </row>
    <row r="2827" spans="6:6" x14ac:dyDescent="0.2">
      <c r="F2827" s="253"/>
    </row>
    <row r="2828" spans="6:6" x14ac:dyDescent="0.2">
      <c r="F2828" s="253"/>
    </row>
    <row r="2829" spans="6:6" x14ac:dyDescent="0.2">
      <c r="F2829" s="253"/>
    </row>
    <row r="2830" spans="6:6" x14ac:dyDescent="0.2">
      <c r="F2830" s="253"/>
    </row>
    <row r="2831" spans="6:6" x14ac:dyDescent="0.2">
      <c r="F2831" s="253"/>
    </row>
    <row r="2832" spans="6:6" x14ac:dyDescent="0.2">
      <c r="F2832" s="253"/>
    </row>
    <row r="2833" spans="6:6" x14ac:dyDescent="0.2">
      <c r="F2833" s="253"/>
    </row>
    <row r="2834" spans="6:6" x14ac:dyDescent="0.2">
      <c r="F2834" s="253"/>
    </row>
    <row r="2835" spans="6:6" x14ac:dyDescent="0.2">
      <c r="F2835" s="253"/>
    </row>
    <row r="2836" spans="6:6" x14ac:dyDescent="0.2">
      <c r="F2836" s="253"/>
    </row>
    <row r="2837" spans="6:6" x14ac:dyDescent="0.2">
      <c r="F2837" s="253"/>
    </row>
    <row r="2838" spans="6:6" x14ac:dyDescent="0.2">
      <c r="F2838" s="253"/>
    </row>
    <row r="2839" spans="6:6" x14ac:dyDescent="0.2">
      <c r="F2839" s="253"/>
    </row>
    <row r="2840" spans="6:6" x14ac:dyDescent="0.2">
      <c r="F2840" s="253"/>
    </row>
    <row r="2841" spans="6:6" x14ac:dyDescent="0.2">
      <c r="F2841" s="253"/>
    </row>
    <row r="2842" spans="6:6" x14ac:dyDescent="0.2">
      <c r="F2842" s="253"/>
    </row>
    <row r="2843" spans="6:6" x14ac:dyDescent="0.2">
      <c r="F2843" s="253"/>
    </row>
    <row r="2844" spans="6:6" x14ac:dyDescent="0.2">
      <c r="F2844" s="253"/>
    </row>
    <row r="2845" spans="6:6" x14ac:dyDescent="0.2">
      <c r="F2845" s="253"/>
    </row>
    <row r="2846" spans="6:6" x14ac:dyDescent="0.2">
      <c r="F2846" s="253"/>
    </row>
    <row r="2847" spans="6:6" x14ac:dyDescent="0.2">
      <c r="F2847" s="253"/>
    </row>
    <row r="2848" spans="6:6" x14ac:dyDescent="0.2">
      <c r="F2848" s="253"/>
    </row>
    <row r="2849" spans="6:6" x14ac:dyDescent="0.2">
      <c r="F2849" s="253"/>
    </row>
    <row r="2850" spans="6:6" x14ac:dyDescent="0.2">
      <c r="F2850" s="253"/>
    </row>
    <row r="2851" spans="6:6" x14ac:dyDescent="0.2">
      <c r="F2851" s="253"/>
    </row>
    <row r="2852" spans="6:6" x14ac:dyDescent="0.2">
      <c r="F2852" s="253"/>
    </row>
    <row r="2853" spans="6:6" x14ac:dyDescent="0.2">
      <c r="F2853" s="253"/>
    </row>
    <row r="2854" spans="6:6" x14ac:dyDescent="0.2">
      <c r="F2854" s="253"/>
    </row>
    <row r="2855" spans="6:6" x14ac:dyDescent="0.2">
      <c r="F2855" s="253"/>
    </row>
    <row r="2856" spans="6:6" x14ac:dyDescent="0.2">
      <c r="F2856" s="253"/>
    </row>
    <row r="2857" spans="6:6" x14ac:dyDescent="0.2">
      <c r="F2857" s="253"/>
    </row>
    <row r="2858" spans="6:6" x14ac:dyDescent="0.2">
      <c r="F2858" s="253"/>
    </row>
    <row r="2859" spans="6:6" x14ac:dyDescent="0.2">
      <c r="F2859" s="253"/>
    </row>
    <row r="2860" spans="6:6" x14ac:dyDescent="0.2">
      <c r="F2860" s="253"/>
    </row>
    <row r="2861" spans="6:6" x14ac:dyDescent="0.2">
      <c r="F2861" s="253"/>
    </row>
    <row r="2862" spans="6:6" x14ac:dyDescent="0.2">
      <c r="F2862" s="253"/>
    </row>
    <row r="2863" spans="6:6" x14ac:dyDescent="0.2">
      <c r="F2863" s="253"/>
    </row>
    <row r="2864" spans="6:6" x14ac:dyDescent="0.2">
      <c r="F2864" s="253"/>
    </row>
    <row r="2865" spans="6:6" x14ac:dyDescent="0.2">
      <c r="F2865" s="253"/>
    </row>
    <row r="2866" spans="6:6" x14ac:dyDescent="0.2">
      <c r="F2866" s="253"/>
    </row>
    <row r="2867" spans="6:6" x14ac:dyDescent="0.2">
      <c r="F2867" s="253"/>
    </row>
    <row r="2868" spans="6:6" x14ac:dyDescent="0.2">
      <c r="F2868" s="253"/>
    </row>
    <row r="2869" spans="6:6" x14ac:dyDescent="0.2">
      <c r="F2869" s="253"/>
    </row>
    <row r="2870" spans="6:6" x14ac:dyDescent="0.2">
      <c r="F2870" s="253"/>
    </row>
    <row r="2871" spans="6:6" x14ac:dyDescent="0.2">
      <c r="F2871" s="253"/>
    </row>
    <row r="2872" spans="6:6" x14ac:dyDescent="0.2">
      <c r="F2872" s="253"/>
    </row>
    <row r="2873" spans="6:6" x14ac:dyDescent="0.2">
      <c r="F2873" s="253"/>
    </row>
    <row r="2874" spans="6:6" x14ac:dyDescent="0.2">
      <c r="F2874" s="253"/>
    </row>
    <row r="2875" spans="6:6" x14ac:dyDescent="0.2">
      <c r="F2875" s="253"/>
    </row>
    <row r="2876" spans="6:6" x14ac:dyDescent="0.2">
      <c r="F2876" s="253"/>
    </row>
    <row r="2877" spans="6:6" x14ac:dyDescent="0.2">
      <c r="F2877" s="253"/>
    </row>
    <row r="2878" spans="6:6" x14ac:dyDescent="0.2">
      <c r="F2878" s="253"/>
    </row>
    <row r="2879" spans="6:6" x14ac:dyDescent="0.2">
      <c r="F2879" s="253"/>
    </row>
    <row r="2880" spans="6:6" x14ac:dyDescent="0.2">
      <c r="F2880" s="253"/>
    </row>
    <row r="2881" spans="6:6" x14ac:dyDescent="0.2">
      <c r="F2881" s="253"/>
    </row>
    <row r="2882" spans="6:6" x14ac:dyDescent="0.2">
      <c r="F2882" s="253"/>
    </row>
    <row r="2883" spans="6:6" x14ac:dyDescent="0.2">
      <c r="F2883" s="253"/>
    </row>
    <row r="2884" spans="6:6" x14ac:dyDescent="0.2">
      <c r="F2884" s="253"/>
    </row>
    <row r="2885" spans="6:6" x14ac:dyDescent="0.2">
      <c r="F2885" s="253"/>
    </row>
    <row r="2886" spans="6:6" x14ac:dyDescent="0.2">
      <c r="F2886" s="253"/>
    </row>
    <row r="2887" spans="6:6" x14ac:dyDescent="0.2">
      <c r="F2887" s="253"/>
    </row>
    <row r="2888" spans="6:6" x14ac:dyDescent="0.2">
      <c r="F2888" s="253"/>
    </row>
    <row r="2889" spans="6:6" x14ac:dyDescent="0.2">
      <c r="F2889" s="253"/>
    </row>
    <row r="2890" spans="6:6" x14ac:dyDescent="0.2">
      <c r="F2890" s="253"/>
    </row>
    <row r="2891" spans="6:6" x14ac:dyDescent="0.2">
      <c r="F2891" s="253"/>
    </row>
    <row r="2892" spans="6:6" x14ac:dyDescent="0.2">
      <c r="F2892" s="253"/>
    </row>
    <row r="2893" spans="6:6" x14ac:dyDescent="0.2">
      <c r="F2893" s="253"/>
    </row>
    <row r="2894" spans="6:6" x14ac:dyDescent="0.2">
      <c r="F2894" s="253"/>
    </row>
    <row r="2895" spans="6:6" x14ac:dyDescent="0.2">
      <c r="F2895" s="253"/>
    </row>
    <row r="2896" spans="6:6" x14ac:dyDescent="0.2">
      <c r="F2896" s="253"/>
    </row>
    <row r="2897" spans="6:6" x14ac:dyDescent="0.2">
      <c r="F2897" s="253"/>
    </row>
    <row r="2898" spans="6:6" x14ac:dyDescent="0.2">
      <c r="F2898" s="253"/>
    </row>
    <row r="2899" spans="6:6" x14ac:dyDescent="0.2">
      <c r="F2899" s="253"/>
    </row>
    <row r="2900" spans="6:6" x14ac:dyDescent="0.2">
      <c r="F2900" s="253"/>
    </row>
    <row r="2901" spans="6:6" x14ac:dyDescent="0.2">
      <c r="F2901" s="253"/>
    </row>
    <row r="2902" spans="6:6" x14ac:dyDescent="0.2">
      <c r="F2902" s="253"/>
    </row>
    <row r="2903" spans="6:6" x14ac:dyDescent="0.2">
      <c r="F2903" s="253"/>
    </row>
    <row r="2904" spans="6:6" x14ac:dyDescent="0.2">
      <c r="F2904" s="253"/>
    </row>
    <row r="2905" spans="6:6" x14ac:dyDescent="0.2">
      <c r="F2905" s="253"/>
    </row>
    <row r="2906" spans="6:6" x14ac:dyDescent="0.2">
      <c r="F2906" s="253"/>
    </row>
    <row r="2907" spans="6:6" x14ac:dyDescent="0.2">
      <c r="F2907" s="253"/>
    </row>
    <row r="2908" spans="6:6" x14ac:dyDescent="0.2">
      <c r="F2908" s="253"/>
    </row>
    <row r="2909" spans="6:6" x14ac:dyDescent="0.2">
      <c r="F2909" s="253"/>
    </row>
    <row r="2910" spans="6:6" x14ac:dyDescent="0.2">
      <c r="F2910" s="253"/>
    </row>
    <row r="2911" spans="6:6" x14ac:dyDescent="0.2">
      <c r="F2911" s="253"/>
    </row>
    <row r="2912" spans="6:6" x14ac:dyDescent="0.2">
      <c r="F2912" s="253"/>
    </row>
    <row r="2913" spans="6:6" x14ac:dyDescent="0.2">
      <c r="F2913" s="253"/>
    </row>
    <row r="2914" spans="6:6" x14ac:dyDescent="0.2">
      <c r="F2914" s="253"/>
    </row>
    <row r="2915" spans="6:6" x14ac:dyDescent="0.2">
      <c r="F2915" s="253"/>
    </row>
    <row r="2916" spans="6:6" x14ac:dyDescent="0.2">
      <c r="F2916" s="253"/>
    </row>
    <row r="2917" spans="6:6" x14ac:dyDescent="0.2">
      <c r="F2917" s="253"/>
    </row>
    <row r="2918" spans="6:6" x14ac:dyDescent="0.2">
      <c r="F2918" s="253"/>
    </row>
    <row r="2919" spans="6:6" x14ac:dyDescent="0.2">
      <c r="F2919" s="253"/>
    </row>
    <row r="2920" spans="6:6" x14ac:dyDescent="0.2">
      <c r="F2920" s="253"/>
    </row>
    <row r="2921" spans="6:6" x14ac:dyDescent="0.2">
      <c r="F2921" s="253"/>
    </row>
    <row r="2922" spans="6:6" x14ac:dyDescent="0.2">
      <c r="F2922" s="253"/>
    </row>
    <row r="2923" spans="6:6" x14ac:dyDescent="0.2">
      <c r="F2923" s="253"/>
    </row>
    <row r="2924" spans="6:6" x14ac:dyDescent="0.2">
      <c r="F2924" s="253"/>
    </row>
    <row r="2925" spans="6:6" x14ac:dyDescent="0.2">
      <c r="F2925" s="253"/>
    </row>
    <row r="2926" spans="6:6" x14ac:dyDescent="0.2">
      <c r="F2926" s="253"/>
    </row>
    <row r="2927" spans="6:6" x14ac:dyDescent="0.2">
      <c r="F2927" s="253"/>
    </row>
    <row r="2928" spans="6:6" x14ac:dyDescent="0.2">
      <c r="F2928" s="253"/>
    </row>
    <row r="2929" spans="6:6" x14ac:dyDescent="0.2">
      <c r="F2929" s="253"/>
    </row>
    <row r="2930" spans="6:6" x14ac:dyDescent="0.2">
      <c r="F2930" s="253"/>
    </row>
    <row r="2931" spans="6:6" x14ac:dyDescent="0.2">
      <c r="F2931" s="253"/>
    </row>
    <row r="2932" spans="6:6" x14ac:dyDescent="0.2">
      <c r="F2932" s="253"/>
    </row>
    <row r="2933" spans="6:6" x14ac:dyDescent="0.2">
      <c r="F2933" s="253"/>
    </row>
    <row r="2934" spans="6:6" x14ac:dyDescent="0.2">
      <c r="F2934" s="253"/>
    </row>
    <row r="2935" spans="6:6" x14ac:dyDescent="0.2">
      <c r="F2935" s="253"/>
    </row>
    <row r="2936" spans="6:6" x14ac:dyDescent="0.2">
      <c r="F2936" s="253"/>
    </row>
    <row r="2937" spans="6:6" x14ac:dyDescent="0.2">
      <c r="F2937" s="253"/>
    </row>
    <row r="2938" spans="6:6" x14ac:dyDescent="0.2">
      <c r="F2938" s="253"/>
    </row>
    <row r="2939" spans="6:6" x14ac:dyDescent="0.2">
      <c r="F2939" s="253"/>
    </row>
    <row r="2940" spans="6:6" x14ac:dyDescent="0.2">
      <c r="F2940" s="253"/>
    </row>
    <row r="2941" spans="6:6" x14ac:dyDescent="0.2">
      <c r="F2941" s="253"/>
    </row>
    <row r="2942" spans="6:6" x14ac:dyDescent="0.2">
      <c r="F2942" s="253"/>
    </row>
    <row r="2943" spans="6:6" x14ac:dyDescent="0.2">
      <c r="F2943" s="253"/>
    </row>
    <row r="2944" spans="6:6" x14ac:dyDescent="0.2">
      <c r="F2944" s="253"/>
    </row>
    <row r="2945" spans="6:6" x14ac:dyDescent="0.2">
      <c r="F2945" s="253"/>
    </row>
    <row r="2946" spans="6:6" x14ac:dyDescent="0.2">
      <c r="F2946" s="253"/>
    </row>
    <row r="2947" spans="6:6" x14ac:dyDescent="0.2">
      <c r="F2947" s="253"/>
    </row>
    <row r="2948" spans="6:6" x14ac:dyDescent="0.2">
      <c r="F2948" s="253"/>
    </row>
    <row r="2949" spans="6:6" x14ac:dyDescent="0.2">
      <c r="F2949" s="253"/>
    </row>
    <row r="2950" spans="6:6" x14ac:dyDescent="0.2">
      <c r="F2950" s="253"/>
    </row>
    <row r="2951" spans="6:6" x14ac:dyDescent="0.2">
      <c r="F2951" s="253"/>
    </row>
    <row r="2952" spans="6:6" x14ac:dyDescent="0.2">
      <c r="F2952" s="253"/>
    </row>
    <row r="2953" spans="6:6" x14ac:dyDescent="0.2">
      <c r="F2953" s="253"/>
    </row>
    <row r="2954" spans="6:6" x14ac:dyDescent="0.2">
      <c r="F2954" s="253"/>
    </row>
    <row r="2955" spans="6:6" x14ac:dyDescent="0.2">
      <c r="F2955" s="253"/>
    </row>
    <row r="2956" spans="6:6" x14ac:dyDescent="0.2">
      <c r="F2956" s="253"/>
    </row>
    <row r="2957" spans="6:6" x14ac:dyDescent="0.2">
      <c r="F2957" s="253"/>
    </row>
    <row r="2958" spans="6:6" x14ac:dyDescent="0.2">
      <c r="F2958" s="253"/>
    </row>
    <row r="2959" spans="6:6" x14ac:dyDescent="0.2">
      <c r="F2959" s="253"/>
    </row>
    <row r="2960" spans="6:6" x14ac:dyDescent="0.2">
      <c r="F2960" s="253"/>
    </row>
    <row r="2961" spans="6:6" x14ac:dyDescent="0.2">
      <c r="F2961" s="253"/>
    </row>
    <row r="2962" spans="6:6" x14ac:dyDescent="0.2">
      <c r="F2962" s="253"/>
    </row>
    <row r="2963" spans="6:6" x14ac:dyDescent="0.2">
      <c r="F2963" s="253"/>
    </row>
    <row r="2964" spans="6:6" x14ac:dyDescent="0.2">
      <c r="F2964" s="253"/>
    </row>
    <row r="2965" spans="6:6" x14ac:dyDescent="0.2">
      <c r="F2965" s="253"/>
    </row>
    <row r="2966" spans="6:6" x14ac:dyDescent="0.2">
      <c r="F2966" s="253"/>
    </row>
    <row r="2967" spans="6:6" x14ac:dyDescent="0.2">
      <c r="F2967" s="253"/>
    </row>
    <row r="2968" spans="6:6" x14ac:dyDescent="0.2">
      <c r="F2968" s="253"/>
    </row>
    <row r="2969" spans="6:6" x14ac:dyDescent="0.2">
      <c r="F2969" s="253"/>
    </row>
    <row r="2970" spans="6:6" x14ac:dyDescent="0.2">
      <c r="F2970" s="253"/>
    </row>
    <row r="2971" spans="6:6" x14ac:dyDescent="0.2">
      <c r="F2971" s="253"/>
    </row>
    <row r="2972" spans="6:6" x14ac:dyDescent="0.2">
      <c r="F2972" s="253"/>
    </row>
    <row r="2973" spans="6:6" x14ac:dyDescent="0.2">
      <c r="F2973" s="253"/>
    </row>
    <row r="2974" spans="6:6" x14ac:dyDescent="0.2">
      <c r="F2974" s="253"/>
    </row>
    <row r="2975" spans="6:6" x14ac:dyDescent="0.2">
      <c r="F2975" s="253"/>
    </row>
    <row r="2976" spans="6:6" x14ac:dyDescent="0.2">
      <c r="F2976" s="253"/>
    </row>
    <row r="2977" spans="6:6" x14ac:dyDescent="0.2">
      <c r="F2977" s="253"/>
    </row>
    <row r="2978" spans="6:6" x14ac:dyDescent="0.2">
      <c r="F2978" s="253"/>
    </row>
    <row r="2979" spans="6:6" x14ac:dyDescent="0.2">
      <c r="F2979" s="253"/>
    </row>
    <row r="2980" spans="6:6" x14ac:dyDescent="0.2">
      <c r="F2980" s="253"/>
    </row>
    <row r="2981" spans="6:6" x14ac:dyDescent="0.2">
      <c r="F2981" s="253"/>
    </row>
    <row r="2982" spans="6:6" x14ac:dyDescent="0.2">
      <c r="F2982" s="253"/>
    </row>
    <row r="2983" spans="6:6" x14ac:dyDescent="0.2">
      <c r="F2983" s="253"/>
    </row>
    <row r="2984" spans="6:6" x14ac:dyDescent="0.2">
      <c r="F2984" s="253"/>
    </row>
    <row r="2985" spans="6:6" x14ac:dyDescent="0.2">
      <c r="F2985" s="253"/>
    </row>
    <row r="2986" spans="6:6" x14ac:dyDescent="0.2">
      <c r="F2986" s="253"/>
    </row>
    <row r="2987" spans="6:6" x14ac:dyDescent="0.2">
      <c r="F2987" s="253"/>
    </row>
    <row r="2988" spans="6:6" x14ac:dyDescent="0.2">
      <c r="F2988" s="253"/>
    </row>
    <row r="2989" spans="6:6" x14ac:dyDescent="0.2">
      <c r="F2989" s="253"/>
    </row>
    <row r="2990" spans="6:6" x14ac:dyDescent="0.2">
      <c r="F2990" s="253"/>
    </row>
    <row r="2991" spans="6:6" x14ac:dyDescent="0.2">
      <c r="F2991" s="253"/>
    </row>
    <row r="2992" spans="6:6" x14ac:dyDescent="0.2">
      <c r="F2992" s="253"/>
    </row>
    <row r="2993" spans="6:6" x14ac:dyDescent="0.2">
      <c r="F2993" s="253"/>
    </row>
    <row r="2994" spans="6:6" x14ac:dyDescent="0.2">
      <c r="F2994" s="253"/>
    </row>
    <row r="2995" spans="6:6" x14ac:dyDescent="0.2">
      <c r="F2995" s="253"/>
    </row>
    <row r="2996" spans="6:6" x14ac:dyDescent="0.2">
      <c r="F2996" s="253"/>
    </row>
    <row r="2997" spans="6:6" x14ac:dyDescent="0.2">
      <c r="F2997" s="253"/>
    </row>
    <row r="2998" spans="6:6" x14ac:dyDescent="0.2">
      <c r="F2998" s="253"/>
    </row>
    <row r="2999" spans="6:6" x14ac:dyDescent="0.2">
      <c r="F2999" s="253"/>
    </row>
    <row r="3000" spans="6:6" x14ac:dyDescent="0.2">
      <c r="F3000" s="253"/>
    </row>
    <row r="3001" spans="6:6" x14ac:dyDescent="0.2">
      <c r="F3001" s="253"/>
    </row>
    <row r="3002" spans="6:6" x14ac:dyDescent="0.2">
      <c r="F3002" s="253"/>
    </row>
    <row r="3003" spans="6:6" x14ac:dyDescent="0.2">
      <c r="F3003" s="253"/>
    </row>
    <row r="3004" spans="6:6" x14ac:dyDescent="0.2">
      <c r="F3004" s="253"/>
    </row>
    <row r="3005" spans="6:6" x14ac:dyDescent="0.2">
      <c r="F3005" s="253"/>
    </row>
    <row r="3006" spans="6:6" x14ac:dyDescent="0.2">
      <c r="F3006" s="253"/>
    </row>
    <row r="3007" spans="6:6" x14ac:dyDescent="0.2">
      <c r="F3007" s="253"/>
    </row>
    <row r="3008" spans="6:6" x14ac:dyDescent="0.2">
      <c r="F3008" s="253"/>
    </row>
    <row r="3009" spans="6:6" x14ac:dyDescent="0.2">
      <c r="F3009" s="253"/>
    </row>
    <row r="3010" spans="6:6" x14ac:dyDescent="0.2">
      <c r="F3010" s="253"/>
    </row>
    <row r="3011" spans="6:6" x14ac:dyDescent="0.2">
      <c r="F3011" s="253"/>
    </row>
    <row r="3012" spans="6:6" x14ac:dyDescent="0.2">
      <c r="F3012" s="253"/>
    </row>
    <row r="3013" spans="6:6" x14ac:dyDescent="0.2">
      <c r="F3013" s="253"/>
    </row>
    <row r="3014" spans="6:6" x14ac:dyDescent="0.2">
      <c r="F3014" s="253"/>
    </row>
    <row r="3015" spans="6:6" x14ac:dyDescent="0.2">
      <c r="F3015" s="253"/>
    </row>
    <row r="3016" spans="6:6" x14ac:dyDescent="0.2">
      <c r="F3016" s="253"/>
    </row>
    <row r="3017" spans="6:6" x14ac:dyDescent="0.2">
      <c r="F3017" s="253"/>
    </row>
    <row r="3018" spans="6:6" x14ac:dyDescent="0.2">
      <c r="F3018" s="253"/>
    </row>
    <row r="3019" spans="6:6" x14ac:dyDescent="0.2">
      <c r="F3019" s="253"/>
    </row>
    <row r="3020" spans="6:6" x14ac:dyDescent="0.2">
      <c r="F3020" s="253"/>
    </row>
    <row r="3021" spans="6:6" x14ac:dyDescent="0.2">
      <c r="F3021" s="253"/>
    </row>
    <row r="3022" spans="6:6" x14ac:dyDescent="0.2">
      <c r="F3022" s="253"/>
    </row>
    <row r="3023" spans="6:6" x14ac:dyDescent="0.2">
      <c r="F3023" s="253"/>
    </row>
    <row r="3024" spans="6:6" x14ac:dyDescent="0.2">
      <c r="F3024" s="253"/>
    </row>
    <row r="3025" spans="6:6" x14ac:dyDescent="0.2">
      <c r="F3025" s="253"/>
    </row>
    <row r="3026" spans="6:6" x14ac:dyDescent="0.2">
      <c r="F3026" s="253"/>
    </row>
    <row r="3027" spans="6:6" x14ac:dyDescent="0.2">
      <c r="F3027" s="253"/>
    </row>
    <row r="3028" spans="6:6" x14ac:dyDescent="0.2">
      <c r="F3028" s="253"/>
    </row>
    <row r="3029" spans="6:6" x14ac:dyDescent="0.2">
      <c r="F3029" s="253"/>
    </row>
    <row r="3030" spans="6:6" x14ac:dyDescent="0.2">
      <c r="F3030" s="253"/>
    </row>
    <row r="3031" spans="6:6" x14ac:dyDescent="0.2">
      <c r="F3031" s="253"/>
    </row>
    <row r="3032" spans="6:6" x14ac:dyDescent="0.2">
      <c r="F3032" s="253"/>
    </row>
    <row r="3033" spans="6:6" x14ac:dyDescent="0.2">
      <c r="F3033" s="253"/>
    </row>
    <row r="3034" spans="6:6" x14ac:dyDescent="0.2">
      <c r="F3034" s="253"/>
    </row>
    <row r="3035" spans="6:6" x14ac:dyDescent="0.2">
      <c r="F3035" s="253"/>
    </row>
    <row r="3036" spans="6:6" x14ac:dyDescent="0.2">
      <c r="F3036" s="253"/>
    </row>
    <row r="3037" spans="6:6" x14ac:dyDescent="0.2">
      <c r="F3037" s="253"/>
    </row>
    <row r="3038" spans="6:6" x14ac:dyDescent="0.2">
      <c r="F3038" s="253"/>
    </row>
    <row r="3039" spans="6:6" x14ac:dyDescent="0.2">
      <c r="F3039" s="253"/>
    </row>
    <row r="3040" spans="6:6" x14ac:dyDescent="0.2">
      <c r="F3040" s="253"/>
    </row>
    <row r="3041" spans="6:6" x14ac:dyDescent="0.2">
      <c r="F3041" s="253"/>
    </row>
    <row r="3042" spans="6:6" x14ac:dyDescent="0.2">
      <c r="F3042" s="253"/>
    </row>
    <row r="3043" spans="6:6" x14ac:dyDescent="0.2">
      <c r="F3043" s="253"/>
    </row>
    <row r="3044" spans="6:6" x14ac:dyDescent="0.2">
      <c r="F3044" s="253"/>
    </row>
    <row r="3045" spans="6:6" x14ac:dyDescent="0.2">
      <c r="F3045" s="253"/>
    </row>
    <row r="3046" spans="6:6" x14ac:dyDescent="0.2">
      <c r="F3046" s="253"/>
    </row>
    <row r="3047" spans="6:6" x14ac:dyDescent="0.2">
      <c r="F3047" s="253"/>
    </row>
    <row r="3048" spans="6:6" x14ac:dyDescent="0.2">
      <c r="F3048" s="253"/>
    </row>
    <row r="3049" spans="6:6" x14ac:dyDescent="0.2">
      <c r="F3049" s="253"/>
    </row>
    <row r="3050" spans="6:6" x14ac:dyDescent="0.2">
      <c r="F3050" s="253"/>
    </row>
    <row r="3051" spans="6:6" x14ac:dyDescent="0.2">
      <c r="F3051" s="253"/>
    </row>
    <row r="3052" spans="6:6" x14ac:dyDescent="0.2">
      <c r="F3052" s="253"/>
    </row>
    <row r="3053" spans="6:6" x14ac:dyDescent="0.2">
      <c r="F3053" s="253"/>
    </row>
    <row r="3054" spans="6:6" x14ac:dyDescent="0.2">
      <c r="F3054" s="253"/>
    </row>
    <row r="3055" spans="6:6" x14ac:dyDescent="0.2">
      <c r="F3055" s="253"/>
    </row>
    <row r="3056" spans="6:6" x14ac:dyDescent="0.2">
      <c r="F3056" s="253"/>
    </row>
    <row r="3057" spans="6:6" x14ac:dyDescent="0.2">
      <c r="F3057" s="253"/>
    </row>
    <row r="3058" spans="6:6" x14ac:dyDescent="0.2">
      <c r="F3058" s="253"/>
    </row>
    <row r="3059" spans="6:6" x14ac:dyDescent="0.2">
      <c r="F3059" s="253"/>
    </row>
    <row r="3060" spans="6:6" x14ac:dyDescent="0.2">
      <c r="F3060" s="253"/>
    </row>
    <row r="3061" spans="6:6" x14ac:dyDescent="0.2">
      <c r="F3061" s="253"/>
    </row>
    <row r="3062" spans="6:6" x14ac:dyDescent="0.2">
      <c r="F3062" s="253"/>
    </row>
    <row r="3063" spans="6:6" x14ac:dyDescent="0.2">
      <c r="F3063" s="253"/>
    </row>
    <row r="3064" spans="6:6" x14ac:dyDescent="0.2">
      <c r="F3064" s="253"/>
    </row>
    <row r="3065" spans="6:6" x14ac:dyDescent="0.2">
      <c r="F3065" s="253"/>
    </row>
    <row r="3066" spans="6:6" x14ac:dyDescent="0.2">
      <c r="F3066" s="253"/>
    </row>
    <row r="3067" spans="6:6" x14ac:dyDescent="0.2">
      <c r="F3067" s="253"/>
    </row>
    <row r="3068" spans="6:6" x14ac:dyDescent="0.2">
      <c r="F3068" s="253"/>
    </row>
    <row r="3069" spans="6:6" x14ac:dyDescent="0.2">
      <c r="F3069" s="253"/>
    </row>
    <row r="3070" spans="6:6" x14ac:dyDescent="0.2">
      <c r="F3070" s="253"/>
    </row>
    <row r="3071" spans="6:6" x14ac:dyDescent="0.2">
      <c r="F3071" s="253"/>
    </row>
    <row r="3072" spans="6:6" x14ac:dyDescent="0.2">
      <c r="F3072" s="253"/>
    </row>
    <row r="3073" spans="6:6" x14ac:dyDescent="0.2">
      <c r="F3073" s="253"/>
    </row>
    <row r="3074" spans="6:6" x14ac:dyDescent="0.2">
      <c r="F3074" s="253"/>
    </row>
    <row r="3075" spans="6:6" x14ac:dyDescent="0.2">
      <c r="F3075" s="253"/>
    </row>
    <row r="3076" spans="6:6" x14ac:dyDescent="0.2">
      <c r="F3076" s="253"/>
    </row>
    <row r="3077" spans="6:6" x14ac:dyDescent="0.2">
      <c r="F3077" s="253"/>
    </row>
    <row r="3078" spans="6:6" x14ac:dyDescent="0.2">
      <c r="F3078" s="253"/>
    </row>
    <row r="3079" spans="6:6" x14ac:dyDescent="0.2">
      <c r="F3079" s="253"/>
    </row>
    <row r="3080" spans="6:6" x14ac:dyDescent="0.2">
      <c r="F3080" s="253"/>
    </row>
    <row r="3081" spans="6:6" x14ac:dyDescent="0.2">
      <c r="F3081" s="253"/>
    </row>
    <row r="3082" spans="6:6" x14ac:dyDescent="0.2">
      <c r="F3082" s="253"/>
    </row>
    <row r="3083" spans="6:6" x14ac:dyDescent="0.2">
      <c r="F3083" s="253"/>
    </row>
    <row r="3084" spans="6:6" x14ac:dyDescent="0.2">
      <c r="F3084" s="253"/>
    </row>
    <row r="3085" spans="6:6" x14ac:dyDescent="0.2">
      <c r="F3085" s="253"/>
    </row>
    <row r="3086" spans="6:6" x14ac:dyDescent="0.2">
      <c r="F3086" s="253"/>
    </row>
    <row r="3087" spans="6:6" x14ac:dyDescent="0.2">
      <c r="F3087" s="253"/>
    </row>
    <row r="3088" spans="6:6" x14ac:dyDescent="0.2">
      <c r="F3088" s="253"/>
    </row>
    <row r="3089" spans="6:6" x14ac:dyDescent="0.2">
      <c r="F3089" s="253"/>
    </row>
    <row r="3090" spans="6:6" x14ac:dyDescent="0.2">
      <c r="F3090" s="253"/>
    </row>
    <row r="3091" spans="6:6" x14ac:dyDescent="0.2">
      <c r="F3091" s="253"/>
    </row>
    <row r="3092" spans="6:6" x14ac:dyDescent="0.2">
      <c r="F3092" s="253"/>
    </row>
    <row r="3093" spans="6:6" x14ac:dyDescent="0.2">
      <c r="F3093" s="253"/>
    </row>
    <row r="3094" spans="6:6" x14ac:dyDescent="0.2">
      <c r="F3094" s="253"/>
    </row>
    <row r="3095" spans="6:6" x14ac:dyDescent="0.2">
      <c r="F3095" s="253"/>
    </row>
    <row r="3096" spans="6:6" x14ac:dyDescent="0.2">
      <c r="F3096" s="253"/>
    </row>
    <row r="3097" spans="6:6" x14ac:dyDescent="0.2">
      <c r="F3097" s="253"/>
    </row>
    <row r="3098" spans="6:6" x14ac:dyDescent="0.2">
      <c r="F3098" s="253"/>
    </row>
    <row r="3099" spans="6:6" x14ac:dyDescent="0.2">
      <c r="F3099" s="253"/>
    </row>
    <row r="3100" spans="6:6" x14ac:dyDescent="0.2">
      <c r="F3100" s="253"/>
    </row>
    <row r="3101" spans="6:6" x14ac:dyDescent="0.2">
      <c r="F3101" s="253"/>
    </row>
    <row r="3102" spans="6:6" x14ac:dyDescent="0.2">
      <c r="F3102" s="253"/>
    </row>
    <row r="3103" spans="6:6" x14ac:dyDescent="0.2">
      <c r="F3103" s="253"/>
    </row>
    <row r="3104" spans="6:6" x14ac:dyDescent="0.2">
      <c r="F3104" s="253"/>
    </row>
    <row r="3105" spans="6:6" x14ac:dyDescent="0.2">
      <c r="F3105" s="253"/>
    </row>
    <row r="3106" spans="6:6" x14ac:dyDescent="0.2">
      <c r="F3106" s="253"/>
    </row>
    <row r="3107" spans="6:6" x14ac:dyDescent="0.2">
      <c r="F3107" s="253"/>
    </row>
    <row r="3108" spans="6:6" x14ac:dyDescent="0.2">
      <c r="F3108" s="253"/>
    </row>
    <row r="3109" spans="6:6" x14ac:dyDescent="0.2">
      <c r="F3109" s="253"/>
    </row>
    <row r="3110" spans="6:6" x14ac:dyDescent="0.2">
      <c r="F3110" s="253"/>
    </row>
    <row r="3111" spans="6:6" x14ac:dyDescent="0.2">
      <c r="F3111" s="253"/>
    </row>
    <row r="3112" spans="6:6" x14ac:dyDescent="0.2">
      <c r="F3112" s="253"/>
    </row>
    <row r="3113" spans="6:6" x14ac:dyDescent="0.2">
      <c r="F3113" s="253"/>
    </row>
    <row r="3114" spans="6:6" x14ac:dyDescent="0.2">
      <c r="F3114" s="253"/>
    </row>
    <row r="3115" spans="6:6" x14ac:dyDescent="0.2">
      <c r="F3115" s="253"/>
    </row>
    <row r="3116" spans="6:6" x14ac:dyDescent="0.2">
      <c r="F3116" s="253"/>
    </row>
    <row r="3117" spans="6:6" x14ac:dyDescent="0.2">
      <c r="F3117" s="253"/>
    </row>
    <row r="3118" spans="6:6" x14ac:dyDescent="0.2">
      <c r="F3118" s="253"/>
    </row>
    <row r="3119" spans="6:6" x14ac:dyDescent="0.2">
      <c r="F3119" s="253"/>
    </row>
    <row r="3120" spans="6:6" x14ac:dyDescent="0.2">
      <c r="F3120" s="253"/>
    </row>
    <row r="3121" spans="6:6" x14ac:dyDescent="0.2">
      <c r="F3121" s="253"/>
    </row>
    <row r="3122" spans="6:6" x14ac:dyDescent="0.2">
      <c r="F3122" s="253"/>
    </row>
    <row r="3123" spans="6:6" x14ac:dyDescent="0.2">
      <c r="F3123" s="253"/>
    </row>
    <row r="3124" spans="6:6" x14ac:dyDescent="0.2">
      <c r="F3124" s="253"/>
    </row>
    <row r="3125" spans="6:6" x14ac:dyDescent="0.2">
      <c r="F3125" s="253"/>
    </row>
    <row r="3126" spans="6:6" x14ac:dyDescent="0.2">
      <c r="F3126" s="253"/>
    </row>
    <row r="3127" spans="6:6" x14ac:dyDescent="0.2">
      <c r="F3127" s="253"/>
    </row>
    <row r="3128" spans="6:6" x14ac:dyDescent="0.2">
      <c r="F3128" s="253"/>
    </row>
    <row r="3129" spans="6:6" x14ac:dyDescent="0.2">
      <c r="F3129" s="253"/>
    </row>
    <row r="3130" spans="6:6" x14ac:dyDescent="0.2">
      <c r="F3130" s="253"/>
    </row>
    <row r="3131" spans="6:6" x14ac:dyDescent="0.2">
      <c r="F3131" s="253"/>
    </row>
    <row r="3132" spans="6:6" x14ac:dyDescent="0.2">
      <c r="F3132" s="253"/>
    </row>
    <row r="3133" spans="6:6" x14ac:dyDescent="0.2">
      <c r="F3133" s="253"/>
    </row>
    <row r="3134" spans="6:6" x14ac:dyDescent="0.2">
      <c r="F3134" s="253"/>
    </row>
    <row r="3135" spans="6:6" x14ac:dyDescent="0.2">
      <c r="F3135" s="253"/>
    </row>
    <row r="3136" spans="6:6" x14ac:dyDescent="0.2">
      <c r="F3136" s="253"/>
    </row>
    <row r="3137" spans="6:6" x14ac:dyDescent="0.2">
      <c r="F3137" s="253"/>
    </row>
    <row r="3138" spans="6:6" x14ac:dyDescent="0.2">
      <c r="F3138" s="253"/>
    </row>
    <row r="3139" spans="6:6" x14ac:dyDescent="0.2">
      <c r="F3139" s="253"/>
    </row>
    <row r="3140" spans="6:6" x14ac:dyDescent="0.2">
      <c r="F3140" s="253"/>
    </row>
    <row r="3141" spans="6:6" x14ac:dyDescent="0.2">
      <c r="F3141" s="253"/>
    </row>
    <row r="3142" spans="6:6" x14ac:dyDescent="0.2">
      <c r="F3142" s="253"/>
    </row>
    <row r="3143" spans="6:6" x14ac:dyDescent="0.2">
      <c r="F3143" s="253"/>
    </row>
    <row r="3144" spans="6:6" x14ac:dyDescent="0.2">
      <c r="F3144" s="253"/>
    </row>
    <row r="3145" spans="6:6" x14ac:dyDescent="0.2">
      <c r="F3145" s="253"/>
    </row>
    <row r="3146" spans="6:6" x14ac:dyDescent="0.2">
      <c r="F3146" s="253"/>
    </row>
    <row r="3147" spans="6:6" x14ac:dyDescent="0.2">
      <c r="F3147" s="253"/>
    </row>
    <row r="3148" spans="6:6" x14ac:dyDescent="0.2">
      <c r="F3148" s="253"/>
    </row>
    <row r="3149" spans="6:6" x14ac:dyDescent="0.2">
      <c r="F3149" s="253"/>
    </row>
    <row r="3150" spans="6:6" x14ac:dyDescent="0.2">
      <c r="F3150" s="253"/>
    </row>
    <row r="3151" spans="6:6" x14ac:dyDescent="0.2">
      <c r="F3151" s="253"/>
    </row>
    <row r="3152" spans="6:6" x14ac:dyDescent="0.2">
      <c r="F3152" s="253"/>
    </row>
    <row r="3153" spans="6:6" x14ac:dyDescent="0.2">
      <c r="F3153" s="253"/>
    </row>
    <row r="3154" spans="6:6" x14ac:dyDescent="0.2">
      <c r="F3154" s="253"/>
    </row>
    <row r="3155" spans="6:6" x14ac:dyDescent="0.2">
      <c r="F3155" s="253"/>
    </row>
    <row r="3156" spans="6:6" x14ac:dyDescent="0.2">
      <c r="F3156" s="253"/>
    </row>
    <row r="3157" spans="6:6" x14ac:dyDescent="0.2">
      <c r="F3157" s="253"/>
    </row>
    <row r="3158" spans="6:6" x14ac:dyDescent="0.2">
      <c r="F3158" s="253"/>
    </row>
    <row r="3159" spans="6:6" x14ac:dyDescent="0.2">
      <c r="F3159" s="253"/>
    </row>
    <row r="3160" spans="6:6" x14ac:dyDescent="0.2">
      <c r="F3160" s="253"/>
    </row>
    <row r="3161" spans="6:6" x14ac:dyDescent="0.2">
      <c r="F3161" s="253"/>
    </row>
    <row r="3162" spans="6:6" x14ac:dyDescent="0.2">
      <c r="F3162" s="253"/>
    </row>
    <row r="3163" spans="6:6" x14ac:dyDescent="0.2">
      <c r="F3163" s="253"/>
    </row>
    <row r="3164" spans="6:6" x14ac:dyDescent="0.2">
      <c r="F3164" s="253"/>
    </row>
    <row r="3165" spans="6:6" x14ac:dyDescent="0.2">
      <c r="F3165" s="253"/>
    </row>
    <row r="3166" spans="6:6" x14ac:dyDescent="0.2">
      <c r="F3166" s="253"/>
    </row>
    <row r="3167" spans="6:6" x14ac:dyDescent="0.2">
      <c r="F3167" s="253"/>
    </row>
    <row r="3168" spans="6:6" x14ac:dyDescent="0.2">
      <c r="F3168" s="253"/>
    </row>
    <row r="3169" spans="6:6" x14ac:dyDescent="0.2">
      <c r="F3169" s="253"/>
    </row>
    <row r="3170" spans="6:6" x14ac:dyDescent="0.2">
      <c r="F3170" s="253"/>
    </row>
    <row r="3171" spans="6:6" x14ac:dyDescent="0.2">
      <c r="F3171" s="253"/>
    </row>
    <row r="3172" spans="6:6" x14ac:dyDescent="0.2">
      <c r="F3172" s="253"/>
    </row>
    <row r="3173" spans="6:6" x14ac:dyDescent="0.2">
      <c r="F3173" s="253"/>
    </row>
    <row r="3174" spans="6:6" x14ac:dyDescent="0.2">
      <c r="F3174" s="253"/>
    </row>
    <row r="3175" spans="6:6" x14ac:dyDescent="0.2">
      <c r="F3175" s="253"/>
    </row>
    <row r="3176" spans="6:6" x14ac:dyDescent="0.2">
      <c r="F3176" s="253"/>
    </row>
    <row r="3177" spans="6:6" x14ac:dyDescent="0.2">
      <c r="F3177" s="253"/>
    </row>
    <row r="3178" spans="6:6" x14ac:dyDescent="0.2">
      <c r="F3178" s="253"/>
    </row>
    <row r="3179" spans="6:6" x14ac:dyDescent="0.2">
      <c r="F3179" s="253"/>
    </row>
    <row r="3180" spans="6:6" x14ac:dyDescent="0.2">
      <c r="F3180" s="253"/>
    </row>
    <row r="3181" spans="6:6" x14ac:dyDescent="0.2">
      <c r="F3181" s="253"/>
    </row>
    <row r="3182" spans="6:6" x14ac:dyDescent="0.2">
      <c r="F3182" s="253"/>
    </row>
    <row r="3183" spans="6:6" x14ac:dyDescent="0.2">
      <c r="F3183" s="253"/>
    </row>
    <row r="3184" spans="6:6" x14ac:dyDescent="0.2">
      <c r="F3184" s="253"/>
    </row>
    <row r="3185" spans="6:6" x14ac:dyDescent="0.2">
      <c r="F3185" s="253"/>
    </row>
    <row r="3186" spans="6:6" x14ac:dyDescent="0.2">
      <c r="F3186" s="253"/>
    </row>
    <row r="3187" spans="6:6" x14ac:dyDescent="0.2">
      <c r="F3187" s="253"/>
    </row>
    <row r="3188" spans="6:6" x14ac:dyDescent="0.2">
      <c r="F3188" s="253"/>
    </row>
    <row r="3189" spans="6:6" x14ac:dyDescent="0.2">
      <c r="F3189" s="253"/>
    </row>
    <row r="3190" spans="6:6" x14ac:dyDescent="0.2">
      <c r="F3190" s="253"/>
    </row>
    <row r="3191" spans="6:6" x14ac:dyDescent="0.2">
      <c r="F3191" s="253"/>
    </row>
    <row r="3192" spans="6:6" x14ac:dyDescent="0.2">
      <c r="F3192" s="253"/>
    </row>
    <row r="3193" spans="6:6" x14ac:dyDescent="0.2">
      <c r="F3193" s="253"/>
    </row>
    <row r="3194" spans="6:6" x14ac:dyDescent="0.2">
      <c r="F3194" s="253"/>
    </row>
    <row r="3195" spans="6:6" x14ac:dyDescent="0.2">
      <c r="F3195" s="253"/>
    </row>
    <row r="3196" spans="6:6" x14ac:dyDescent="0.2">
      <c r="F3196" s="253"/>
    </row>
    <row r="3197" spans="6:6" x14ac:dyDescent="0.2">
      <c r="F3197" s="253"/>
    </row>
    <row r="3198" spans="6:6" x14ac:dyDescent="0.2">
      <c r="F3198" s="253"/>
    </row>
    <row r="3199" spans="6:6" x14ac:dyDescent="0.2">
      <c r="F3199" s="253"/>
    </row>
    <row r="3200" spans="6:6" x14ac:dyDescent="0.2">
      <c r="F3200" s="253"/>
    </row>
    <row r="3201" spans="6:6" x14ac:dyDescent="0.2">
      <c r="F3201" s="253"/>
    </row>
    <row r="3202" spans="6:6" x14ac:dyDescent="0.2">
      <c r="F3202" s="253"/>
    </row>
    <row r="3203" spans="6:6" x14ac:dyDescent="0.2">
      <c r="F3203" s="253"/>
    </row>
    <row r="3204" spans="6:6" x14ac:dyDescent="0.2">
      <c r="F3204" s="253"/>
    </row>
    <row r="3205" spans="6:6" x14ac:dyDescent="0.2">
      <c r="F3205" s="253"/>
    </row>
    <row r="3206" spans="6:6" x14ac:dyDescent="0.2">
      <c r="F3206" s="253"/>
    </row>
    <row r="3207" spans="6:6" x14ac:dyDescent="0.2">
      <c r="F3207" s="253"/>
    </row>
    <row r="3208" spans="6:6" x14ac:dyDescent="0.2">
      <c r="F3208" s="253"/>
    </row>
    <row r="3209" spans="6:6" x14ac:dyDescent="0.2">
      <c r="F3209" s="253"/>
    </row>
    <row r="3210" spans="6:6" x14ac:dyDescent="0.2">
      <c r="F3210" s="253"/>
    </row>
    <row r="3211" spans="6:6" x14ac:dyDescent="0.2">
      <c r="F3211" s="253"/>
    </row>
    <row r="3212" spans="6:6" x14ac:dyDescent="0.2">
      <c r="F3212" s="253"/>
    </row>
    <row r="3213" spans="6:6" x14ac:dyDescent="0.2">
      <c r="F3213" s="253"/>
    </row>
    <row r="3214" spans="6:6" x14ac:dyDescent="0.2">
      <c r="F3214" s="253"/>
    </row>
    <row r="3215" spans="6:6" x14ac:dyDescent="0.2">
      <c r="F3215" s="253"/>
    </row>
    <row r="3216" spans="6:6" x14ac:dyDescent="0.2">
      <c r="F3216" s="253"/>
    </row>
    <row r="3217" spans="6:6" x14ac:dyDescent="0.2">
      <c r="F3217" s="253"/>
    </row>
    <row r="3218" spans="6:6" x14ac:dyDescent="0.2">
      <c r="F3218" s="253"/>
    </row>
    <row r="3219" spans="6:6" x14ac:dyDescent="0.2">
      <c r="F3219" s="253"/>
    </row>
    <row r="3220" spans="6:6" x14ac:dyDescent="0.2">
      <c r="F3220" s="253"/>
    </row>
    <row r="3221" spans="6:6" x14ac:dyDescent="0.2">
      <c r="F3221" s="253"/>
    </row>
    <row r="3222" spans="6:6" x14ac:dyDescent="0.2">
      <c r="F3222" s="253"/>
    </row>
    <row r="3223" spans="6:6" x14ac:dyDescent="0.2">
      <c r="F3223" s="253"/>
    </row>
    <row r="3224" spans="6:6" x14ac:dyDescent="0.2">
      <c r="F3224" s="253"/>
    </row>
    <row r="3225" spans="6:6" x14ac:dyDescent="0.2">
      <c r="F3225" s="253"/>
    </row>
    <row r="3226" spans="6:6" x14ac:dyDescent="0.2">
      <c r="F3226" s="253"/>
    </row>
    <row r="3227" spans="6:6" x14ac:dyDescent="0.2">
      <c r="F3227" s="253"/>
    </row>
    <row r="3228" spans="6:6" x14ac:dyDescent="0.2">
      <c r="F3228" s="253"/>
    </row>
    <row r="3229" spans="6:6" x14ac:dyDescent="0.2">
      <c r="F3229" s="253"/>
    </row>
    <row r="3230" spans="6:6" x14ac:dyDescent="0.2">
      <c r="F3230" s="253"/>
    </row>
    <row r="3231" spans="6:6" x14ac:dyDescent="0.2">
      <c r="F3231" s="253"/>
    </row>
    <row r="3232" spans="6:6" x14ac:dyDescent="0.2">
      <c r="F3232" s="253"/>
    </row>
    <row r="3233" spans="6:6" x14ac:dyDescent="0.2">
      <c r="F3233" s="253"/>
    </row>
    <row r="3234" spans="6:6" x14ac:dyDescent="0.2">
      <c r="F3234" s="253"/>
    </row>
    <row r="3235" spans="6:6" x14ac:dyDescent="0.2">
      <c r="F3235" s="253"/>
    </row>
    <row r="3236" spans="6:6" x14ac:dyDescent="0.2">
      <c r="F3236" s="253"/>
    </row>
    <row r="3237" spans="6:6" x14ac:dyDescent="0.2">
      <c r="F3237" s="253"/>
    </row>
    <row r="3238" spans="6:6" x14ac:dyDescent="0.2">
      <c r="F3238" s="253"/>
    </row>
    <row r="3239" spans="6:6" x14ac:dyDescent="0.2">
      <c r="F3239" s="253"/>
    </row>
    <row r="3240" spans="6:6" x14ac:dyDescent="0.2">
      <c r="F3240" s="253"/>
    </row>
    <row r="3241" spans="6:6" x14ac:dyDescent="0.2">
      <c r="F3241" s="253"/>
    </row>
    <row r="3242" spans="6:6" x14ac:dyDescent="0.2">
      <c r="F3242" s="253"/>
    </row>
    <row r="3243" spans="6:6" x14ac:dyDescent="0.2">
      <c r="F3243" s="253"/>
    </row>
    <row r="3244" spans="6:6" x14ac:dyDescent="0.2">
      <c r="F3244" s="253"/>
    </row>
    <row r="3245" spans="6:6" x14ac:dyDescent="0.2">
      <c r="F3245" s="253"/>
    </row>
    <row r="3246" spans="6:6" x14ac:dyDescent="0.2">
      <c r="F3246" s="253"/>
    </row>
    <row r="3247" spans="6:6" x14ac:dyDescent="0.2">
      <c r="F3247" s="253"/>
    </row>
    <row r="3248" spans="6:6" x14ac:dyDescent="0.2">
      <c r="F3248" s="253"/>
    </row>
    <row r="3249" spans="6:6" x14ac:dyDescent="0.2">
      <c r="F3249" s="253"/>
    </row>
    <row r="3250" spans="6:6" x14ac:dyDescent="0.2">
      <c r="F3250" s="253"/>
    </row>
    <row r="3251" spans="6:6" x14ac:dyDescent="0.2">
      <c r="F3251" s="253"/>
    </row>
    <row r="3252" spans="6:6" x14ac:dyDescent="0.2">
      <c r="F3252" s="253"/>
    </row>
    <row r="3253" spans="6:6" x14ac:dyDescent="0.2">
      <c r="F3253" s="253"/>
    </row>
    <row r="3254" spans="6:6" x14ac:dyDescent="0.2">
      <c r="F3254" s="253"/>
    </row>
    <row r="3255" spans="6:6" x14ac:dyDescent="0.2">
      <c r="F3255" s="253"/>
    </row>
    <row r="3256" spans="6:6" x14ac:dyDescent="0.2">
      <c r="F3256" s="253"/>
    </row>
    <row r="3257" spans="6:6" x14ac:dyDescent="0.2">
      <c r="F3257" s="253"/>
    </row>
    <row r="3258" spans="6:6" x14ac:dyDescent="0.2">
      <c r="F3258" s="253"/>
    </row>
    <row r="3259" spans="6:6" x14ac:dyDescent="0.2">
      <c r="F3259" s="253"/>
    </row>
    <row r="3260" spans="6:6" x14ac:dyDescent="0.2">
      <c r="F3260" s="253"/>
    </row>
    <row r="3261" spans="6:6" x14ac:dyDescent="0.2">
      <c r="F3261" s="253"/>
    </row>
    <row r="3262" spans="6:6" x14ac:dyDescent="0.2">
      <c r="F3262" s="253"/>
    </row>
    <row r="3263" spans="6:6" x14ac:dyDescent="0.2">
      <c r="F3263" s="253"/>
    </row>
    <row r="3264" spans="6:6" x14ac:dyDescent="0.2">
      <c r="F3264" s="253"/>
    </row>
    <row r="3265" spans="6:6" x14ac:dyDescent="0.2">
      <c r="F3265" s="253"/>
    </row>
    <row r="3266" spans="6:6" x14ac:dyDescent="0.2">
      <c r="F3266" s="253"/>
    </row>
    <row r="3267" spans="6:6" x14ac:dyDescent="0.2">
      <c r="F3267" s="253"/>
    </row>
    <row r="3268" spans="6:6" x14ac:dyDescent="0.2">
      <c r="F3268" s="253"/>
    </row>
    <row r="3269" spans="6:6" x14ac:dyDescent="0.2">
      <c r="F3269" s="253"/>
    </row>
    <row r="3270" spans="6:6" x14ac:dyDescent="0.2">
      <c r="F3270" s="253"/>
    </row>
    <row r="3271" spans="6:6" x14ac:dyDescent="0.2">
      <c r="F3271" s="253"/>
    </row>
    <row r="3272" spans="6:6" x14ac:dyDescent="0.2">
      <c r="F3272" s="253"/>
    </row>
    <row r="3273" spans="6:6" x14ac:dyDescent="0.2">
      <c r="F3273" s="253"/>
    </row>
    <row r="3274" spans="6:6" x14ac:dyDescent="0.2">
      <c r="F3274" s="253"/>
    </row>
    <row r="3275" spans="6:6" x14ac:dyDescent="0.2">
      <c r="F3275" s="253"/>
    </row>
    <row r="3276" spans="6:6" x14ac:dyDescent="0.2">
      <c r="F3276" s="253"/>
    </row>
    <row r="3277" spans="6:6" x14ac:dyDescent="0.2">
      <c r="F3277" s="253"/>
    </row>
    <row r="3278" spans="6:6" x14ac:dyDescent="0.2">
      <c r="F3278" s="253"/>
    </row>
    <row r="3279" spans="6:6" x14ac:dyDescent="0.2">
      <c r="F3279" s="253"/>
    </row>
    <row r="3280" spans="6:6" x14ac:dyDescent="0.2">
      <c r="F3280" s="253"/>
    </row>
    <row r="3281" spans="6:6" x14ac:dyDescent="0.2">
      <c r="F3281" s="253"/>
    </row>
    <row r="3282" spans="6:6" x14ac:dyDescent="0.2">
      <c r="F3282" s="253"/>
    </row>
    <row r="3283" spans="6:6" x14ac:dyDescent="0.2">
      <c r="F3283" s="253"/>
    </row>
    <row r="3284" spans="6:6" x14ac:dyDescent="0.2">
      <c r="F3284" s="253"/>
    </row>
    <row r="3285" spans="6:6" x14ac:dyDescent="0.2">
      <c r="F3285" s="253"/>
    </row>
    <row r="3286" spans="6:6" x14ac:dyDescent="0.2">
      <c r="F3286" s="253"/>
    </row>
    <row r="3287" spans="6:6" x14ac:dyDescent="0.2">
      <c r="F3287" s="253"/>
    </row>
    <row r="3288" spans="6:6" x14ac:dyDescent="0.2">
      <c r="F3288" s="253"/>
    </row>
    <row r="3289" spans="6:6" x14ac:dyDescent="0.2">
      <c r="F3289" s="253"/>
    </row>
    <row r="3290" spans="6:6" x14ac:dyDescent="0.2">
      <c r="F3290" s="253"/>
    </row>
    <row r="3291" spans="6:6" x14ac:dyDescent="0.2">
      <c r="F3291" s="253"/>
    </row>
    <row r="3292" spans="6:6" x14ac:dyDescent="0.2">
      <c r="F3292" s="253"/>
    </row>
    <row r="3293" spans="6:6" x14ac:dyDescent="0.2">
      <c r="F3293" s="253"/>
    </row>
    <row r="3294" spans="6:6" x14ac:dyDescent="0.2">
      <c r="F3294" s="253"/>
    </row>
    <row r="3295" spans="6:6" x14ac:dyDescent="0.2">
      <c r="F3295" s="253"/>
    </row>
    <row r="3296" spans="6:6" x14ac:dyDescent="0.2">
      <c r="F3296" s="253"/>
    </row>
    <row r="3297" spans="6:6" x14ac:dyDescent="0.2">
      <c r="F3297" s="253"/>
    </row>
    <row r="3298" spans="6:6" x14ac:dyDescent="0.2">
      <c r="F3298" s="253"/>
    </row>
    <row r="3299" spans="6:6" x14ac:dyDescent="0.2">
      <c r="F3299" s="253"/>
    </row>
    <row r="3300" spans="6:6" x14ac:dyDescent="0.2">
      <c r="F3300" s="253"/>
    </row>
    <row r="3301" spans="6:6" x14ac:dyDescent="0.2">
      <c r="F3301" s="253"/>
    </row>
    <row r="3302" spans="6:6" x14ac:dyDescent="0.2">
      <c r="F3302" s="253"/>
    </row>
    <row r="3303" spans="6:6" x14ac:dyDescent="0.2">
      <c r="F3303" s="253"/>
    </row>
    <row r="3304" spans="6:6" x14ac:dyDescent="0.2">
      <c r="F3304" s="253"/>
    </row>
    <row r="3305" spans="6:6" x14ac:dyDescent="0.2">
      <c r="F3305" s="253"/>
    </row>
    <row r="3306" spans="6:6" x14ac:dyDescent="0.2">
      <c r="F3306" s="253"/>
    </row>
    <row r="3307" spans="6:6" x14ac:dyDescent="0.2">
      <c r="F3307" s="253"/>
    </row>
    <row r="3308" spans="6:6" x14ac:dyDescent="0.2">
      <c r="F3308" s="253"/>
    </row>
    <row r="3309" spans="6:6" x14ac:dyDescent="0.2">
      <c r="F3309" s="253"/>
    </row>
    <row r="3310" spans="6:6" x14ac:dyDescent="0.2">
      <c r="F3310" s="253"/>
    </row>
    <row r="3311" spans="6:6" x14ac:dyDescent="0.2">
      <c r="F3311" s="253"/>
    </row>
    <row r="3312" spans="6:6" x14ac:dyDescent="0.2">
      <c r="F3312" s="253"/>
    </row>
    <row r="3313" spans="6:6" x14ac:dyDescent="0.2">
      <c r="F3313" s="253"/>
    </row>
    <row r="3314" spans="6:6" x14ac:dyDescent="0.2">
      <c r="F3314" s="253"/>
    </row>
    <row r="3315" spans="6:6" x14ac:dyDescent="0.2">
      <c r="F3315" s="253"/>
    </row>
    <row r="3316" spans="6:6" x14ac:dyDescent="0.2">
      <c r="F3316" s="253"/>
    </row>
    <row r="3317" spans="6:6" x14ac:dyDescent="0.2">
      <c r="F3317" s="253"/>
    </row>
    <row r="3318" spans="6:6" x14ac:dyDescent="0.2">
      <c r="F3318" s="253"/>
    </row>
    <row r="3319" spans="6:6" x14ac:dyDescent="0.2">
      <c r="F3319" s="253"/>
    </row>
    <row r="3320" spans="6:6" x14ac:dyDescent="0.2">
      <c r="F3320" s="253"/>
    </row>
    <row r="3321" spans="6:6" x14ac:dyDescent="0.2">
      <c r="F3321" s="253"/>
    </row>
    <row r="3322" spans="6:6" x14ac:dyDescent="0.2">
      <c r="F3322" s="253"/>
    </row>
    <row r="3323" spans="6:6" x14ac:dyDescent="0.2">
      <c r="F3323" s="253"/>
    </row>
    <row r="3324" spans="6:6" x14ac:dyDescent="0.2">
      <c r="F3324" s="253"/>
    </row>
    <row r="3325" spans="6:6" x14ac:dyDescent="0.2">
      <c r="F3325" s="253"/>
    </row>
    <row r="3326" spans="6:6" x14ac:dyDescent="0.2">
      <c r="F3326" s="253"/>
    </row>
    <row r="3327" spans="6:6" x14ac:dyDescent="0.2">
      <c r="F3327" s="253"/>
    </row>
    <row r="3328" spans="6:6" x14ac:dyDescent="0.2">
      <c r="F3328" s="253"/>
    </row>
    <row r="3329" spans="6:6" x14ac:dyDescent="0.2">
      <c r="F3329" s="253"/>
    </row>
    <row r="3330" spans="6:6" x14ac:dyDescent="0.2">
      <c r="F3330" s="253"/>
    </row>
    <row r="3331" spans="6:6" x14ac:dyDescent="0.2">
      <c r="F3331" s="253"/>
    </row>
    <row r="3332" spans="6:6" x14ac:dyDescent="0.2">
      <c r="F3332" s="253"/>
    </row>
    <row r="3333" spans="6:6" x14ac:dyDescent="0.2">
      <c r="F3333" s="253"/>
    </row>
    <row r="3334" spans="6:6" x14ac:dyDescent="0.2">
      <c r="F3334" s="253"/>
    </row>
    <row r="3335" spans="6:6" x14ac:dyDescent="0.2">
      <c r="F3335" s="253"/>
    </row>
    <row r="3336" spans="6:6" x14ac:dyDescent="0.2">
      <c r="F3336" s="253"/>
    </row>
    <row r="3337" spans="6:6" x14ac:dyDescent="0.2">
      <c r="F3337" s="253"/>
    </row>
    <row r="3338" spans="6:6" x14ac:dyDescent="0.2">
      <c r="F3338" s="253"/>
    </row>
    <row r="3339" spans="6:6" x14ac:dyDescent="0.2">
      <c r="F3339" s="253"/>
    </row>
    <row r="3340" spans="6:6" x14ac:dyDescent="0.2">
      <c r="F3340" s="253"/>
    </row>
    <row r="3341" spans="6:6" x14ac:dyDescent="0.2">
      <c r="F3341" s="253"/>
    </row>
    <row r="3342" spans="6:6" x14ac:dyDescent="0.2">
      <c r="F3342" s="253"/>
    </row>
    <row r="3343" spans="6:6" x14ac:dyDescent="0.2">
      <c r="F3343" s="253"/>
    </row>
    <row r="3344" spans="6:6" x14ac:dyDescent="0.2">
      <c r="F3344" s="253"/>
    </row>
    <row r="3345" spans="6:6" x14ac:dyDescent="0.2">
      <c r="F3345" s="253"/>
    </row>
    <row r="3346" spans="6:6" x14ac:dyDescent="0.2">
      <c r="F3346" s="253"/>
    </row>
    <row r="3347" spans="6:6" x14ac:dyDescent="0.2">
      <c r="F3347" s="253"/>
    </row>
    <row r="3348" spans="6:6" x14ac:dyDescent="0.2">
      <c r="F3348" s="253"/>
    </row>
    <row r="3349" spans="6:6" x14ac:dyDescent="0.2">
      <c r="F3349" s="253"/>
    </row>
    <row r="3350" spans="6:6" x14ac:dyDescent="0.2">
      <c r="F3350" s="253"/>
    </row>
    <row r="3351" spans="6:6" x14ac:dyDescent="0.2">
      <c r="F3351" s="253"/>
    </row>
    <row r="3352" spans="6:6" x14ac:dyDescent="0.2">
      <c r="F3352" s="253"/>
    </row>
    <row r="3353" spans="6:6" x14ac:dyDescent="0.2">
      <c r="F3353" s="253"/>
    </row>
    <row r="3354" spans="6:6" x14ac:dyDescent="0.2">
      <c r="F3354" s="253"/>
    </row>
    <row r="3355" spans="6:6" x14ac:dyDescent="0.2">
      <c r="F3355" s="253"/>
    </row>
    <row r="3356" spans="6:6" x14ac:dyDescent="0.2">
      <c r="F3356" s="253"/>
    </row>
    <row r="3357" spans="6:6" x14ac:dyDescent="0.2">
      <c r="F3357" s="253"/>
    </row>
    <row r="3358" spans="6:6" x14ac:dyDescent="0.2">
      <c r="F3358" s="253"/>
    </row>
    <row r="3359" spans="6:6" x14ac:dyDescent="0.2">
      <c r="F3359" s="253"/>
    </row>
    <row r="3360" spans="6:6" x14ac:dyDescent="0.2">
      <c r="F3360" s="253"/>
    </row>
    <row r="3361" spans="6:6" x14ac:dyDescent="0.2">
      <c r="F3361" s="253"/>
    </row>
    <row r="3362" spans="6:6" x14ac:dyDescent="0.2">
      <c r="F3362" s="253"/>
    </row>
    <row r="3363" spans="6:6" x14ac:dyDescent="0.2">
      <c r="F3363" s="253"/>
    </row>
    <row r="3364" spans="6:6" x14ac:dyDescent="0.2">
      <c r="F3364" s="253"/>
    </row>
    <row r="3365" spans="6:6" x14ac:dyDescent="0.2">
      <c r="F3365" s="253"/>
    </row>
    <row r="3366" spans="6:6" x14ac:dyDescent="0.2">
      <c r="F3366" s="253"/>
    </row>
    <row r="3367" spans="6:6" x14ac:dyDescent="0.2">
      <c r="F3367" s="253"/>
    </row>
    <row r="3368" spans="6:6" x14ac:dyDescent="0.2">
      <c r="F3368" s="253"/>
    </row>
    <row r="3369" spans="6:6" x14ac:dyDescent="0.2">
      <c r="F3369" s="253"/>
    </row>
    <row r="3370" spans="6:6" x14ac:dyDescent="0.2">
      <c r="F3370" s="253"/>
    </row>
    <row r="3371" spans="6:6" x14ac:dyDescent="0.2">
      <c r="F3371" s="253"/>
    </row>
    <row r="3372" spans="6:6" x14ac:dyDescent="0.2">
      <c r="F3372" s="253"/>
    </row>
    <row r="3373" spans="6:6" x14ac:dyDescent="0.2">
      <c r="F3373" s="253"/>
    </row>
    <row r="3374" spans="6:6" x14ac:dyDescent="0.2">
      <c r="F3374" s="253"/>
    </row>
    <row r="3375" spans="6:6" x14ac:dyDescent="0.2">
      <c r="F3375" s="253"/>
    </row>
    <row r="3376" spans="6:6" x14ac:dyDescent="0.2">
      <c r="F3376" s="253"/>
    </row>
    <row r="3377" spans="6:6" x14ac:dyDescent="0.2">
      <c r="F3377" s="253"/>
    </row>
    <row r="3378" spans="6:6" x14ac:dyDescent="0.2">
      <c r="F3378" s="253"/>
    </row>
    <row r="3379" spans="6:6" x14ac:dyDescent="0.2">
      <c r="F3379" s="253"/>
    </row>
    <row r="3380" spans="6:6" x14ac:dyDescent="0.2">
      <c r="F3380" s="253"/>
    </row>
    <row r="3381" spans="6:6" x14ac:dyDescent="0.2">
      <c r="F3381" s="253"/>
    </row>
    <row r="3382" spans="6:6" x14ac:dyDescent="0.2">
      <c r="F3382" s="253"/>
    </row>
    <row r="3383" spans="6:6" x14ac:dyDescent="0.2">
      <c r="F3383" s="253"/>
    </row>
    <row r="3384" spans="6:6" x14ac:dyDescent="0.2">
      <c r="F3384" s="253"/>
    </row>
    <row r="3385" spans="6:6" x14ac:dyDescent="0.2">
      <c r="F3385" s="253"/>
    </row>
    <row r="3386" spans="6:6" x14ac:dyDescent="0.2">
      <c r="F3386" s="253"/>
    </row>
    <row r="3387" spans="6:6" x14ac:dyDescent="0.2">
      <c r="F3387" s="253"/>
    </row>
    <row r="3388" spans="6:6" x14ac:dyDescent="0.2">
      <c r="F3388" s="253"/>
    </row>
    <row r="3389" spans="6:6" x14ac:dyDescent="0.2">
      <c r="F3389" s="253"/>
    </row>
    <row r="3390" spans="6:6" x14ac:dyDescent="0.2">
      <c r="F3390" s="253"/>
    </row>
    <row r="3391" spans="6:6" x14ac:dyDescent="0.2">
      <c r="F3391" s="253"/>
    </row>
    <row r="3392" spans="6:6" x14ac:dyDescent="0.2">
      <c r="F3392" s="253"/>
    </row>
    <row r="3393" spans="6:6" x14ac:dyDescent="0.2">
      <c r="F3393" s="253"/>
    </row>
    <row r="3394" spans="6:6" x14ac:dyDescent="0.2">
      <c r="F3394" s="253"/>
    </row>
    <row r="3395" spans="6:6" x14ac:dyDescent="0.2">
      <c r="F3395" s="253"/>
    </row>
    <row r="3396" spans="6:6" x14ac:dyDescent="0.2">
      <c r="F3396" s="253"/>
    </row>
    <row r="3397" spans="6:6" x14ac:dyDescent="0.2">
      <c r="F3397" s="253"/>
    </row>
    <row r="3398" spans="6:6" x14ac:dyDescent="0.2">
      <c r="F3398" s="253"/>
    </row>
    <row r="3399" spans="6:6" x14ac:dyDescent="0.2">
      <c r="F3399" s="253"/>
    </row>
    <row r="3400" spans="6:6" x14ac:dyDescent="0.2">
      <c r="F3400" s="253"/>
    </row>
    <row r="3401" spans="6:6" x14ac:dyDescent="0.2">
      <c r="F3401" s="253"/>
    </row>
    <row r="3402" spans="6:6" x14ac:dyDescent="0.2">
      <c r="F3402" s="253"/>
    </row>
    <row r="3403" spans="6:6" x14ac:dyDescent="0.2">
      <c r="F3403" s="253"/>
    </row>
    <row r="3404" spans="6:6" x14ac:dyDescent="0.2">
      <c r="F3404" s="253"/>
    </row>
    <row r="3405" spans="6:6" x14ac:dyDescent="0.2">
      <c r="F3405" s="253"/>
    </row>
    <row r="3406" spans="6:6" x14ac:dyDescent="0.2">
      <c r="F3406" s="253"/>
    </row>
    <row r="3407" spans="6:6" x14ac:dyDescent="0.2">
      <c r="F3407" s="253"/>
    </row>
    <row r="3408" spans="6:6" x14ac:dyDescent="0.2">
      <c r="F3408" s="253"/>
    </row>
    <row r="3409" spans="6:6" x14ac:dyDescent="0.2">
      <c r="F3409" s="253"/>
    </row>
    <row r="3410" spans="6:6" x14ac:dyDescent="0.2">
      <c r="F3410" s="253"/>
    </row>
    <row r="3411" spans="6:6" x14ac:dyDescent="0.2">
      <c r="F3411" s="253"/>
    </row>
    <row r="3412" spans="6:6" x14ac:dyDescent="0.2">
      <c r="F3412" s="253"/>
    </row>
    <row r="3413" spans="6:6" x14ac:dyDescent="0.2">
      <c r="F3413" s="253"/>
    </row>
    <row r="3414" spans="6:6" x14ac:dyDescent="0.2">
      <c r="F3414" s="253"/>
    </row>
    <row r="3415" spans="6:6" x14ac:dyDescent="0.2">
      <c r="F3415" s="253"/>
    </row>
    <row r="3416" spans="6:6" x14ac:dyDescent="0.2">
      <c r="F3416" s="253"/>
    </row>
    <row r="3417" spans="6:6" x14ac:dyDescent="0.2">
      <c r="F3417" s="253"/>
    </row>
    <row r="3418" spans="6:6" x14ac:dyDescent="0.2">
      <c r="F3418" s="253"/>
    </row>
    <row r="3419" spans="6:6" x14ac:dyDescent="0.2">
      <c r="F3419" s="253"/>
    </row>
    <row r="3420" spans="6:6" x14ac:dyDescent="0.2">
      <c r="F3420" s="253"/>
    </row>
    <row r="3421" spans="6:6" x14ac:dyDescent="0.2">
      <c r="F3421" s="253"/>
    </row>
    <row r="3422" spans="6:6" x14ac:dyDescent="0.2">
      <c r="F3422" s="253"/>
    </row>
    <row r="3423" spans="6:6" x14ac:dyDescent="0.2">
      <c r="F3423" s="253"/>
    </row>
    <row r="3424" spans="6:6" x14ac:dyDescent="0.2">
      <c r="F3424" s="253"/>
    </row>
    <row r="3425" spans="6:6" x14ac:dyDescent="0.2">
      <c r="F3425" s="253"/>
    </row>
    <row r="3426" spans="6:6" x14ac:dyDescent="0.2">
      <c r="F3426" s="253"/>
    </row>
    <row r="3427" spans="6:6" x14ac:dyDescent="0.2">
      <c r="F3427" s="253"/>
    </row>
    <row r="3428" spans="6:6" x14ac:dyDescent="0.2">
      <c r="F3428" s="253"/>
    </row>
    <row r="3429" spans="6:6" x14ac:dyDescent="0.2">
      <c r="F3429" s="253"/>
    </row>
    <row r="3430" spans="6:6" x14ac:dyDescent="0.2">
      <c r="F3430" s="253"/>
    </row>
    <row r="3431" spans="6:6" x14ac:dyDescent="0.2">
      <c r="F3431" s="253"/>
    </row>
    <row r="3432" spans="6:6" x14ac:dyDescent="0.2">
      <c r="F3432" s="253"/>
    </row>
    <row r="3433" spans="6:6" x14ac:dyDescent="0.2">
      <c r="F3433" s="253"/>
    </row>
    <row r="3434" spans="6:6" x14ac:dyDescent="0.2">
      <c r="F3434" s="253"/>
    </row>
    <row r="3435" spans="6:6" x14ac:dyDescent="0.2">
      <c r="F3435" s="253"/>
    </row>
    <row r="3436" spans="6:6" x14ac:dyDescent="0.2">
      <c r="F3436" s="253"/>
    </row>
    <row r="3437" spans="6:6" x14ac:dyDescent="0.2">
      <c r="F3437" s="253"/>
    </row>
    <row r="3438" spans="6:6" x14ac:dyDescent="0.2">
      <c r="F3438" s="253"/>
    </row>
    <row r="3439" spans="6:6" x14ac:dyDescent="0.2">
      <c r="F3439" s="253"/>
    </row>
    <row r="3440" spans="6:6" x14ac:dyDescent="0.2">
      <c r="F3440" s="253"/>
    </row>
    <row r="3441" spans="6:6" x14ac:dyDescent="0.2">
      <c r="F3441" s="253"/>
    </row>
    <row r="3442" spans="6:6" x14ac:dyDescent="0.2">
      <c r="F3442" s="253"/>
    </row>
    <row r="3443" spans="6:6" x14ac:dyDescent="0.2">
      <c r="F3443" s="253"/>
    </row>
    <row r="3444" spans="6:6" x14ac:dyDescent="0.2">
      <c r="F3444" s="253"/>
    </row>
    <row r="3445" spans="6:6" x14ac:dyDescent="0.2">
      <c r="F3445" s="253"/>
    </row>
    <row r="3446" spans="6:6" x14ac:dyDescent="0.2">
      <c r="F3446" s="253"/>
    </row>
    <row r="3447" spans="6:6" x14ac:dyDescent="0.2">
      <c r="F3447" s="253"/>
    </row>
    <row r="3448" spans="6:6" x14ac:dyDescent="0.2">
      <c r="F3448" s="253"/>
    </row>
    <row r="3449" spans="6:6" x14ac:dyDescent="0.2">
      <c r="F3449" s="253"/>
    </row>
    <row r="3450" spans="6:6" x14ac:dyDescent="0.2">
      <c r="F3450" s="253"/>
    </row>
    <row r="3451" spans="6:6" x14ac:dyDescent="0.2">
      <c r="F3451" s="253"/>
    </row>
    <row r="3452" spans="6:6" x14ac:dyDescent="0.2">
      <c r="F3452" s="253"/>
    </row>
    <row r="3453" spans="6:6" x14ac:dyDescent="0.2">
      <c r="F3453" s="253"/>
    </row>
    <row r="3454" spans="6:6" x14ac:dyDescent="0.2">
      <c r="F3454" s="253"/>
    </row>
    <row r="3455" spans="6:6" x14ac:dyDescent="0.2">
      <c r="F3455" s="253"/>
    </row>
    <row r="3456" spans="6:6" x14ac:dyDescent="0.2">
      <c r="F3456" s="253"/>
    </row>
    <row r="3457" spans="6:6" x14ac:dyDescent="0.2">
      <c r="F3457" s="253"/>
    </row>
    <row r="3458" spans="6:6" x14ac:dyDescent="0.2">
      <c r="F3458" s="253"/>
    </row>
    <row r="3459" spans="6:6" x14ac:dyDescent="0.2">
      <c r="F3459" s="253"/>
    </row>
    <row r="3460" spans="6:6" x14ac:dyDescent="0.2">
      <c r="F3460" s="253"/>
    </row>
    <row r="3461" spans="6:6" x14ac:dyDescent="0.2">
      <c r="F3461" s="253"/>
    </row>
    <row r="3462" spans="6:6" x14ac:dyDescent="0.2">
      <c r="F3462" s="253"/>
    </row>
    <row r="3463" spans="6:6" x14ac:dyDescent="0.2">
      <c r="F3463" s="253"/>
    </row>
    <row r="3464" spans="6:6" x14ac:dyDescent="0.2">
      <c r="F3464" s="253"/>
    </row>
    <row r="3465" spans="6:6" x14ac:dyDescent="0.2">
      <c r="F3465" s="253"/>
    </row>
    <row r="3466" spans="6:6" x14ac:dyDescent="0.2">
      <c r="F3466" s="253"/>
    </row>
    <row r="3467" spans="6:6" x14ac:dyDescent="0.2">
      <c r="F3467" s="253"/>
    </row>
    <row r="3468" spans="6:6" x14ac:dyDescent="0.2">
      <c r="F3468" s="253"/>
    </row>
    <row r="3469" spans="6:6" x14ac:dyDescent="0.2">
      <c r="F3469" s="253"/>
    </row>
    <row r="3470" spans="6:6" x14ac:dyDescent="0.2">
      <c r="F3470" s="253"/>
    </row>
    <row r="3471" spans="6:6" x14ac:dyDescent="0.2">
      <c r="F3471" s="253"/>
    </row>
    <row r="3472" spans="6:6" x14ac:dyDescent="0.2">
      <c r="F3472" s="253"/>
    </row>
    <row r="3473" spans="6:6" x14ac:dyDescent="0.2">
      <c r="F3473" s="253"/>
    </row>
    <row r="3474" spans="6:6" x14ac:dyDescent="0.2">
      <c r="F3474" s="253"/>
    </row>
    <row r="3475" spans="6:6" x14ac:dyDescent="0.2">
      <c r="F3475" s="253"/>
    </row>
    <row r="3476" spans="6:6" x14ac:dyDescent="0.2">
      <c r="F3476" s="253"/>
    </row>
    <row r="3477" spans="6:6" x14ac:dyDescent="0.2">
      <c r="F3477" s="253"/>
    </row>
    <row r="3478" spans="6:6" x14ac:dyDescent="0.2">
      <c r="F3478" s="253"/>
    </row>
    <row r="3479" spans="6:6" x14ac:dyDescent="0.2">
      <c r="F3479" s="253"/>
    </row>
    <row r="3480" spans="6:6" x14ac:dyDescent="0.2">
      <c r="F3480" s="253"/>
    </row>
    <row r="3481" spans="6:6" x14ac:dyDescent="0.2">
      <c r="F3481" s="253"/>
    </row>
    <row r="3482" spans="6:6" x14ac:dyDescent="0.2">
      <c r="F3482" s="253"/>
    </row>
    <row r="3483" spans="6:6" x14ac:dyDescent="0.2">
      <c r="F3483" s="253"/>
    </row>
    <row r="3484" spans="6:6" x14ac:dyDescent="0.2">
      <c r="F3484" s="253"/>
    </row>
    <row r="3485" spans="6:6" x14ac:dyDescent="0.2">
      <c r="F3485" s="253"/>
    </row>
    <row r="3486" spans="6:6" x14ac:dyDescent="0.2">
      <c r="F3486" s="253"/>
    </row>
    <row r="3487" spans="6:6" x14ac:dyDescent="0.2">
      <c r="F3487" s="253"/>
    </row>
    <row r="3488" spans="6:6" x14ac:dyDescent="0.2">
      <c r="F3488" s="253"/>
    </row>
    <row r="3489" spans="6:6" x14ac:dyDescent="0.2">
      <c r="F3489" s="253"/>
    </row>
    <row r="3490" spans="6:6" x14ac:dyDescent="0.2">
      <c r="F3490" s="253"/>
    </row>
    <row r="3491" spans="6:6" x14ac:dyDescent="0.2">
      <c r="F3491" s="253"/>
    </row>
    <row r="3492" spans="6:6" x14ac:dyDescent="0.2">
      <c r="F3492" s="253"/>
    </row>
    <row r="3493" spans="6:6" x14ac:dyDescent="0.2">
      <c r="F3493" s="253"/>
    </row>
    <row r="3494" spans="6:6" x14ac:dyDescent="0.2">
      <c r="F3494" s="253"/>
    </row>
    <row r="3495" spans="6:6" x14ac:dyDescent="0.2">
      <c r="F3495" s="253"/>
    </row>
    <row r="3496" spans="6:6" x14ac:dyDescent="0.2">
      <c r="F3496" s="253"/>
    </row>
    <row r="3497" spans="6:6" x14ac:dyDescent="0.2">
      <c r="F3497" s="253"/>
    </row>
    <row r="3498" spans="6:6" x14ac:dyDescent="0.2">
      <c r="F3498" s="253"/>
    </row>
    <row r="3499" spans="6:6" x14ac:dyDescent="0.2">
      <c r="F3499" s="253"/>
    </row>
    <row r="3500" spans="6:6" x14ac:dyDescent="0.2">
      <c r="F3500" s="253"/>
    </row>
    <row r="3501" spans="6:6" x14ac:dyDescent="0.2">
      <c r="F3501" s="253"/>
    </row>
    <row r="3502" spans="6:6" x14ac:dyDescent="0.2">
      <c r="F3502" s="253"/>
    </row>
    <row r="3503" spans="6:6" x14ac:dyDescent="0.2">
      <c r="F3503" s="253"/>
    </row>
    <row r="3504" spans="6:6" x14ac:dyDescent="0.2">
      <c r="F3504" s="253"/>
    </row>
    <row r="3505" spans="6:6" x14ac:dyDescent="0.2">
      <c r="F3505" s="253"/>
    </row>
    <row r="3506" spans="6:6" x14ac:dyDescent="0.2">
      <c r="F3506" s="253"/>
    </row>
    <row r="3507" spans="6:6" x14ac:dyDescent="0.2">
      <c r="F3507" s="253"/>
    </row>
    <row r="3508" spans="6:6" x14ac:dyDescent="0.2">
      <c r="F3508" s="253"/>
    </row>
    <row r="3509" spans="6:6" x14ac:dyDescent="0.2">
      <c r="F3509" s="253"/>
    </row>
    <row r="3510" spans="6:6" x14ac:dyDescent="0.2">
      <c r="F3510" s="253"/>
    </row>
    <row r="3511" spans="6:6" x14ac:dyDescent="0.2">
      <c r="F3511" s="253"/>
    </row>
    <row r="3512" spans="6:6" x14ac:dyDescent="0.2">
      <c r="F3512" s="253"/>
    </row>
    <row r="3513" spans="6:6" x14ac:dyDescent="0.2">
      <c r="F3513" s="253"/>
    </row>
    <row r="3514" spans="6:6" x14ac:dyDescent="0.2">
      <c r="F3514" s="253"/>
    </row>
    <row r="3515" spans="6:6" x14ac:dyDescent="0.2">
      <c r="F3515" s="253"/>
    </row>
    <row r="3516" spans="6:6" x14ac:dyDescent="0.2">
      <c r="F3516" s="253"/>
    </row>
    <row r="3517" spans="6:6" x14ac:dyDescent="0.2">
      <c r="F3517" s="253"/>
    </row>
    <row r="3518" spans="6:6" x14ac:dyDescent="0.2">
      <c r="F3518" s="253"/>
    </row>
    <row r="3519" spans="6:6" x14ac:dyDescent="0.2">
      <c r="F3519" s="253"/>
    </row>
    <row r="3520" spans="6:6" x14ac:dyDescent="0.2">
      <c r="F3520" s="253"/>
    </row>
    <row r="3521" spans="6:6" x14ac:dyDescent="0.2">
      <c r="F3521" s="253"/>
    </row>
    <row r="3522" spans="6:6" x14ac:dyDescent="0.2">
      <c r="F3522" s="253"/>
    </row>
    <row r="3523" spans="6:6" x14ac:dyDescent="0.2">
      <c r="F3523" s="253"/>
    </row>
    <row r="3524" spans="6:6" x14ac:dyDescent="0.2">
      <c r="F3524" s="253"/>
    </row>
    <row r="3525" spans="6:6" x14ac:dyDescent="0.2">
      <c r="F3525" s="253"/>
    </row>
    <row r="3526" spans="6:6" x14ac:dyDescent="0.2">
      <c r="F3526" s="253"/>
    </row>
    <row r="3527" spans="6:6" x14ac:dyDescent="0.2">
      <c r="F3527" s="253"/>
    </row>
    <row r="3528" spans="6:6" x14ac:dyDescent="0.2">
      <c r="F3528" s="253"/>
    </row>
    <row r="3529" spans="6:6" x14ac:dyDescent="0.2">
      <c r="F3529" s="253"/>
    </row>
    <row r="3530" spans="6:6" x14ac:dyDescent="0.2">
      <c r="F3530" s="253"/>
    </row>
    <row r="3531" spans="6:6" x14ac:dyDescent="0.2">
      <c r="F3531" s="253"/>
    </row>
    <row r="3532" spans="6:6" x14ac:dyDescent="0.2">
      <c r="F3532" s="253"/>
    </row>
    <row r="3533" spans="6:6" x14ac:dyDescent="0.2">
      <c r="F3533" s="253"/>
    </row>
    <row r="3534" spans="6:6" x14ac:dyDescent="0.2">
      <c r="F3534" s="253"/>
    </row>
    <row r="3535" spans="6:6" x14ac:dyDescent="0.2">
      <c r="F3535" s="253"/>
    </row>
    <row r="3536" spans="6:6" x14ac:dyDescent="0.2">
      <c r="F3536" s="253"/>
    </row>
    <row r="3537" spans="6:6" x14ac:dyDescent="0.2">
      <c r="F3537" s="253"/>
    </row>
    <row r="3538" spans="6:6" x14ac:dyDescent="0.2">
      <c r="F3538" s="253"/>
    </row>
    <row r="3539" spans="6:6" x14ac:dyDescent="0.2">
      <c r="F3539" s="253"/>
    </row>
    <row r="3540" spans="6:6" x14ac:dyDescent="0.2">
      <c r="F3540" s="253"/>
    </row>
    <row r="3541" spans="6:6" x14ac:dyDescent="0.2">
      <c r="F3541" s="253"/>
    </row>
    <row r="3542" spans="6:6" x14ac:dyDescent="0.2">
      <c r="F3542" s="253"/>
    </row>
    <row r="3543" spans="6:6" x14ac:dyDescent="0.2">
      <c r="F3543" s="253"/>
    </row>
    <row r="3544" spans="6:6" x14ac:dyDescent="0.2">
      <c r="F3544" s="253"/>
    </row>
    <row r="3545" spans="6:6" x14ac:dyDescent="0.2">
      <c r="F3545" s="253"/>
    </row>
    <row r="3546" spans="6:6" x14ac:dyDescent="0.2">
      <c r="F3546" s="253"/>
    </row>
    <row r="3547" spans="6:6" x14ac:dyDescent="0.2">
      <c r="F3547" s="253"/>
    </row>
    <row r="3548" spans="6:6" x14ac:dyDescent="0.2">
      <c r="F3548" s="253"/>
    </row>
    <row r="3549" spans="6:6" x14ac:dyDescent="0.2">
      <c r="F3549" s="253"/>
    </row>
    <row r="3550" spans="6:6" x14ac:dyDescent="0.2">
      <c r="F3550" s="253"/>
    </row>
    <row r="3551" spans="6:6" x14ac:dyDescent="0.2">
      <c r="F3551" s="253"/>
    </row>
    <row r="3552" spans="6:6" x14ac:dyDescent="0.2">
      <c r="F3552" s="253"/>
    </row>
    <row r="3553" spans="6:6" x14ac:dyDescent="0.2">
      <c r="F3553" s="253"/>
    </row>
    <row r="3554" spans="6:6" x14ac:dyDescent="0.2">
      <c r="F3554" s="253"/>
    </row>
    <row r="3555" spans="6:6" x14ac:dyDescent="0.2">
      <c r="F3555" s="253"/>
    </row>
    <row r="3556" spans="6:6" x14ac:dyDescent="0.2">
      <c r="F3556" s="253"/>
    </row>
    <row r="3557" spans="6:6" x14ac:dyDescent="0.2">
      <c r="F3557" s="253"/>
    </row>
    <row r="3558" spans="6:6" x14ac:dyDescent="0.2">
      <c r="F3558" s="253"/>
    </row>
    <row r="3559" spans="6:6" x14ac:dyDescent="0.2">
      <c r="F3559" s="253"/>
    </row>
    <row r="3560" spans="6:6" x14ac:dyDescent="0.2">
      <c r="F3560" s="253"/>
    </row>
    <row r="3561" spans="6:6" x14ac:dyDescent="0.2">
      <c r="F3561" s="253"/>
    </row>
    <row r="3562" spans="6:6" x14ac:dyDescent="0.2">
      <c r="F3562" s="253"/>
    </row>
    <row r="3563" spans="6:6" x14ac:dyDescent="0.2">
      <c r="F3563" s="253"/>
    </row>
    <row r="3564" spans="6:6" x14ac:dyDescent="0.2">
      <c r="F3564" s="253"/>
    </row>
    <row r="3565" spans="6:6" x14ac:dyDescent="0.2">
      <c r="F3565" s="253"/>
    </row>
    <row r="3566" spans="6:6" x14ac:dyDescent="0.2">
      <c r="F3566" s="253"/>
    </row>
    <row r="3567" spans="6:6" x14ac:dyDescent="0.2">
      <c r="F3567" s="253"/>
    </row>
    <row r="3568" spans="6:6" x14ac:dyDescent="0.2">
      <c r="F3568" s="253"/>
    </row>
    <row r="3569" spans="6:6" x14ac:dyDescent="0.2">
      <c r="F3569" s="253"/>
    </row>
    <row r="3570" spans="6:6" x14ac:dyDescent="0.2">
      <c r="F3570" s="253"/>
    </row>
    <row r="3571" spans="6:6" x14ac:dyDescent="0.2">
      <c r="F3571" s="253"/>
    </row>
    <row r="3572" spans="6:6" x14ac:dyDescent="0.2">
      <c r="F3572" s="253"/>
    </row>
    <row r="3573" spans="6:6" x14ac:dyDescent="0.2">
      <c r="F3573" s="253"/>
    </row>
    <row r="3574" spans="6:6" x14ac:dyDescent="0.2">
      <c r="F3574" s="253"/>
    </row>
    <row r="3575" spans="6:6" x14ac:dyDescent="0.2">
      <c r="F3575" s="253"/>
    </row>
    <row r="3576" spans="6:6" x14ac:dyDescent="0.2">
      <c r="F3576" s="253"/>
    </row>
    <row r="3577" spans="6:6" x14ac:dyDescent="0.2">
      <c r="F3577" s="253"/>
    </row>
    <row r="3578" spans="6:6" x14ac:dyDescent="0.2">
      <c r="F3578" s="253"/>
    </row>
    <row r="3579" spans="6:6" x14ac:dyDescent="0.2">
      <c r="F3579" s="253"/>
    </row>
    <row r="3580" spans="6:6" x14ac:dyDescent="0.2">
      <c r="F3580" s="253"/>
    </row>
    <row r="3581" spans="6:6" x14ac:dyDescent="0.2">
      <c r="F3581" s="253"/>
    </row>
    <row r="3582" spans="6:6" x14ac:dyDescent="0.2">
      <c r="F3582" s="253"/>
    </row>
    <row r="3583" spans="6:6" x14ac:dyDescent="0.2">
      <c r="F3583" s="253"/>
    </row>
    <row r="3584" spans="6:6" x14ac:dyDescent="0.2">
      <c r="F3584" s="253"/>
    </row>
    <row r="3585" spans="6:6" x14ac:dyDescent="0.2">
      <c r="F3585" s="253"/>
    </row>
    <row r="3586" spans="6:6" x14ac:dyDescent="0.2">
      <c r="F3586" s="253"/>
    </row>
    <row r="3587" spans="6:6" x14ac:dyDescent="0.2">
      <c r="F3587" s="253"/>
    </row>
    <row r="3588" spans="6:6" x14ac:dyDescent="0.2">
      <c r="F3588" s="253"/>
    </row>
    <row r="3589" spans="6:6" x14ac:dyDescent="0.2">
      <c r="F3589" s="253"/>
    </row>
    <row r="3590" spans="6:6" x14ac:dyDescent="0.2">
      <c r="F3590" s="253"/>
    </row>
    <row r="3591" spans="6:6" x14ac:dyDescent="0.2">
      <c r="F3591" s="253"/>
    </row>
    <row r="3592" spans="6:6" x14ac:dyDescent="0.2">
      <c r="F3592" s="253"/>
    </row>
    <row r="3593" spans="6:6" x14ac:dyDescent="0.2">
      <c r="F3593" s="253"/>
    </row>
    <row r="3594" spans="6:6" x14ac:dyDescent="0.2">
      <c r="F3594" s="253"/>
    </row>
    <row r="3595" spans="6:6" x14ac:dyDescent="0.2">
      <c r="F3595" s="253"/>
    </row>
    <row r="3596" spans="6:6" x14ac:dyDescent="0.2">
      <c r="F3596" s="253"/>
    </row>
    <row r="3597" spans="6:6" x14ac:dyDescent="0.2">
      <c r="F3597" s="253"/>
    </row>
    <row r="3598" spans="6:6" x14ac:dyDescent="0.2">
      <c r="F3598" s="253"/>
    </row>
    <row r="3599" spans="6:6" x14ac:dyDescent="0.2">
      <c r="F3599" s="253"/>
    </row>
    <row r="3600" spans="6:6" x14ac:dyDescent="0.2">
      <c r="F3600" s="253"/>
    </row>
    <row r="3601" spans="6:6" x14ac:dyDescent="0.2">
      <c r="F3601" s="253"/>
    </row>
    <row r="3602" spans="6:6" x14ac:dyDescent="0.2">
      <c r="F3602" s="253"/>
    </row>
    <row r="3603" spans="6:6" x14ac:dyDescent="0.2">
      <c r="F3603" s="253"/>
    </row>
    <row r="3604" spans="6:6" x14ac:dyDescent="0.2">
      <c r="F3604" s="253"/>
    </row>
    <row r="3605" spans="6:6" x14ac:dyDescent="0.2">
      <c r="F3605" s="253"/>
    </row>
    <row r="3606" spans="6:6" x14ac:dyDescent="0.2">
      <c r="F3606" s="253"/>
    </row>
    <row r="3607" spans="6:6" x14ac:dyDescent="0.2">
      <c r="F3607" s="253"/>
    </row>
    <row r="3608" spans="6:6" x14ac:dyDescent="0.2">
      <c r="F3608" s="253"/>
    </row>
    <row r="3609" spans="6:6" x14ac:dyDescent="0.2">
      <c r="F3609" s="253"/>
    </row>
    <row r="3610" spans="6:6" x14ac:dyDescent="0.2">
      <c r="F3610" s="253"/>
    </row>
    <row r="3611" spans="6:6" x14ac:dyDescent="0.2">
      <c r="F3611" s="253"/>
    </row>
    <row r="3612" spans="6:6" x14ac:dyDescent="0.2">
      <c r="F3612" s="253"/>
    </row>
    <row r="3613" spans="6:6" x14ac:dyDescent="0.2">
      <c r="F3613" s="253"/>
    </row>
    <row r="3614" spans="6:6" x14ac:dyDescent="0.2">
      <c r="F3614" s="253"/>
    </row>
    <row r="3615" spans="6:6" x14ac:dyDescent="0.2">
      <c r="F3615" s="253"/>
    </row>
    <row r="3616" spans="6:6" x14ac:dyDescent="0.2">
      <c r="F3616" s="253"/>
    </row>
    <row r="3617" spans="6:6" x14ac:dyDescent="0.2">
      <c r="F3617" s="253"/>
    </row>
    <row r="3618" spans="6:6" x14ac:dyDescent="0.2">
      <c r="F3618" s="253"/>
    </row>
    <row r="3619" spans="6:6" x14ac:dyDescent="0.2">
      <c r="F3619" s="253"/>
    </row>
    <row r="3620" spans="6:6" x14ac:dyDescent="0.2">
      <c r="F3620" s="253"/>
    </row>
    <row r="3621" spans="6:6" x14ac:dyDescent="0.2">
      <c r="F3621" s="253"/>
    </row>
    <row r="3622" spans="6:6" x14ac:dyDescent="0.2">
      <c r="F3622" s="253"/>
    </row>
    <row r="3623" spans="6:6" x14ac:dyDescent="0.2">
      <c r="F3623" s="253"/>
    </row>
    <row r="3624" spans="6:6" x14ac:dyDescent="0.2">
      <c r="F3624" s="253"/>
    </row>
    <row r="3625" spans="6:6" x14ac:dyDescent="0.2">
      <c r="F3625" s="253"/>
    </row>
    <row r="3626" spans="6:6" x14ac:dyDescent="0.2">
      <c r="F3626" s="253"/>
    </row>
    <row r="3627" spans="6:6" x14ac:dyDescent="0.2">
      <c r="F3627" s="253"/>
    </row>
    <row r="3628" spans="6:6" x14ac:dyDescent="0.2">
      <c r="F3628" s="253"/>
    </row>
    <row r="3629" spans="6:6" x14ac:dyDescent="0.2">
      <c r="F3629" s="253"/>
    </row>
    <row r="3630" spans="6:6" x14ac:dyDescent="0.2">
      <c r="F3630" s="253"/>
    </row>
    <row r="3631" spans="6:6" x14ac:dyDescent="0.2">
      <c r="F3631" s="253"/>
    </row>
    <row r="3632" spans="6:6" x14ac:dyDescent="0.2">
      <c r="F3632" s="253"/>
    </row>
    <row r="3633" spans="6:6" x14ac:dyDescent="0.2">
      <c r="F3633" s="253"/>
    </row>
    <row r="3634" spans="6:6" x14ac:dyDescent="0.2">
      <c r="F3634" s="253"/>
    </row>
    <row r="3635" spans="6:6" x14ac:dyDescent="0.2">
      <c r="F3635" s="253"/>
    </row>
    <row r="3636" spans="6:6" x14ac:dyDescent="0.2">
      <c r="F3636" s="253"/>
    </row>
    <row r="3637" spans="6:6" x14ac:dyDescent="0.2">
      <c r="F3637" s="253"/>
    </row>
    <row r="3638" spans="6:6" x14ac:dyDescent="0.2">
      <c r="F3638" s="253"/>
    </row>
    <row r="3639" spans="6:6" x14ac:dyDescent="0.2">
      <c r="F3639" s="253"/>
    </row>
    <row r="3640" spans="6:6" x14ac:dyDescent="0.2">
      <c r="F3640" s="253"/>
    </row>
    <row r="3641" spans="6:6" x14ac:dyDescent="0.2">
      <c r="F3641" s="253"/>
    </row>
    <row r="3642" spans="6:6" x14ac:dyDescent="0.2">
      <c r="F3642" s="253"/>
    </row>
    <row r="3643" spans="6:6" x14ac:dyDescent="0.2">
      <c r="F3643" s="253"/>
    </row>
    <row r="3644" spans="6:6" x14ac:dyDescent="0.2">
      <c r="F3644" s="253"/>
    </row>
    <row r="3645" spans="6:6" x14ac:dyDescent="0.2">
      <c r="F3645" s="253"/>
    </row>
    <row r="3646" spans="6:6" x14ac:dyDescent="0.2">
      <c r="F3646" s="253"/>
    </row>
    <row r="3647" spans="6:6" x14ac:dyDescent="0.2">
      <c r="F3647" s="253"/>
    </row>
    <row r="3648" spans="6:6" x14ac:dyDescent="0.2">
      <c r="F3648" s="253"/>
    </row>
    <row r="3649" spans="6:6" x14ac:dyDescent="0.2">
      <c r="F3649" s="253"/>
    </row>
    <row r="3650" spans="6:6" x14ac:dyDescent="0.2">
      <c r="F3650" s="253"/>
    </row>
    <row r="3651" spans="6:6" x14ac:dyDescent="0.2">
      <c r="F3651" s="253"/>
    </row>
    <row r="3652" spans="6:6" x14ac:dyDescent="0.2">
      <c r="F3652" s="253"/>
    </row>
    <row r="3653" spans="6:6" x14ac:dyDescent="0.2">
      <c r="F3653" s="253"/>
    </row>
    <row r="3654" spans="6:6" x14ac:dyDescent="0.2">
      <c r="F3654" s="253"/>
    </row>
    <row r="3655" spans="6:6" x14ac:dyDescent="0.2">
      <c r="F3655" s="253"/>
    </row>
    <row r="3656" spans="6:6" x14ac:dyDescent="0.2">
      <c r="F3656" s="253"/>
    </row>
    <row r="3657" spans="6:6" x14ac:dyDescent="0.2">
      <c r="F3657" s="253"/>
    </row>
    <row r="3658" spans="6:6" x14ac:dyDescent="0.2">
      <c r="F3658" s="253"/>
    </row>
    <row r="3659" spans="6:6" x14ac:dyDescent="0.2">
      <c r="F3659" s="253"/>
    </row>
    <row r="3660" spans="6:6" x14ac:dyDescent="0.2">
      <c r="F3660" s="253"/>
    </row>
    <row r="3661" spans="6:6" x14ac:dyDescent="0.2">
      <c r="F3661" s="253"/>
    </row>
    <row r="3662" spans="6:6" x14ac:dyDescent="0.2">
      <c r="F3662" s="253"/>
    </row>
    <row r="3663" spans="6:6" x14ac:dyDescent="0.2">
      <c r="F3663" s="253"/>
    </row>
    <row r="3664" spans="6:6" x14ac:dyDescent="0.2">
      <c r="F3664" s="253"/>
    </row>
    <row r="3665" spans="6:6" x14ac:dyDescent="0.2">
      <c r="F3665" s="253"/>
    </row>
    <row r="3666" spans="6:6" x14ac:dyDescent="0.2">
      <c r="F3666" s="253"/>
    </row>
    <row r="3667" spans="6:6" x14ac:dyDescent="0.2">
      <c r="F3667" s="253"/>
    </row>
    <row r="3668" spans="6:6" x14ac:dyDescent="0.2">
      <c r="F3668" s="253"/>
    </row>
    <row r="3669" spans="6:6" x14ac:dyDescent="0.2">
      <c r="F3669" s="253"/>
    </row>
    <row r="3670" spans="6:6" x14ac:dyDescent="0.2">
      <c r="F3670" s="253"/>
    </row>
    <row r="3671" spans="6:6" x14ac:dyDescent="0.2">
      <c r="F3671" s="253"/>
    </row>
    <row r="3672" spans="6:6" x14ac:dyDescent="0.2">
      <c r="F3672" s="253"/>
    </row>
    <row r="3673" spans="6:6" x14ac:dyDescent="0.2">
      <c r="F3673" s="253"/>
    </row>
    <row r="3674" spans="6:6" x14ac:dyDescent="0.2">
      <c r="F3674" s="253"/>
    </row>
    <row r="3675" spans="6:6" x14ac:dyDescent="0.2">
      <c r="F3675" s="253"/>
    </row>
    <row r="3676" spans="6:6" x14ac:dyDescent="0.2">
      <c r="F3676" s="253"/>
    </row>
    <row r="3677" spans="6:6" x14ac:dyDescent="0.2">
      <c r="F3677" s="253"/>
    </row>
    <row r="3678" spans="6:6" x14ac:dyDescent="0.2">
      <c r="F3678" s="253"/>
    </row>
    <row r="3679" spans="6:6" x14ac:dyDescent="0.2">
      <c r="F3679" s="253"/>
    </row>
    <row r="3680" spans="6:6" x14ac:dyDescent="0.2">
      <c r="F3680" s="253"/>
    </row>
    <row r="3681" spans="6:6" x14ac:dyDescent="0.2">
      <c r="F3681" s="253"/>
    </row>
    <row r="3682" spans="6:6" x14ac:dyDescent="0.2">
      <c r="F3682" s="253"/>
    </row>
    <row r="3683" spans="6:6" x14ac:dyDescent="0.2">
      <c r="F3683" s="253"/>
    </row>
    <row r="3684" spans="6:6" x14ac:dyDescent="0.2">
      <c r="F3684" s="253"/>
    </row>
    <row r="3685" spans="6:6" x14ac:dyDescent="0.2">
      <c r="F3685" s="253"/>
    </row>
    <row r="3686" spans="6:6" x14ac:dyDescent="0.2">
      <c r="F3686" s="253"/>
    </row>
    <row r="3687" spans="6:6" x14ac:dyDescent="0.2">
      <c r="F3687" s="253"/>
    </row>
    <row r="3688" spans="6:6" x14ac:dyDescent="0.2">
      <c r="F3688" s="253"/>
    </row>
    <row r="3689" spans="6:6" x14ac:dyDescent="0.2">
      <c r="F3689" s="253"/>
    </row>
    <row r="3690" spans="6:6" x14ac:dyDescent="0.2">
      <c r="F3690" s="253"/>
    </row>
    <row r="3691" spans="6:6" x14ac:dyDescent="0.2">
      <c r="F3691" s="253"/>
    </row>
    <row r="3692" spans="6:6" x14ac:dyDescent="0.2">
      <c r="F3692" s="253"/>
    </row>
    <row r="3693" spans="6:6" x14ac:dyDescent="0.2">
      <c r="F3693" s="253"/>
    </row>
    <row r="3694" spans="6:6" x14ac:dyDescent="0.2">
      <c r="F3694" s="253"/>
    </row>
    <row r="3695" spans="6:6" x14ac:dyDescent="0.2">
      <c r="F3695" s="253"/>
    </row>
    <row r="3696" spans="6:6" x14ac:dyDescent="0.2">
      <c r="F3696" s="253"/>
    </row>
    <row r="3697" spans="6:6" x14ac:dyDescent="0.2">
      <c r="F3697" s="253"/>
    </row>
    <row r="3698" spans="6:6" x14ac:dyDescent="0.2">
      <c r="F3698" s="253"/>
    </row>
    <row r="3699" spans="6:6" x14ac:dyDescent="0.2">
      <c r="F3699" s="253"/>
    </row>
    <row r="3700" spans="6:6" x14ac:dyDescent="0.2">
      <c r="F3700" s="253"/>
    </row>
    <row r="3701" spans="6:6" x14ac:dyDescent="0.2">
      <c r="F3701" s="253"/>
    </row>
    <row r="3702" spans="6:6" x14ac:dyDescent="0.2">
      <c r="F3702" s="253"/>
    </row>
    <row r="3703" spans="6:6" x14ac:dyDescent="0.2">
      <c r="F3703" s="253"/>
    </row>
    <row r="3704" spans="6:6" x14ac:dyDescent="0.2">
      <c r="F3704" s="253"/>
    </row>
    <row r="3705" spans="6:6" x14ac:dyDescent="0.2">
      <c r="F3705" s="253"/>
    </row>
  </sheetData>
  <autoFilter ref="A7:AL415"/>
  <dataConsolidate/>
  <mergeCells count="412">
    <mergeCell ref="F332:F337"/>
    <mergeCell ref="G241:G242"/>
    <mergeCell ref="F241:F242"/>
    <mergeCell ref="E241:E242"/>
    <mergeCell ref="E196:E227"/>
    <mergeCell ref="G196:G199"/>
    <mergeCell ref="I196:I199"/>
    <mergeCell ref="E139:E141"/>
    <mergeCell ref="D139:D141"/>
    <mergeCell ref="D167:D189"/>
    <mergeCell ref="D251:D263"/>
    <mergeCell ref="E233:E234"/>
    <mergeCell ref="E307:E308"/>
    <mergeCell ref="E248:E250"/>
    <mergeCell ref="F275:F276"/>
    <mergeCell ref="G259:G260"/>
    <mergeCell ref="F237:F238"/>
    <mergeCell ref="G237:G238"/>
    <mergeCell ref="F248:F250"/>
    <mergeCell ref="E251:E258"/>
    <mergeCell ref="F251:F258"/>
    <mergeCell ref="D264:D279"/>
    <mergeCell ref="F303:F304"/>
    <mergeCell ref="E301:E302"/>
    <mergeCell ref="D285:D304"/>
    <mergeCell ref="C264:C271"/>
    <mergeCell ref="C272:C274"/>
    <mergeCell ref="B248:B250"/>
    <mergeCell ref="AB201:AB203"/>
    <mergeCell ref="AC201:AC203"/>
    <mergeCell ref="I335:I337"/>
    <mergeCell ref="R207:S207"/>
    <mergeCell ref="T207:U207"/>
    <mergeCell ref="R204:S204"/>
    <mergeCell ref="T204:U204"/>
    <mergeCell ref="J280:J283"/>
    <mergeCell ref="J237:J238"/>
    <mergeCell ref="I209:I227"/>
    <mergeCell ref="J293:J300"/>
    <mergeCell ref="I301:I302"/>
    <mergeCell ref="I241:I242"/>
    <mergeCell ref="J315:J323"/>
    <mergeCell ref="E246:E247"/>
    <mergeCell ref="E237:E239"/>
    <mergeCell ref="C229:C232"/>
    <mergeCell ref="C196:C227"/>
    <mergeCell ref="B196:B227"/>
    <mergeCell ref="D196:D228"/>
    <mergeCell ref="G217:G220"/>
    <mergeCell ref="I362:I363"/>
    <mergeCell ref="G213:G216"/>
    <mergeCell ref="G224:G227"/>
    <mergeCell ref="G293:G300"/>
    <mergeCell ref="G251:G257"/>
    <mergeCell ref="I251:I257"/>
    <mergeCell ref="F286:F287"/>
    <mergeCell ref="E288:E291"/>
    <mergeCell ref="E280:E283"/>
    <mergeCell ref="F246:F247"/>
    <mergeCell ref="F301:F302"/>
    <mergeCell ref="E261:E262"/>
    <mergeCell ref="E293:E300"/>
    <mergeCell ref="F293:F300"/>
    <mergeCell ref="F362:F363"/>
    <mergeCell ref="E231:E232"/>
    <mergeCell ref="F231:F232"/>
    <mergeCell ref="G248:G250"/>
    <mergeCell ref="I280:I283"/>
    <mergeCell ref="I264:I271"/>
    <mergeCell ref="I275:I276"/>
    <mergeCell ref="G275:G276"/>
    <mergeCell ref="F345:F347"/>
    <mergeCell ref="F348:F359"/>
    <mergeCell ref="I345:I347"/>
    <mergeCell ref="E339:E344"/>
    <mergeCell ref="E259:E260"/>
    <mergeCell ref="F259:F260"/>
    <mergeCell ref="F280:F283"/>
    <mergeCell ref="G264:G271"/>
    <mergeCell ref="E264:E271"/>
    <mergeCell ref="I259:I260"/>
    <mergeCell ref="I307:I308"/>
    <mergeCell ref="F307:F308"/>
    <mergeCell ref="G280:G283"/>
    <mergeCell ref="I288:I291"/>
    <mergeCell ref="E275:E276"/>
    <mergeCell ref="E315:E331"/>
    <mergeCell ref="I332:I334"/>
    <mergeCell ref="I309:I314"/>
    <mergeCell ref="G332:G333"/>
    <mergeCell ref="F288:F291"/>
    <mergeCell ref="G288:G291"/>
    <mergeCell ref="F339:F343"/>
    <mergeCell ref="I315:I331"/>
    <mergeCell ref="I339:I343"/>
    <mergeCell ref="G309:G314"/>
    <mergeCell ref="F315:F331"/>
    <mergeCell ref="F411:F413"/>
    <mergeCell ref="I411:I413"/>
    <mergeCell ref="F365:F366"/>
    <mergeCell ref="K339:K343"/>
    <mergeCell ref="Y417:Y418"/>
    <mergeCell ref="R5:R6"/>
    <mergeCell ref="W5:Y5"/>
    <mergeCell ref="S5:V5"/>
    <mergeCell ref="A417:I418"/>
    <mergeCell ref="D143:D147"/>
    <mergeCell ref="D104:D138"/>
    <mergeCell ref="D150:D166"/>
    <mergeCell ref="D237:D250"/>
    <mergeCell ref="A338:N338"/>
    <mergeCell ref="A191:A331"/>
    <mergeCell ref="G315:G323"/>
    <mergeCell ref="G324:G328"/>
    <mergeCell ref="E83:E86"/>
    <mergeCell ref="F83:F86"/>
    <mergeCell ref="S417:T418"/>
    <mergeCell ref="A414:N414"/>
    <mergeCell ref="I348:I359"/>
    <mergeCell ref="J417:R418"/>
    <mergeCell ref="D280:D284"/>
    <mergeCell ref="U417:X418"/>
    <mergeCell ref="J324:J328"/>
    <mergeCell ref="I50:I55"/>
    <mergeCell ref="F17:F18"/>
    <mergeCell ref="I19:I21"/>
    <mergeCell ref="I72:I78"/>
    <mergeCell ref="I87:I89"/>
    <mergeCell ref="S190:V190"/>
    <mergeCell ref="S90:V90"/>
    <mergeCell ref="J251:J257"/>
    <mergeCell ref="G246:G247"/>
    <mergeCell ref="J133:J134"/>
    <mergeCell ref="I201:I207"/>
    <mergeCell ref="G201:G207"/>
    <mergeCell ref="I184:I186"/>
    <mergeCell ref="I192:I194"/>
    <mergeCell ref="S414:V414"/>
    <mergeCell ref="F196:F199"/>
    <mergeCell ref="A90:N90"/>
    <mergeCell ref="D191:D195"/>
    <mergeCell ref="E192:E195"/>
    <mergeCell ref="I157:I162"/>
    <mergeCell ref="I163:I166"/>
    <mergeCell ref="C83:C86"/>
    <mergeCell ref="AH5:AJ5"/>
    <mergeCell ref="A1:AI4"/>
    <mergeCell ref="J5:J6"/>
    <mergeCell ref="M5:M6"/>
    <mergeCell ref="N5:N6"/>
    <mergeCell ref="F5:F6"/>
    <mergeCell ref="A5:A6"/>
    <mergeCell ref="B5:B6"/>
    <mergeCell ref="C5:C6"/>
    <mergeCell ref="P5:P6"/>
    <mergeCell ref="K5:K6"/>
    <mergeCell ref="D5:D6"/>
    <mergeCell ref="E5:E6"/>
    <mergeCell ref="Q5:Q6"/>
    <mergeCell ref="O5:O6"/>
    <mergeCell ref="H5:H6"/>
    <mergeCell ref="G5:G6"/>
    <mergeCell ref="I5:I6"/>
    <mergeCell ref="AA5:AC5"/>
    <mergeCell ref="AE5:AG5"/>
    <mergeCell ref="L5:L6"/>
    <mergeCell ref="I15:I16"/>
    <mergeCell ref="I17:I18"/>
    <mergeCell ref="E17:E18"/>
    <mergeCell ref="J70:J71"/>
    <mergeCell ref="D43:D49"/>
    <mergeCell ref="F79:F81"/>
    <mergeCell ref="B36:B42"/>
    <mergeCell ref="C36:C42"/>
    <mergeCell ref="G36:G42"/>
    <mergeCell ref="C15:C16"/>
    <mergeCell ref="B15:B18"/>
    <mergeCell ref="C17:C18"/>
    <mergeCell ref="G15:G16"/>
    <mergeCell ref="G17:G18"/>
    <mergeCell ref="D22:D26"/>
    <mergeCell ref="D36:D42"/>
    <mergeCell ref="G27:G32"/>
    <mergeCell ref="F27:F32"/>
    <mergeCell ref="E22:E26"/>
    <mergeCell ref="C22:C26"/>
    <mergeCell ref="B22:B26"/>
    <mergeCell ref="D27:D35"/>
    <mergeCell ref="D15:D18"/>
    <mergeCell ref="I27:I32"/>
    <mergeCell ref="B8:B14"/>
    <mergeCell ref="C61:C82"/>
    <mergeCell ref="B61:B82"/>
    <mergeCell ref="C8:C14"/>
    <mergeCell ref="D8:D14"/>
    <mergeCell ref="G8:G14"/>
    <mergeCell ref="I36:I42"/>
    <mergeCell ref="F36:F42"/>
    <mergeCell ref="E36:E42"/>
    <mergeCell ref="I8:I14"/>
    <mergeCell ref="E8:E14"/>
    <mergeCell ref="F8:F14"/>
    <mergeCell ref="I22:I26"/>
    <mergeCell ref="G64:G65"/>
    <mergeCell ref="F15:F16"/>
    <mergeCell ref="E15:E16"/>
    <mergeCell ref="C27:C35"/>
    <mergeCell ref="B27:B35"/>
    <mergeCell ref="I43:I48"/>
    <mergeCell ref="G50:G60"/>
    <mergeCell ref="B43:B49"/>
    <mergeCell ref="G43:G48"/>
    <mergeCell ref="E61:E71"/>
    <mergeCell ref="B50:B56"/>
    <mergeCell ref="G211:G212"/>
    <mergeCell ref="F167:F183"/>
    <mergeCell ref="F184:F187"/>
    <mergeCell ref="A190:N190"/>
    <mergeCell ref="B154:B156"/>
    <mergeCell ref="C154:C156"/>
    <mergeCell ref="B167:B189"/>
    <mergeCell ref="C167:C189"/>
    <mergeCell ref="F163:F166"/>
    <mergeCell ref="F157:F162"/>
    <mergeCell ref="E167:E187"/>
    <mergeCell ref="E163:E166"/>
    <mergeCell ref="G192:G194"/>
    <mergeCell ref="E188:E189"/>
    <mergeCell ref="G163:G166"/>
    <mergeCell ref="A91:A188"/>
    <mergeCell ref="B91:B103"/>
    <mergeCell ref="C91:C103"/>
    <mergeCell ref="C143:C147"/>
    <mergeCell ref="I91:I103"/>
    <mergeCell ref="I113:I114"/>
    <mergeCell ref="I139:I141"/>
    <mergeCell ref="G139:G140"/>
    <mergeCell ref="F208:F227"/>
    <mergeCell ref="F139:F141"/>
    <mergeCell ref="I143:I147"/>
    <mergeCell ref="D91:D103"/>
    <mergeCell ref="F115:F117"/>
    <mergeCell ref="F135:F136"/>
    <mergeCell ref="F137:F138"/>
    <mergeCell ref="F108:F109"/>
    <mergeCell ref="I118:I129"/>
    <mergeCell ref="G157:G159"/>
    <mergeCell ref="G155:G156"/>
    <mergeCell ref="E154:E156"/>
    <mergeCell ref="I135:I136"/>
    <mergeCell ref="I137:I138"/>
    <mergeCell ref="H106:H107"/>
    <mergeCell ref="H108:H109"/>
    <mergeCell ref="G151:G153"/>
    <mergeCell ref="F151:F153"/>
    <mergeCell ref="D148:D149"/>
    <mergeCell ref="G143:G147"/>
    <mergeCell ref="I151:I153"/>
    <mergeCell ref="F143:F147"/>
    <mergeCell ref="F106:F107"/>
    <mergeCell ref="E113:E114"/>
    <mergeCell ref="F113:F114"/>
    <mergeCell ref="G133:G134"/>
    <mergeCell ref="I79:I81"/>
    <mergeCell ref="E91:E103"/>
    <mergeCell ref="F91:F103"/>
    <mergeCell ref="E104:E112"/>
    <mergeCell ref="F118:F129"/>
    <mergeCell ref="G106:G107"/>
    <mergeCell ref="F133:F134"/>
    <mergeCell ref="E115:E117"/>
    <mergeCell ref="F110:F111"/>
    <mergeCell ref="I83:I86"/>
    <mergeCell ref="G83:G85"/>
    <mergeCell ref="A8:A88"/>
    <mergeCell ref="G411:G413"/>
    <mergeCell ref="G396:G408"/>
    <mergeCell ref="I396:I408"/>
    <mergeCell ref="G368:G371"/>
    <mergeCell ref="G372:G390"/>
    <mergeCell ref="G392:G394"/>
    <mergeCell ref="F392:F394"/>
    <mergeCell ref="F372:F390"/>
    <mergeCell ref="I372:I391"/>
    <mergeCell ref="F368:F371"/>
    <mergeCell ref="I368:I371"/>
    <mergeCell ref="I392:I394"/>
    <mergeCell ref="F396:F410"/>
    <mergeCell ref="G68:G69"/>
    <mergeCell ref="E72:E82"/>
    <mergeCell ref="E87:E89"/>
    <mergeCell ref="F87:F89"/>
    <mergeCell ref="F19:F21"/>
    <mergeCell ref="G19:G21"/>
    <mergeCell ref="G88:G89"/>
    <mergeCell ref="F61:F71"/>
    <mergeCell ref="I61:I71"/>
    <mergeCell ref="C57:C59"/>
    <mergeCell ref="A339:A413"/>
    <mergeCell ref="S192:V192"/>
    <mergeCell ref="S201:V201"/>
    <mergeCell ref="J259:J260"/>
    <mergeCell ref="C339:C366"/>
    <mergeCell ref="C309:C314"/>
    <mergeCell ref="B396:B410"/>
    <mergeCell ref="B303:B304"/>
    <mergeCell ref="C303:C304"/>
    <mergeCell ref="F264:F271"/>
    <mergeCell ref="C307:C308"/>
    <mergeCell ref="B307:B308"/>
    <mergeCell ref="C332:C337"/>
    <mergeCell ref="E332:E337"/>
    <mergeCell ref="D306:D308"/>
    <mergeCell ref="B339:B366"/>
    <mergeCell ref="D339:D359"/>
    <mergeCell ref="D360:D366"/>
    <mergeCell ref="C192:C195"/>
    <mergeCell ref="B192:B195"/>
    <mergeCell ref="F192:F194"/>
    <mergeCell ref="G209:G210"/>
    <mergeCell ref="F201:F207"/>
    <mergeCell ref="G221:G223"/>
    <mergeCell ref="B83:B89"/>
    <mergeCell ref="D83:D89"/>
    <mergeCell ref="D50:D60"/>
    <mergeCell ref="F309:F314"/>
    <mergeCell ref="C87:C89"/>
    <mergeCell ref="G108:G109"/>
    <mergeCell ref="B150:B153"/>
    <mergeCell ref="B139:B141"/>
    <mergeCell ref="C150:C153"/>
    <mergeCell ref="C163:C166"/>
    <mergeCell ref="C157:C162"/>
    <mergeCell ref="B148:B149"/>
    <mergeCell ref="B163:B166"/>
    <mergeCell ref="B157:B162"/>
    <mergeCell ref="B143:B147"/>
    <mergeCell ref="E143:E147"/>
    <mergeCell ref="E157:E162"/>
    <mergeCell ref="E150:E153"/>
    <mergeCell ref="F104:F105"/>
    <mergeCell ref="B104:B112"/>
    <mergeCell ref="C104:C112"/>
    <mergeCell ref="B113:B138"/>
    <mergeCell ref="C113:C138"/>
    <mergeCell ref="B57:B59"/>
    <mergeCell ref="I57:I59"/>
    <mergeCell ref="F22:F26"/>
    <mergeCell ref="G22:G26"/>
    <mergeCell ref="E19:E21"/>
    <mergeCell ref="G91:G103"/>
    <mergeCell ref="E57:E59"/>
    <mergeCell ref="E396:E410"/>
    <mergeCell ref="C396:C410"/>
    <mergeCell ref="D396:D410"/>
    <mergeCell ref="F57:F59"/>
    <mergeCell ref="E50:E56"/>
    <mergeCell ref="F50:F56"/>
    <mergeCell ref="D61:D82"/>
    <mergeCell ref="C43:C49"/>
    <mergeCell ref="C19:C21"/>
    <mergeCell ref="D19:D21"/>
    <mergeCell ref="C50:C56"/>
    <mergeCell ref="F72:F78"/>
    <mergeCell ref="E27:E35"/>
    <mergeCell ref="F43:F49"/>
    <mergeCell ref="E43:E49"/>
    <mergeCell ref="I110:I111"/>
    <mergeCell ref="E118:E138"/>
    <mergeCell ref="C139:C141"/>
    <mergeCell ref="E368:E394"/>
    <mergeCell ref="E360:E366"/>
    <mergeCell ref="D367:D395"/>
    <mergeCell ref="C367:C395"/>
    <mergeCell ref="B367:B395"/>
    <mergeCell ref="E411:E413"/>
    <mergeCell ref="C301:C302"/>
    <mergeCell ref="E286:E287"/>
    <mergeCell ref="E309:E314"/>
    <mergeCell ref="D309:D314"/>
    <mergeCell ref="E303:E304"/>
    <mergeCell ref="B332:B337"/>
    <mergeCell ref="B309:B314"/>
    <mergeCell ref="C315:C331"/>
    <mergeCell ref="B315:B331"/>
    <mergeCell ref="E345:E359"/>
    <mergeCell ref="D315:D331"/>
    <mergeCell ref="D332:D337"/>
    <mergeCell ref="D229:D236"/>
    <mergeCell ref="C233:C236"/>
    <mergeCell ref="B229:B236"/>
    <mergeCell ref="D411:D413"/>
    <mergeCell ref="C411:C413"/>
    <mergeCell ref="B411:B413"/>
    <mergeCell ref="C293:C300"/>
    <mergeCell ref="B285:B302"/>
    <mergeCell ref="C285:C292"/>
    <mergeCell ref="C280:C283"/>
    <mergeCell ref="B280:B283"/>
    <mergeCell ref="C241:C245"/>
    <mergeCell ref="C237:C239"/>
    <mergeCell ref="B237:B239"/>
    <mergeCell ref="B241:B247"/>
    <mergeCell ref="C246:C247"/>
    <mergeCell ref="B272:B276"/>
    <mergeCell ref="C275:C276"/>
    <mergeCell ref="B277:B278"/>
    <mergeCell ref="B259:B263"/>
    <mergeCell ref="C259:C263"/>
    <mergeCell ref="B251:B257"/>
    <mergeCell ref="C251:C257"/>
    <mergeCell ref="B264:B271"/>
  </mergeCells>
  <conditionalFormatting sqref="Q414">
    <cfRule type="colorScale" priority="667">
      <colorScale>
        <cfvo type="num" val="50"/>
        <cfvo type="num" val="70"/>
        <cfvo type="num" val="90"/>
        <color rgb="FFF8696B"/>
        <color rgb="FFFFEB84"/>
        <color rgb="FF63BE7B"/>
      </colorScale>
    </cfRule>
    <cfRule type="colorScale" priority="668">
      <colorScale>
        <cfvo type="min"/>
        <cfvo type="percentile" val="50"/>
        <cfvo type="max"/>
        <color rgb="FFF8696B"/>
        <color rgb="FFFFEB84"/>
        <color rgb="FF63BE7B"/>
      </colorScale>
    </cfRule>
  </conditionalFormatting>
  <conditionalFormatting sqref="R414">
    <cfRule type="colorScale" priority="644">
      <colorScale>
        <cfvo type="num" val="50"/>
        <cfvo type="num" val="70"/>
        <cfvo type="num" val="90"/>
        <color rgb="FFF8696B"/>
        <color rgb="FFFFEB84"/>
        <color rgb="FF63BE7B"/>
      </colorScale>
    </cfRule>
    <cfRule type="colorScale" priority="645">
      <colorScale>
        <cfvo type="min"/>
        <cfvo type="percentile" val="50"/>
        <cfvo type="max"/>
        <color rgb="FFF8696B"/>
        <color rgb="FFFFEB84"/>
        <color rgb="FF63BE7B"/>
      </colorScale>
    </cfRule>
  </conditionalFormatting>
  <conditionalFormatting sqref="X8:X14">
    <cfRule type="iconSet" priority="598">
      <iconSet iconSet="3Symbols">
        <cfvo type="percent" val="0"/>
        <cfvo type="percent" val="33"/>
        <cfvo type="percent" val="67"/>
      </iconSet>
    </cfRule>
  </conditionalFormatting>
  <conditionalFormatting sqref="Q338">
    <cfRule type="colorScale" priority="457">
      <colorScale>
        <cfvo type="num" val="50"/>
        <cfvo type="num" val="70"/>
        <cfvo type="num" val="90"/>
        <color rgb="FFF8696B"/>
        <color rgb="FFFFEB84"/>
        <color rgb="FF63BE7B"/>
      </colorScale>
    </cfRule>
    <cfRule type="colorScale" priority="458">
      <colorScale>
        <cfvo type="min"/>
        <cfvo type="percentile" val="50"/>
        <cfvo type="max"/>
        <color rgb="FFF8696B"/>
        <color rgb="FFFFEB84"/>
        <color rgb="FF63BE7B"/>
      </colorScale>
    </cfRule>
  </conditionalFormatting>
  <conditionalFormatting sqref="R338">
    <cfRule type="colorScale" priority="455">
      <colorScale>
        <cfvo type="num" val="50"/>
        <cfvo type="num" val="70"/>
        <cfvo type="num" val="90"/>
        <color rgb="FFF8696B"/>
        <color rgb="FFFFEB84"/>
        <color rgb="FF63BE7B"/>
      </colorScale>
    </cfRule>
    <cfRule type="colorScale" priority="456">
      <colorScale>
        <cfvo type="min"/>
        <cfvo type="percentile" val="50"/>
        <cfvo type="max"/>
        <color rgb="FFF8696B"/>
        <color rgb="FFFFEB84"/>
        <color rgb="FF63BE7B"/>
      </colorScale>
    </cfRule>
  </conditionalFormatting>
  <conditionalFormatting sqref="Q190">
    <cfRule type="colorScale" priority="453">
      <colorScale>
        <cfvo type="num" val="50"/>
        <cfvo type="num" val="70"/>
        <cfvo type="num" val="90"/>
        <color rgb="FFF8696B"/>
        <color rgb="FFFFEB84"/>
        <color rgb="FF63BE7B"/>
      </colorScale>
    </cfRule>
    <cfRule type="colorScale" priority="454">
      <colorScale>
        <cfvo type="min"/>
        <cfvo type="percentile" val="50"/>
        <cfvo type="max"/>
        <color rgb="FFF8696B"/>
        <color rgb="FFFFEB84"/>
        <color rgb="FF63BE7B"/>
      </colorScale>
    </cfRule>
  </conditionalFormatting>
  <conditionalFormatting sqref="R190">
    <cfRule type="colorScale" priority="451">
      <colorScale>
        <cfvo type="num" val="50"/>
        <cfvo type="num" val="70"/>
        <cfvo type="num" val="90"/>
        <color rgb="FFF8696B"/>
        <color rgb="FFFFEB84"/>
        <color rgb="FF63BE7B"/>
      </colorScale>
    </cfRule>
    <cfRule type="colorScale" priority="452">
      <colorScale>
        <cfvo type="min"/>
        <cfvo type="percentile" val="50"/>
        <cfvo type="max"/>
        <color rgb="FFF8696B"/>
        <color rgb="FFFFEB84"/>
        <color rgb="FF63BE7B"/>
      </colorScale>
    </cfRule>
  </conditionalFormatting>
  <conditionalFormatting sqref="Y217">
    <cfRule type="iconSet" priority="69">
      <iconSet iconSet="3Symbols" showValue="0">
        <cfvo type="percent" val="0"/>
        <cfvo type="num" val="65"/>
        <cfvo type="num" val="90"/>
      </iconSet>
    </cfRule>
  </conditionalFormatting>
  <conditionalFormatting sqref="Y218">
    <cfRule type="iconSet" priority="68">
      <iconSet iconSet="3Symbols" showValue="0">
        <cfvo type="percent" val="0"/>
        <cfvo type="num" val="65"/>
        <cfvo type="num" val="90"/>
      </iconSet>
    </cfRule>
  </conditionalFormatting>
  <conditionalFormatting sqref="Y219">
    <cfRule type="iconSet" priority="67">
      <iconSet iconSet="3Symbols" showValue="0">
        <cfvo type="percent" val="0"/>
        <cfvo type="num" val="65"/>
        <cfvo type="num" val="90"/>
      </iconSet>
    </cfRule>
  </conditionalFormatting>
  <conditionalFormatting sqref="Y220">
    <cfRule type="iconSet" priority="66">
      <iconSet iconSet="3Symbols" showValue="0">
        <cfvo type="percent" val="0"/>
        <cfvo type="num" val="65"/>
        <cfvo type="num" val="90"/>
      </iconSet>
    </cfRule>
  </conditionalFormatting>
  <conditionalFormatting sqref="Q90">
    <cfRule type="colorScale" priority="62">
      <colorScale>
        <cfvo type="num" val="50"/>
        <cfvo type="num" val="70"/>
        <cfvo type="num" val="90"/>
        <color rgb="FFF8696B"/>
        <color rgb="FFFFEB84"/>
        <color rgb="FF63BE7B"/>
      </colorScale>
    </cfRule>
    <cfRule type="colorScale" priority="63">
      <colorScale>
        <cfvo type="min"/>
        <cfvo type="percentile" val="50"/>
        <cfvo type="max"/>
        <color rgb="FFF8696B"/>
        <color rgb="FFFFEB84"/>
        <color rgb="FF63BE7B"/>
      </colorScale>
    </cfRule>
  </conditionalFormatting>
  <conditionalFormatting sqref="AB8:AB14">
    <cfRule type="iconSet" priority="51">
      <iconSet iconSet="3Symbols">
        <cfvo type="percent" val="0"/>
        <cfvo type="percent" val="33"/>
        <cfvo type="percent" val="67"/>
      </iconSet>
    </cfRule>
  </conditionalFormatting>
  <conditionalFormatting sqref="W90">
    <cfRule type="colorScale" priority="25">
      <colorScale>
        <cfvo type="num" val="50"/>
        <cfvo type="num" val="70"/>
        <cfvo type="num" val="90"/>
        <color rgb="FFF8696B"/>
        <color rgb="FFFFEB84"/>
        <color rgb="FF63BE7B"/>
      </colorScale>
    </cfRule>
    <cfRule type="colorScale" priority="26">
      <colorScale>
        <cfvo type="min"/>
        <cfvo type="percentile" val="50"/>
        <cfvo type="max"/>
        <color rgb="FFF8696B"/>
        <color rgb="FFFFEB84"/>
        <color rgb="FF63BE7B"/>
      </colorScale>
    </cfRule>
  </conditionalFormatting>
  <conditionalFormatting sqref="AE414">
    <cfRule type="colorScale" priority="23">
      <colorScale>
        <cfvo type="num" val="50"/>
        <cfvo type="num" val="70"/>
        <cfvo type="num" val="90"/>
        <color rgb="FFF8696B"/>
        <color rgb="FFFFEB84"/>
        <color rgb="FF63BE7B"/>
      </colorScale>
    </cfRule>
    <cfRule type="colorScale" priority="24">
      <colorScale>
        <cfvo type="min"/>
        <cfvo type="percentile" val="50"/>
        <cfvo type="max"/>
        <color rgb="FFF8696B"/>
        <color rgb="FFFFEB84"/>
        <color rgb="FF63BE7B"/>
      </colorScale>
    </cfRule>
  </conditionalFormatting>
  <conditionalFormatting sqref="AE90">
    <cfRule type="colorScale" priority="21">
      <colorScale>
        <cfvo type="num" val="50"/>
        <cfvo type="num" val="70"/>
        <cfvo type="num" val="90"/>
        <color rgb="FFF8696B"/>
        <color rgb="FFFFEB84"/>
        <color rgb="FF63BE7B"/>
      </colorScale>
    </cfRule>
    <cfRule type="colorScale" priority="22">
      <colorScale>
        <cfvo type="min"/>
        <cfvo type="percentile" val="50"/>
        <cfvo type="max"/>
        <color rgb="FFF8696B"/>
        <color rgb="FFFFEB84"/>
        <color rgb="FF63BE7B"/>
      </colorScale>
    </cfRule>
  </conditionalFormatting>
  <conditionalFormatting sqref="AE190">
    <cfRule type="colorScale" priority="19">
      <colorScale>
        <cfvo type="num" val="50"/>
        <cfvo type="num" val="70"/>
        <cfvo type="num" val="90"/>
        <color rgb="FFF8696B"/>
        <color rgb="FFFFEB84"/>
        <color rgb="FF63BE7B"/>
      </colorScale>
    </cfRule>
    <cfRule type="colorScale" priority="20">
      <colorScale>
        <cfvo type="min"/>
        <cfvo type="percentile" val="50"/>
        <cfvo type="max"/>
        <color rgb="FFF8696B"/>
        <color rgb="FFFFEB84"/>
        <color rgb="FF63BE7B"/>
      </colorScale>
    </cfRule>
  </conditionalFormatting>
  <conditionalFormatting sqref="AE338">
    <cfRule type="colorScale" priority="17">
      <colorScale>
        <cfvo type="num" val="50"/>
        <cfvo type="num" val="70"/>
        <cfvo type="num" val="90"/>
        <color rgb="FFF8696B"/>
        <color rgb="FFFFEB84"/>
        <color rgb="FF63BE7B"/>
      </colorScale>
    </cfRule>
    <cfRule type="colorScale" priority="18">
      <colorScale>
        <cfvo type="min"/>
        <cfvo type="percentile" val="50"/>
        <cfvo type="max"/>
        <color rgb="FFF8696B"/>
        <color rgb="FFFFEB84"/>
        <color rgb="FF63BE7B"/>
      </colorScale>
    </cfRule>
  </conditionalFormatting>
  <conditionalFormatting sqref="AA90">
    <cfRule type="colorScale" priority="15">
      <colorScale>
        <cfvo type="num" val="50"/>
        <cfvo type="num" val="70"/>
        <cfvo type="num" val="90"/>
        <color rgb="FFF8696B"/>
        <color rgb="FFFFEB84"/>
        <color rgb="FF63BE7B"/>
      </colorScale>
    </cfRule>
    <cfRule type="colorScale" priority="16">
      <colorScale>
        <cfvo type="min"/>
        <cfvo type="percentile" val="50"/>
        <cfvo type="max"/>
        <color rgb="FFF8696B"/>
        <color rgb="FFFFEB84"/>
        <color rgb="FF63BE7B"/>
      </colorScale>
    </cfRule>
  </conditionalFormatting>
  <conditionalFormatting sqref="AA190">
    <cfRule type="colorScale" priority="13">
      <colorScale>
        <cfvo type="num" val="50"/>
        <cfvo type="num" val="70"/>
        <cfvo type="num" val="90"/>
        <color rgb="FFF8696B"/>
        <color rgb="FFFFEB84"/>
        <color rgb="FF63BE7B"/>
      </colorScale>
    </cfRule>
    <cfRule type="colorScale" priority="14">
      <colorScale>
        <cfvo type="min"/>
        <cfvo type="percentile" val="50"/>
        <cfvo type="max"/>
        <color rgb="FFF8696B"/>
        <color rgb="FFFFEB84"/>
        <color rgb="FF63BE7B"/>
      </colorScale>
    </cfRule>
  </conditionalFormatting>
  <conditionalFormatting sqref="AA338">
    <cfRule type="colorScale" priority="11">
      <colorScale>
        <cfvo type="num" val="50"/>
        <cfvo type="num" val="70"/>
        <cfvo type="num" val="90"/>
        <color rgb="FFF8696B"/>
        <color rgb="FFFFEB84"/>
        <color rgb="FF63BE7B"/>
      </colorScale>
    </cfRule>
    <cfRule type="colorScale" priority="12">
      <colorScale>
        <cfvo type="min"/>
        <cfvo type="percentile" val="50"/>
        <cfvo type="max"/>
        <color rgb="FFF8696B"/>
        <color rgb="FFFFEB84"/>
        <color rgb="FF63BE7B"/>
      </colorScale>
    </cfRule>
  </conditionalFormatting>
  <conditionalFormatting sqref="AA414">
    <cfRule type="colorScale" priority="9">
      <colorScale>
        <cfvo type="num" val="50"/>
        <cfvo type="num" val="70"/>
        <cfvo type="num" val="90"/>
        <color rgb="FFF8696B"/>
        <color rgb="FFFFEB84"/>
        <color rgb="FF63BE7B"/>
      </colorScale>
    </cfRule>
    <cfRule type="colorScale" priority="10">
      <colorScale>
        <cfvo type="min"/>
        <cfvo type="percentile" val="50"/>
        <cfvo type="max"/>
        <color rgb="FFF8696B"/>
        <color rgb="FFFFEB84"/>
        <color rgb="FF63BE7B"/>
      </colorScale>
    </cfRule>
  </conditionalFormatting>
  <conditionalFormatting sqref="W190">
    <cfRule type="colorScale" priority="7">
      <colorScale>
        <cfvo type="num" val="50"/>
        <cfvo type="num" val="70"/>
        <cfvo type="num" val="90"/>
        <color rgb="FFF8696B"/>
        <color rgb="FFFFEB84"/>
        <color rgb="FF63BE7B"/>
      </colorScale>
    </cfRule>
    <cfRule type="colorScale" priority="8">
      <colorScale>
        <cfvo type="min"/>
        <cfvo type="percentile" val="50"/>
        <cfvo type="max"/>
        <color rgb="FFF8696B"/>
        <color rgb="FFFFEB84"/>
        <color rgb="FF63BE7B"/>
      </colorScale>
    </cfRule>
  </conditionalFormatting>
  <conditionalFormatting sqref="W338">
    <cfRule type="colorScale" priority="5">
      <colorScale>
        <cfvo type="num" val="50"/>
        <cfvo type="num" val="70"/>
        <cfvo type="num" val="90"/>
        <color rgb="FFF8696B"/>
        <color rgb="FFFFEB84"/>
        <color rgb="FF63BE7B"/>
      </colorScale>
    </cfRule>
    <cfRule type="colorScale" priority="6">
      <colorScale>
        <cfvo type="min"/>
        <cfvo type="percentile" val="50"/>
        <cfvo type="max"/>
        <color rgb="FFF8696B"/>
        <color rgb="FFFFEB84"/>
        <color rgb="FF63BE7B"/>
      </colorScale>
    </cfRule>
  </conditionalFormatting>
  <conditionalFormatting sqref="W414">
    <cfRule type="colorScale" priority="3">
      <colorScale>
        <cfvo type="num" val="50"/>
        <cfvo type="num" val="70"/>
        <cfvo type="num" val="90"/>
        <color rgb="FFF8696B"/>
        <color rgb="FFFFEB84"/>
        <color rgb="FF63BE7B"/>
      </colorScale>
    </cfRule>
    <cfRule type="colorScale" priority="4">
      <colorScale>
        <cfvo type="min"/>
        <cfvo type="percentile" val="50"/>
        <cfvo type="max"/>
        <color rgb="FFF8696B"/>
        <color rgb="FFFFEB84"/>
        <color rgb="FF63BE7B"/>
      </colorScale>
    </cfRule>
  </conditionalFormatting>
  <conditionalFormatting sqref="R90">
    <cfRule type="colorScale" priority="1">
      <colorScale>
        <cfvo type="num" val="50"/>
        <cfvo type="num" val="70"/>
        <cfvo type="num" val="90"/>
        <color rgb="FFF8696B"/>
        <color rgb="FFFFEB84"/>
        <color rgb="FF63BE7B"/>
      </colorScale>
    </cfRule>
    <cfRule type="colorScale" priority="2">
      <colorScale>
        <cfvo type="min"/>
        <cfvo type="percentile" val="50"/>
        <cfvo type="max"/>
        <color rgb="FFF8696B"/>
        <color rgb="FFFFEB84"/>
        <color rgb="FF63BE7B"/>
      </colorScale>
    </cfRule>
  </conditionalFormatting>
  <dataValidations count="1">
    <dataValidation type="list" allowBlank="1" showInputMessage="1" showErrorMessage="1" sqref="G8 G17">
      <formula1>ETAPAS</formula1>
    </dataValidation>
  </dataValidations>
  <hyperlinks>
    <hyperlink ref="Y42" r:id="rId1"/>
    <hyperlink ref="Y8" r:id="rId2"/>
    <hyperlink ref="Y9" r:id="rId3" display="https://www.etitc.edu.co/archives/infoderechosautor21.pdf"/>
    <hyperlink ref="Y10" r:id="rId4" display="https://www.etitc.edu.co/archives/informeausteridad26.pdf"/>
    <hyperlink ref="Y11" r:id="rId5"/>
    <hyperlink ref="Y13" r:id="rId6"/>
    <hyperlink ref="Y89" r:id="rId7"/>
    <hyperlink ref="Y279" r:id="rId8"/>
    <hyperlink ref="Y278" r:id="rId9"/>
    <hyperlink ref="Y277" r:id="rId10"/>
    <hyperlink ref="Y274" r:id="rId11"/>
    <hyperlink ref="Y273" r:id="rId12"/>
    <hyperlink ref="Y272" r:id="rId13"/>
    <hyperlink ref="Y271" r:id="rId14"/>
    <hyperlink ref="Y270" r:id="rId15"/>
    <hyperlink ref="Y269" r:id="rId16"/>
    <hyperlink ref="Y268" r:id="rId17"/>
    <hyperlink ref="Y267" r:id="rId18"/>
    <hyperlink ref="Y266" r:id="rId19"/>
    <hyperlink ref="Y265" r:id="rId20"/>
    <hyperlink ref="Y264" r:id="rId21"/>
    <hyperlink ref="Y138" display="https://itceduco-my.sharepoint.com/personal/arquitectura_itc_edu_co/_layouts/15/onedrive.aspx?id=%2Fpersonal%2Farquitectura%5Fitc%5Fedu%5Fco%2FDocuments%2FPLANTA%20F%C3%8DSICA%2F3%2E%202022%2F2%2E%20Planeaci%C3%B3n%202022%2FPLAN%20DE%20ACCI%C3%93N%202022&amp;"/>
    <hyperlink ref="Y137" display="https://itceduco-my.sharepoint.com/personal/arquitectura_itc_edu_co/_layouts/15/onedrive.aspx?id=%2Fpersonal%2Farquitectura%5Fitc%5Fedu%5Fco%2FDocuments%2FPLANTA%20F%C3%8DSICA%2F3%2E%202022%2F2%2E%20Planeaci%C3%B3n%202022%2FPLAN%20DE%20ACCI%C3%93N%202022&amp;"/>
    <hyperlink ref="Y134" display="https://itceduco-my.sharepoint.com/personal/arquitectura_itc_edu_co/_layouts/15/onedrive.aspx?id=%2Fpersonal%2Farquitectura%5Fitc%5Fedu%5Fco%2FDocuments%2FPLANTA%20F%C3%8DSICA%2F3%2E%202022%2F2%2E%20Planeaci%C3%B3n%202022%2FPLAN%20DE%20ACCI%C3%93N%202022&amp;"/>
    <hyperlink ref="Y132" display="https://itceduco-my.sharepoint.com/personal/arquitectura_itc_edu_co/_layouts/15/onedrive.aspx?id=%2Fpersonal%2Farquitectura%5Fitc%5Fedu%5Fco%2FDocuments%2FPLANTA%20F%C3%8DSICA%2F3%2E%202022%2F2%2E%20Planeaci%C3%B3n%202022%2FPLAN%20DE%20ACCI%C3%93N%202022&amp;"/>
    <hyperlink ref="Y131" display="https://itceduco-my.sharepoint.com/personal/arquitectura_itc_edu_co/_layouts/15/onedrive.aspx?id=%2Fpersonal%2Farquitectura%5Fitc%5Fedu%5Fco%2FDocuments%2FPLANTA%20F%C3%8DSICA%2F3%2E%202022%2F2%2E%20Planeaci%C3%B3n%202022%2FPLAN%20DE%20ACCI%C3%93N%202022&amp;"/>
    <hyperlink ref="Y129" display="https://itceduco-my.sharepoint.com/personal/arquitectura_itc_edu_co/_layouts/15/onedrive.aspx?id=%2Fpersonal%2Farquitectura%5Fitc%5Fedu%5Fco%2FDocuments%2FPLANTA%20F%C3%8DSICA%2F3%2E%202022%2F2%2E%20Planeaci%C3%B3n%202022%2FPLAN%20DE%20ACCI%C3%93N%202022&amp;"/>
    <hyperlink ref="Y127" display="https://itceduco-my.sharepoint.com/personal/arquitectura_itc_edu_co/_layouts/15/onedrive.aspx?id=%2Fpersonal%2Farquitectura%5Fitc%5Fedu%5Fco%2FDocuments%2FPLANTA%20F%C3%8DSICA%2F3%2E%202022%2F2%2E%20Planeaci%C3%B3n%202022%2FPLAN%20DE%20ACCI%C3%93N%202022&amp;"/>
    <hyperlink ref="Y125" display="https://itceduco-my.sharepoint.com/personal/arquitectura_itc_edu_co/_layouts/15/onedrive.aspx?id=%2Fpersonal%2Farquitectura%5Fitc%5Fedu%5Fco%2FDocuments%2FPLANTA%20F%C3%8DSICA%2F3%2E%202022%2F2%2E%20Planeaci%C3%B3n%202022%2FPLAN%20DE%20ACCI%C3%93N%202022&amp;"/>
    <hyperlink ref="Y121" display="https://itceduco-my.sharepoint.com/personal/arquitectura_itc_edu_co/_layouts/15/onedrive.aspx?id=%2Fpersonal%2Farquitectura%5Fitc%5Fedu%5Fco%2FDocuments%2FPLANTA%20F%C3%8DSICA%2F3%2E%202022%2F2%2E%20Planeaci%C3%B3n%202022%2FPLAN%20DE%20ACCI%C3%93N%202022&amp;"/>
    <hyperlink ref="Y120" display="https://itceduco-my.sharepoint.com/personal/arquitectura_itc_edu_co/_layouts/15/onedrive.aspx?id=%2Fpersonal%2Farquitectura%5Fitc%5Fedu%5Fco%2FDocuments%2FPLANTA%20F%C3%8DSICA%2F3%2E%202022%2F2%2E%20Planeaci%C3%B3n%202022%2FPLAN%20DE%20ACCI%C3%93N%202022&amp;"/>
    <hyperlink ref="Y119" display="https://itceduco-my.sharepoint.com/personal/arquitectura_itc_edu_co/_layouts/15/onedrive.aspx?id=%2Fpersonal%2Farquitectura%5Fitc%5Fedu%5Fco%2FDocuments%2FPLANTA%20F%C3%8DSICA%2F3%2E%202022%2F2%2E%20Planeaci%C3%B3n%202022%2FPLAN%20DE%20ACCI%C3%93N%202022&amp;"/>
    <hyperlink ref="Y117" display="https://itceduco-my.sharepoint.com/personal/arquitectura_itc_edu_co/_layouts/15/onedrive.aspx?id=%2Fpersonal%2Farquitectura%5Fitc%5Fedu%5Fco%2FDocuments%2FPLANTA%20F%C3%8DSICA%2F3%2E%202022%2F2%2E%20Planeaci%C3%B3n%202022%2FPLAN%20DE%20ACCI%C3%93N%202022&amp;"/>
    <hyperlink ref="Y115" display="https://itceduco-my.sharepoint.com/personal/arquitectura_itc_edu_co/_layouts/15/onedrive.aspx?id=%2Fpersonal%2Farquitectura%5Fitc%5Fedu%5Fco%2FDocuments%2FPLANTA%20F%C3%8DSICA%2F3%2E%202022%2F2%2E%20Planeaci%C3%B3n%202022%2FPLAN%20DE%20ACCI%C3%93N%202022&amp;"/>
    <hyperlink ref="Y113" display="https://itceduco-my.sharepoint.com/personal/arquitectura_itc_edu_co/_layouts/15/onedrive.aspx?id=%2Fpersonal%2Farquitectura%5Fitc%5Fedu%5Fco%2FDocuments%2FPLANTA%20F%C3%8DSICA%2F3%2E%202022%2F2%2E%20Planeaci%C3%B3n%202022%2FPLAN%20DE%20ACCI%C3%93N%202022&amp;"/>
    <hyperlink ref="Y111" display="https://itceduco-my.sharepoint.com/personal/arquitectura_itc_edu_co/_layouts/15/onedrive.aspx?id=%2Fpersonal%2Farquitectura%5Fitc%5Fedu%5Fco%2FDocuments%2FPLANTA%20F%C3%8DSICA%2F3%2E%202022%2F2%2E%20Planeaci%C3%B3n%202022%2FPLAN%20DE%20ACCI%C3%93N%202022&amp;"/>
    <hyperlink ref="Y109" display="https://itceduco-my.sharepoint.com/personal/arquitectura_itc_edu_co/_layouts/15/onedrive.aspx?id=%2Fpersonal%2Farquitectura%5Fitc%5Fedu%5Fco%2FDocuments%2FPLANTA%20F%C3%8DSICA%2F3%2E%202022%2F2%2E%20Planeaci%C3%B3n%202022%2FPLAN%20DE%20ACCI%C3%93N%202022&amp;"/>
    <hyperlink ref="Y107" display="https://itceduco-my.sharepoint.com/personal/arquitectura_itc_edu_co/_layouts/15/onedrive.aspx?id=%2Fpersonal%2Farquitectura%5Fitc%5Fedu%5Fco%2FDocuments%2FPLANTA%20F%C3%8DSICA%2F3%2E%202022%2F2%2E%20Planeaci%C3%B3n%202022%2FPLAN%20DE%20ACCI%C3%93N%202022&amp;"/>
    <hyperlink ref="Y106" display="https://itceduco-my.sharepoint.com/personal/arquitectura_itc_edu_co/_layouts/15/onedrive.aspx?id=%2Fpersonal%2Farquitectura%5Fitc%5Fedu%5Fco%2FDocuments%2FPLANTA%20F%C3%8DSICA%2F3%2E%202022%2F2%2E%20Planeaci%C3%B3n%202022%2FPLAN%20DE%20ACCI%C3%93N%202022&amp;"/>
    <hyperlink ref="Y104" display="https://itceduco-my.sharepoint.com/personal/arquitectura_itc_edu_co/_layouts/15/onedrive.aspx?id=%2Fpersonal%2Farquitectura%5Fitc%5Fedu%5Fco%2FDocuments%2FPLANTA%20F%C3%8DSICA%2F3%2E%202022%2F2%2E%20Planeaci%C3%B3n%202022%2FPLAN%20DE%20ACCI%C3%93N%202022&amp;"/>
    <hyperlink ref="Y392" r:id="rId22"/>
    <hyperlink ref="Y395" r:id="rId23"/>
    <hyperlink ref="Y360" r:id="rId24"/>
    <hyperlink ref="Y30" r:id="rId25"/>
    <hyperlink ref="Y196" r:id="rId26"/>
    <hyperlink ref="Y197" r:id="rId27"/>
    <hyperlink ref="Y200" r:id="rId28"/>
    <hyperlink ref="Y205" r:id="rId29"/>
    <hyperlink ref="Y206" r:id="rId30"/>
    <hyperlink ref="Y207" r:id="rId31"/>
    <hyperlink ref="Y204" r:id="rId32"/>
    <hyperlink ref="Y208" r:id="rId33"/>
    <hyperlink ref="Y210" r:id="rId34"/>
    <hyperlink ref="Y211" r:id="rId35"/>
    <hyperlink ref="Y217" r:id="rId36"/>
    <hyperlink ref="Y226" r:id="rId37"/>
    <hyperlink ref="Y225" r:id="rId38"/>
    <hyperlink ref="Y224" r:id="rId39"/>
    <hyperlink ref="Y227" r:id="rId40"/>
    <hyperlink ref="Y228" r:id="rId41"/>
    <hyperlink ref="Y221" r:id="rId42"/>
    <hyperlink ref="Y223" r:id="rId43"/>
    <hyperlink ref="Y198" r:id="rId44"/>
    <hyperlink ref="Y199" r:id="rId45"/>
    <hyperlink ref="Y218" r:id="rId46"/>
    <hyperlink ref="Y219" r:id="rId47"/>
    <hyperlink ref="Y220" r:id="rId48"/>
    <hyperlink ref="AC42" r:id="rId49"/>
    <hyperlink ref="AC38" r:id="rId50"/>
    <hyperlink ref="AC196" r:id="rId51"/>
    <hyperlink ref="AC198" r:id="rId52"/>
    <hyperlink ref="AC200" r:id="rId53"/>
    <hyperlink ref="AC199" r:id="rId54"/>
    <hyperlink ref="AC201" r:id="rId55"/>
    <hyperlink ref="AC204" r:id="rId56"/>
    <hyperlink ref="AC205" r:id="rId57"/>
    <hyperlink ref="AC209" r:id="rId58"/>
    <hyperlink ref="AC210" r:id="rId59"/>
    <hyperlink ref="AC211" r:id="rId60"/>
    <hyperlink ref="AC213" r:id="rId61"/>
    <hyperlink ref="AC214" r:id="rId62"/>
    <hyperlink ref="AC215" r:id="rId63"/>
    <hyperlink ref="AC216" r:id="rId64"/>
    <hyperlink ref="AC217" r:id="rId65"/>
    <hyperlink ref="AC219" r:id="rId66"/>
    <hyperlink ref="AC224" r:id="rId67"/>
    <hyperlink ref="AC225" r:id="rId68"/>
    <hyperlink ref="AC226" r:id="rId69"/>
    <hyperlink ref="AC227" r:id="rId70"/>
    <hyperlink ref="AC192" r:id="rId71"/>
    <hyperlink ref="AC8" r:id="rId72"/>
    <hyperlink ref="AC9" r:id="rId73" display="https://www.etitc.edu.co/archives/infoderechosautor21.pdf"/>
    <hyperlink ref="AC10" r:id="rId74" display="https://www.etitc.edu.co/archives/informeausteridad26.pdf"/>
    <hyperlink ref="AC11" r:id="rId75"/>
    <hyperlink ref="AC13" r:id="rId76"/>
    <hyperlink ref="AC22" r:id="rId77" display="https://etitc.edu.co/es/page/nosotros&amp;normatividad&amp;resoluciones"/>
    <hyperlink ref="AC25" display="https://itceduco-my.sharepoint.com/:p:/r/personal/asuntosdisciplinarios_itc_edu_co/_layouts/15/Doc.aspx?sourcedoc=%7B55CFDF4B-A7A2-4ED5-978A-168E9F7E21CB%7D&amp;file=Presentaci%C3%B3n%20Disciplinario%20y%20Protocolos%20docentes%20IBTI.pptx&amp;action=edit&amp;mobiler"/>
    <hyperlink ref="AC24" r:id="rId78"/>
    <hyperlink ref="AC28" r:id="rId79"/>
    <hyperlink ref="AC27" r:id="rId80"/>
    <hyperlink ref="AC32" r:id="rId81" display="https://www.etitc.edu.co/archives/indicadorgestionmar22.xlsx"/>
    <hyperlink ref="AC31" r:id="rId82"/>
    <hyperlink ref="AC45" r:id="rId83"/>
    <hyperlink ref="AC140" r:id="rId84"/>
    <hyperlink ref="AC148" r:id="rId85"/>
    <hyperlink ref="AC350" r:id="rId86"/>
    <hyperlink ref="AG264" r:id="rId87"/>
    <hyperlink ref="AG267" r:id="rId88"/>
    <hyperlink ref="AG266" r:id="rId89"/>
    <hyperlink ref="AG268" r:id="rId90"/>
    <hyperlink ref="AG272" r:id="rId91"/>
    <hyperlink ref="AG278" r:id="rId92"/>
    <hyperlink ref="AG277" r:id="rId93"/>
    <hyperlink ref="AG279" r:id="rId94"/>
    <hyperlink ref="AG276" r:id="rId95"/>
    <hyperlink ref="AG275" r:id="rId96"/>
    <hyperlink ref="AG274" r:id="rId97"/>
    <hyperlink ref="AG366" r:id="rId98"/>
    <hyperlink ref="AG198" r:id="rId99"/>
    <hyperlink ref="AG199" r:id="rId100"/>
    <hyperlink ref="AG200" r:id="rId101"/>
    <hyperlink ref="AG201" r:id="rId102"/>
    <hyperlink ref="AG204" r:id="rId103"/>
    <hyperlink ref="AG205" display="https://itceduco-my.sharepoint.com/personal/bienestaruniversitario_itc_edu_co/_layouts/15/onedrive.aspx?id=%2Fpersonal%2Fbienestaruniversitario%5Fitc%5Fedu%5Fco%2FDocuments%2FT%2ES%2E%202020%20EN%20ADELANTE%2FSEGUIIMINIENTO%20PLAN%20DE%20ACCI%C3%93N%2F202"/>
    <hyperlink ref="AG209" r:id="rId104"/>
    <hyperlink ref="AG210" r:id="rId105"/>
    <hyperlink ref="AG211" r:id="rId106"/>
    <hyperlink ref="AG217" r:id="rId107"/>
    <hyperlink ref="AG219" r:id="rId108"/>
    <hyperlink ref="AG220" r:id="rId109" display="https://itceduco-my.sharepoint.com/personal/psicologia_itc_edu_co/_layouts/15/onedrive.aspx?id=%2Fpersonal%2Fpsicologia%5Fitc%5Fedu%5Fco%2FDocuments%2F2022%2F%C3%80REA%2F2022%2F2022%2D2%2FPSICOLOG%C3%8DA%2FINFORMES%2FATENCI%C3%92N%203%20TRIMESTRE%2Edocx&amp;parent=%2Fpersonal%2Fpsicologia%5Fitc%5Fedu%5Fco%2FDocuments%2F2022%2F%C3%80REA%2F2022%2F2022%2D2%2FPSICOLOG%C3%8DA%2FINFORMES"/>
    <hyperlink ref="AG224" r:id="rId110"/>
    <hyperlink ref="AG225" r:id="rId111"/>
    <hyperlink ref="AG226" r:id="rId112"/>
    <hyperlink ref="AG227" r:id="rId113"/>
  </hyperlinks>
  <printOptions gridLinesSet="0"/>
  <pageMargins left="0.75" right="0.75" top="1" bottom="1" header="0.5" footer="0.5"/>
  <pageSetup fitToWidth="0" fitToHeight="0" orientation="portrait" r:id="rId114"/>
  <headerFooter alignWithMargins="0"/>
  <drawing r:id="rId115"/>
  <legacyDrawing r:id="rId11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92"/>
  <sheetViews>
    <sheetView zoomScale="85" zoomScaleNormal="85" workbookViewId="0">
      <selection activeCell="E8" sqref="E8"/>
    </sheetView>
  </sheetViews>
  <sheetFormatPr baseColWidth="10" defaultColWidth="11.42578125" defaultRowHeight="12.75" x14ac:dyDescent="0.2"/>
  <cols>
    <col min="1" max="1" width="2.7109375" style="15" customWidth="1"/>
    <col min="2" max="4" width="20.85546875" style="15" customWidth="1"/>
    <col min="5" max="5" width="14.140625" style="15" customWidth="1"/>
    <col min="6" max="6" width="9.140625" style="15" customWidth="1"/>
    <col min="7" max="8" width="11.42578125" style="15"/>
    <col min="9" max="10" width="13.5703125" style="15" customWidth="1"/>
    <col min="11" max="11" width="14.28515625" style="15" customWidth="1"/>
    <col min="12" max="12" width="14.85546875" style="15" customWidth="1"/>
    <col min="13" max="13" width="11.42578125" style="15"/>
    <col min="14" max="15" width="16.28515625" style="15" customWidth="1"/>
    <col min="16" max="18" width="11.42578125" style="15"/>
    <col min="19" max="19" width="22.5703125" style="172" customWidth="1"/>
    <col min="20" max="20" width="18" style="15" customWidth="1"/>
    <col min="21" max="21" width="11.42578125" style="369"/>
    <col min="22" max="22" width="12.28515625" style="15" bestFit="1" customWidth="1"/>
    <col min="23" max="16384" width="11.42578125" style="15"/>
  </cols>
  <sheetData>
    <row r="1" spans="2:22" ht="81.75" customHeight="1" thickBot="1" x14ac:dyDescent="0.25">
      <c r="B1" s="857" t="s">
        <v>1699</v>
      </c>
      <c r="C1" s="858"/>
      <c r="D1" s="858"/>
      <c r="E1" s="858"/>
      <c r="M1" s="857" t="s">
        <v>1700</v>
      </c>
      <c r="N1" s="858"/>
      <c r="O1" s="858"/>
      <c r="P1" s="858"/>
      <c r="R1" s="174" t="s">
        <v>1701</v>
      </c>
      <c r="S1" s="856" t="s">
        <v>1702</v>
      </c>
      <c r="T1" s="856"/>
      <c r="U1" s="856"/>
    </row>
    <row r="2" spans="2:22" ht="45" customHeight="1" x14ac:dyDescent="0.2">
      <c r="B2" s="174" t="s">
        <v>1703</v>
      </c>
      <c r="C2" s="175" t="s">
        <v>1704</v>
      </c>
      <c r="D2" s="174" t="s">
        <v>1703</v>
      </c>
      <c r="E2" s="174" t="s">
        <v>1705</v>
      </c>
      <c r="G2" s="859" t="s">
        <v>1706</v>
      </c>
      <c r="H2" s="860"/>
      <c r="I2" s="860"/>
      <c r="J2" s="860"/>
      <c r="K2" s="861"/>
      <c r="M2" s="174" t="s">
        <v>1703</v>
      </c>
      <c r="N2" s="175" t="s">
        <v>1704</v>
      </c>
      <c r="O2" s="174" t="s">
        <v>1703</v>
      </c>
      <c r="P2" s="174" t="s">
        <v>1705</v>
      </c>
      <c r="R2" s="91"/>
      <c r="S2" s="174" t="s">
        <v>5</v>
      </c>
      <c r="T2" s="174" t="s">
        <v>1707</v>
      </c>
      <c r="U2" s="174" t="s">
        <v>1708</v>
      </c>
    </row>
    <row r="3" spans="2:22" ht="48.75" customHeight="1" x14ac:dyDescent="0.2">
      <c r="B3" s="433" t="s">
        <v>1709</v>
      </c>
      <c r="C3" s="177" t="e">
        <f>AVERAGE('LO INSTITUCIONAL'!Z40+'LO AMBIENTAL'!Z27)/2</f>
        <v>#VALUE!</v>
      </c>
      <c r="D3" s="433" t="s">
        <v>1709</v>
      </c>
      <c r="E3" s="176">
        <v>12</v>
      </c>
      <c r="H3" s="231" t="s">
        <v>1710</v>
      </c>
      <c r="I3" s="180" t="s">
        <v>1711</v>
      </c>
      <c r="J3" s="179" t="s">
        <v>1712</v>
      </c>
      <c r="K3" s="231" t="s">
        <v>1713</v>
      </c>
      <c r="M3" s="433" t="s">
        <v>1709</v>
      </c>
      <c r="N3" s="177">
        <f>'Plan de Acción 2022'!AA90</f>
        <v>45</v>
      </c>
      <c r="O3" s="433" t="s">
        <v>1709</v>
      </c>
      <c r="P3" s="176"/>
      <c r="R3" s="862" t="s">
        <v>1714</v>
      </c>
      <c r="S3" s="378" t="s">
        <v>41</v>
      </c>
      <c r="T3" s="91">
        <v>7</v>
      </c>
      <c r="U3" s="379">
        <f>AVERAGE('Plan de Acción 2022'!W8:W14)</f>
        <v>0.21428571428571427</v>
      </c>
      <c r="V3" s="379">
        <f>AVERAGE('Plan de Acción 2022'!AA8:AA14)</f>
        <v>0.5</v>
      </c>
    </row>
    <row r="4" spans="2:22" ht="51.75" customHeight="1" x14ac:dyDescent="0.2">
      <c r="B4" s="441" t="s">
        <v>1715</v>
      </c>
      <c r="C4" s="177" t="e">
        <f>AVERAGE('LO INSTITUCIONAL'!Z42+'LO AMBIENTAL'!Z29)/2</f>
        <v>#REF!</v>
      </c>
      <c r="D4" s="441" t="s">
        <v>1715</v>
      </c>
      <c r="E4" s="176">
        <v>22</v>
      </c>
      <c r="H4" s="182" t="e">
        <f>'LO INSTITUCIONAL'!Z39</f>
        <v>#VALUE!</v>
      </c>
      <c r="I4" s="176">
        <v>13</v>
      </c>
      <c r="J4" s="181" t="s">
        <v>1716</v>
      </c>
      <c r="K4" s="232">
        <v>26</v>
      </c>
      <c r="M4" s="441" t="s">
        <v>1715</v>
      </c>
      <c r="N4" s="177">
        <f>'Plan de Acción 2022'!AA190</f>
        <v>39</v>
      </c>
      <c r="O4" s="441" t="s">
        <v>1715</v>
      </c>
      <c r="P4" s="176"/>
      <c r="R4" s="862"/>
      <c r="S4" s="378" t="s">
        <v>73</v>
      </c>
      <c r="T4" s="91">
        <v>5</v>
      </c>
      <c r="U4" s="379">
        <f>AVERAGE('Plan de Acción 2022'!W15:W18)</f>
        <v>0.25</v>
      </c>
      <c r="V4" s="379">
        <f>AVERAGE('Plan de Acción 2022'!AA9:AA15)</f>
        <v>0.50714285714285712</v>
      </c>
    </row>
    <row r="5" spans="2:22" ht="49.5" customHeight="1" x14ac:dyDescent="0.2">
      <c r="B5" s="441" t="s">
        <v>1717</v>
      </c>
      <c r="C5" s="177" t="e">
        <f>AVERAGE('LO INSTITUCIONAL'!Z41+'LO SOCIAL'!W34+'LO AMBIENTAL'!Z28)/3</f>
        <v>#REF!</v>
      </c>
      <c r="D5" s="441" t="s">
        <v>1717</v>
      </c>
      <c r="E5" s="176">
        <v>17</v>
      </c>
      <c r="H5" s="182" t="e">
        <f>'LO SOCIAL'!W33</f>
        <v>#REF!</v>
      </c>
      <c r="I5" s="176">
        <v>8</v>
      </c>
      <c r="J5" s="181" t="s">
        <v>1718</v>
      </c>
      <c r="K5" s="232">
        <v>23</v>
      </c>
      <c r="M5" s="441" t="s">
        <v>1717</v>
      </c>
      <c r="N5" s="177">
        <f>'Plan de Acción 2022'!AA338</f>
        <v>41</v>
      </c>
      <c r="O5" s="441" t="s">
        <v>1717</v>
      </c>
      <c r="P5" s="176"/>
      <c r="R5" s="862"/>
      <c r="S5" s="378" t="s">
        <v>97</v>
      </c>
      <c r="T5" s="91">
        <v>3</v>
      </c>
      <c r="U5" s="379">
        <f>AVERAGE('Plan de Acción 2022'!W19:W21)</f>
        <v>0.25</v>
      </c>
      <c r="V5" s="379">
        <f>AVERAGE('Plan de Acción 2022'!AA10:AA16)</f>
        <v>0.57857142857142851</v>
      </c>
    </row>
    <row r="6" spans="2:22" ht="48.75" customHeight="1" thickBot="1" x14ac:dyDescent="0.25">
      <c r="B6" s="441" t="s">
        <v>1719</v>
      </c>
      <c r="C6" s="177" t="e">
        <f>AVERAGE('LO SOCIAL'!W35)</f>
        <v>#REF!</v>
      </c>
      <c r="D6" s="441" t="s">
        <v>1719</v>
      </c>
      <c r="E6" s="176">
        <v>14</v>
      </c>
      <c r="H6" s="185" t="e">
        <f>'LO AMBIENTAL'!Z26</f>
        <v>#REF!</v>
      </c>
      <c r="I6" s="184">
        <v>6</v>
      </c>
      <c r="J6" s="183" t="s">
        <v>1720</v>
      </c>
      <c r="K6" s="233">
        <v>16</v>
      </c>
      <c r="M6" s="441" t="s">
        <v>1719</v>
      </c>
      <c r="N6" s="177">
        <f>'Plan de Acción 2022'!AA414</f>
        <v>52</v>
      </c>
      <c r="O6" s="441" t="s">
        <v>1719</v>
      </c>
      <c r="P6" s="176"/>
      <c r="R6" s="862"/>
      <c r="S6" s="380" t="s">
        <v>114</v>
      </c>
      <c r="T6" s="381">
        <v>5</v>
      </c>
      <c r="U6" s="379">
        <f>AVERAGE('Plan de Acción 2022'!W22:W26)</f>
        <v>0.25</v>
      </c>
      <c r="V6" s="379">
        <f>AVERAGE('Plan de Acción 2022'!AA11:AA17)</f>
        <v>0.52857142857142858</v>
      </c>
    </row>
    <row r="7" spans="2:22" ht="51.75" customHeight="1" x14ac:dyDescent="0.2">
      <c r="B7" s="441" t="s">
        <v>1721</v>
      </c>
      <c r="C7" s="215" t="s">
        <v>52</v>
      </c>
      <c r="D7" s="441" t="s">
        <v>1722</v>
      </c>
      <c r="E7" s="176">
        <v>6</v>
      </c>
      <c r="K7" s="15">
        <f>SUM(K4:K6)</f>
        <v>65</v>
      </c>
      <c r="N7" s="215"/>
      <c r="O7" s="441"/>
      <c r="P7" s="176"/>
      <c r="R7" s="862"/>
      <c r="S7" s="378" t="s">
        <v>135</v>
      </c>
      <c r="T7" s="91">
        <v>10</v>
      </c>
      <c r="U7" s="379">
        <f>AVERAGE('Plan de Acción 2022'!W27:W35)</f>
        <v>0.16666666666666666</v>
      </c>
      <c r="V7" s="379">
        <f>AVERAGE('Plan de Acción 2022'!AA12:AA17)</f>
        <v>0.53333333333333333</v>
      </c>
    </row>
    <row r="8" spans="2:22" ht="15.75" x14ac:dyDescent="0.25">
      <c r="B8" s="186" t="s">
        <v>1723</v>
      </c>
      <c r="C8" s="370" t="e">
        <f>AVERAGE(C3+C4+C5+C6)/4</f>
        <v>#VALUE!</v>
      </c>
      <c r="D8" s="188"/>
      <c r="E8" s="187">
        <f>SUM(E3:E7)</f>
        <v>71</v>
      </c>
      <c r="M8" s="186" t="s">
        <v>1723</v>
      </c>
      <c r="N8" s="370">
        <f>AVERAGE(N3+N4+N5+N6)/4</f>
        <v>44.25</v>
      </c>
      <c r="O8" s="188"/>
      <c r="P8" s="187">
        <f>SUM(P3:P7)</f>
        <v>0</v>
      </c>
      <c r="R8" s="862"/>
      <c r="S8" s="378" t="s">
        <v>173</v>
      </c>
      <c r="T8" s="91">
        <v>5</v>
      </c>
      <c r="U8" s="379">
        <f>AVERAGE('Plan de Acción 2022'!W37:W42)</f>
        <v>0.20833333333333334</v>
      </c>
      <c r="V8" s="379">
        <f>AVERAGE('Plan de Acción 2022'!AA13:AA18)</f>
        <v>0.44999999999999996</v>
      </c>
    </row>
    <row r="9" spans="2:22" ht="25.5" x14ac:dyDescent="0.2">
      <c r="C9" s="225"/>
      <c r="D9" s="225"/>
      <c r="R9" s="862"/>
      <c r="S9" s="378" t="s">
        <v>212</v>
      </c>
      <c r="T9" s="91">
        <v>8</v>
      </c>
      <c r="U9" s="379">
        <f>AVERAGE('Plan de Acción 2022'!W43:W49)</f>
        <v>0.30714285714285711</v>
      </c>
      <c r="V9" s="379">
        <f>AVERAGE('Plan de Acción 2022'!AA14:AA18)</f>
        <v>0.43999999999999995</v>
      </c>
    </row>
    <row r="10" spans="2:22" ht="15.75" customHeight="1" x14ac:dyDescent="0.2">
      <c r="R10" s="862"/>
      <c r="S10" s="378" t="s">
        <v>239</v>
      </c>
      <c r="T10" s="91">
        <v>12</v>
      </c>
      <c r="U10" s="379">
        <f>AVERAGE('Plan de Acción 2022'!W50:W60)</f>
        <v>0.50727272727272732</v>
      </c>
      <c r="V10" s="379">
        <f>AVERAGE('Plan de Acción 2022'!AA15:AA19)</f>
        <v>0.44000000000000006</v>
      </c>
    </row>
    <row r="11" spans="2:22" s="189" customFormat="1" x14ac:dyDescent="0.2">
      <c r="R11" s="862"/>
      <c r="S11" s="378" t="s">
        <v>282</v>
      </c>
      <c r="T11" s="382">
        <v>31</v>
      </c>
      <c r="U11" s="383">
        <f>AVERAGE('Plan de Acción 2022'!W61:W82)</f>
        <v>0.19772727272727272</v>
      </c>
      <c r="V11" s="379">
        <f>AVERAGE('Plan de Acción 2022'!AA16:AA20)</f>
        <v>0.43</v>
      </c>
    </row>
    <row r="12" spans="2:22" ht="25.5" x14ac:dyDescent="0.2">
      <c r="M12" s="226" t="s">
        <v>1724</v>
      </c>
      <c r="N12" s="226" t="s">
        <v>1725</v>
      </c>
      <c r="O12" s="234"/>
      <c r="R12" s="862"/>
      <c r="S12" s="378" t="s">
        <v>390</v>
      </c>
      <c r="T12" s="91">
        <v>7</v>
      </c>
      <c r="U12" s="379">
        <f>AVERAGE('Plan de Acción 2022'!W83:W89)</f>
        <v>0.21428571428571427</v>
      </c>
      <c r="V12" s="379">
        <f>AVERAGE('Plan de Acción 2022'!AA17:AA21)</f>
        <v>0.32999999999999996</v>
      </c>
    </row>
    <row r="13" spans="2:22" ht="24.75" customHeight="1" x14ac:dyDescent="0.2">
      <c r="B13" s="226" t="s">
        <v>1724</v>
      </c>
      <c r="C13" s="226" t="s">
        <v>1725</v>
      </c>
      <c r="D13" s="234"/>
      <c r="M13" s="91">
        <v>10</v>
      </c>
      <c r="N13" s="91">
        <v>1</v>
      </c>
      <c r="R13" s="855" t="s">
        <v>1726</v>
      </c>
      <c r="S13" s="378" t="s">
        <v>425</v>
      </c>
      <c r="T13" s="91">
        <v>16</v>
      </c>
      <c r="U13" s="379">
        <f>AVERAGE('Plan de Acción 2022'!W91:W102)</f>
        <v>0.20833333333333329</v>
      </c>
      <c r="V13" s="379">
        <f>AVERAGE('Plan de Acción 2022'!AA18:AA22)</f>
        <v>0.4</v>
      </c>
    </row>
    <row r="14" spans="2:22" x14ac:dyDescent="0.2">
      <c r="B14" s="91">
        <v>10</v>
      </c>
      <c r="C14" s="91">
        <v>1</v>
      </c>
      <c r="M14" s="91">
        <v>20</v>
      </c>
      <c r="N14" s="91">
        <v>1</v>
      </c>
      <c r="R14" s="855"/>
      <c r="S14" s="378" t="s">
        <v>469</v>
      </c>
      <c r="T14" s="91">
        <v>37</v>
      </c>
      <c r="U14" s="379">
        <f>AVERAGE('Plan de Acción 2022'!W104:W138)</f>
        <v>0.21916470588235287</v>
      </c>
      <c r="V14" s="379">
        <f>AVERAGE('Plan de Acción 2022'!AA18:AA23)</f>
        <v>0.41666666666666669</v>
      </c>
    </row>
    <row r="15" spans="2:22" x14ac:dyDescent="0.2">
      <c r="B15" s="91">
        <v>20</v>
      </c>
      <c r="C15" s="91">
        <v>1</v>
      </c>
      <c r="M15" s="91">
        <v>30</v>
      </c>
      <c r="N15" s="91">
        <v>1</v>
      </c>
      <c r="R15" s="855"/>
      <c r="S15" s="378" t="s">
        <v>613</v>
      </c>
      <c r="T15" s="91">
        <v>3</v>
      </c>
      <c r="U15" s="379">
        <f>AVERAGE('Plan de Acción 2022'!W139:W141)</f>
        <v>0.33333333333333331</v>
      </c>
      <c r="V15" s="379">
        <f>AVERAGE('Plan de Acción 2022'!AA19:AA24)</f>
        <v>0.5</v>
      </c>
    </row>
    <row r="16" spans="2:22" ht="25.5" x14ac:dyDescent="0.2">
      <c r="B16" s="91">
        <v>30</v>
      </c>
      <c r="C16" s="91">
        <v>1</v>
      </c>
      <c r="M16" s="91">
        <v>40</v>
      </c>
      <c r="N16" s="91">
        <v>1</v>
      </c>
      <c r="R16" s="855"/>
      <c r="S16" s="378" t="s">
        <v>629</v>
      </c>
      <c r="T16" s="91">
        <v>1</v>
      </c>
      <c r="U16" s="379">
        <f>'Plan de Acción 2022'!W142</f>
        <v>0</v>
      </c>
      <c r="V16" s="379">
        <f>AVERAGE('Plan de Acción 2022'!AA19:AA25)</f>
        <v>0.52285714285714291</v>
      </c>
    </row>
    <row r="17" spans="1:22" ht="25.5" x14ac:dyDescent="0.2">
      <c r="B17" s="91">
        <v>40</v>
      </c>
      <c r="C17" s="91">
        <v>1</v>
      </c>
      <c r="M17" s="91">
        <v>50</v>
      </c>
      <c r="N17" s="91">
        <v>1</v>
      </c>
      <c r="R17" s="855"/>
      <c r="S17" s="378" t="s">
        <v>634</v>
      </c>
      <c r="T17" s="91">
        <v>5</v>
      </c>
      <c r="U17" s="384">
        <f>AVERAGE('Plan de Acción 2022'!W143:W147)</f>
        <v>0.15</v>
      </c>
      <c r="V17" s="379">
        <f>AVERAGE('Plan de Acción 2022'!AA20:AA26)</f>
        <v>0.51571428571428579</v>
      </c>
    </row>
    <row r="18" spans="1:22" ht="25.5" x14ac:dyDescent="0.2">
      <c r="B18" s="91">
        <v>50</v>
      </c>
      <c r="C18" s="91">
        <v>1</v>
      </c>
      <c r="M18" s="91">
        <v>60</v>
      </c>
      <c r="N18" s="91">
        <v>1</v>
      </c>
      <c r="R18" s="855"/>
      <c r="S18" s="378" t="s">
        <v>658</v>
      </c>
      <c r="T18" s="91">
        <v>2</v>
      </c>
      <c r="U18" s="379">
        <f>AVERAGE('Plan de Acción 2022'!W148:W149)</f>
        <v>0.25</v>
      </c>
      <c r="V18" s="379">
        <f>AVERAGE('Plan de Acción 2022'!AA21:AA27)</f>
        <v>0.51571428571428579</v>
      </c>
    </row>
    <row r="19" spans="1:22" x14ac:dyDescent="0.2">
      <c r="B19" s="91">
        <v>60</v>
      </c>
      <c r="C19" s="91">
        <v>1</v>
      </c>
      <c r="M19" s="91">
        <v>70</v>
      </c>
      <c r="N19" s="91">
        <v>1</v>
      </c>
      <c r="R19" s="855"/>
      <c r="S19" s="378" t="s">
        <v>670</v>
      </c>
      <c r="T19" s="91">
        <v>30</v>
      </c>
      <c r="U19" s="379">
        <f>AVERAGE('Plan de Acción 2022'!W150:W166)</f>
        <v>0.15882352941176472</v>
      </c>
      <c r="V19" s="379">
        <f>AVERAGE('Plan de Acción 2022'!AA22:AA28)</f>
        <v>0.51571428571428579</v>
      </c>
    </row>
    <row r="20" spans="1:22" ht="25.5" x14ac:dyDescent="0.2">
      <c r="B20" s="91">
        <v>70</v>
      </c>
      <c r="C20" s="91">
        <v>1</v>
      </c>
      <c r="M20" s="91">
        <v>80</v>
      </c>
      <c r="N20" s="91">
        <v>1</v>
      </c>
      <c r="R20" s="855"/>
      <c r="S20" s="378" t="s">
        <v>759</v>
      </c>
      <c r="T20" s="91">
        <v>30</v>
      </c>
      <c r="U20" s="384">
        <f>AVERAGE('Plan de Acción 2022'!W167:W189)</f>
        <v>8.478260869565217E-2</v>
      </c>
      <c r="V20" s="379">
        <f>AVERAGE('Plan de Acción 2022'!AA23:AA29)</f>
        <v>0.51571428571428579</v>
      </c>
    </row>
    <row r="21" spans="1:22" ht="38.25" customHeight="1" x14ac:dyDescent="0.2">
      <c r="B21" s="91">
        <v>80</v>
      </c>
      <c r="C21" s="91">
        <v>1</v>
      </c>
      <c r="M21" s="91">
        <v>90</v>
      </c>
      <c r="N21" s="91">
        <v>1</v>
      </c>
      <c r="R21" s="855" t="s">
        <v>839</v>
      </c>
      <c r="S21" s="378" t="s">
        <v>840</v>
      </c>
      <c r="T21" s="91">
        <v>5</v>
      </c>
      <c r="U21" s="379">
        <f>AVERAGE('Plan de Acción 2022'!W191:W236)</f>
        <v>0.31</v>
      </c>
      <c r="V21" s="379">
        <f>AVERAGE('Plan de Acción 2022'!AA24:AA30)</f>
        <v>0.48714285714285716</v>
      </c>
    </row>
    <row r="22" spans="1:22" ht="25.5" x14ac:dyDescent="0.2">
      <c r="B22" s="91">
        <v>90</v>
      </c>
      <c r="C22" s="91">
        <v>1</v>
      </c>
      <c r="M22" s="91">
        <v>100</v>
      </c>
      <c r="N22" s="91">
        <v>1</v>
      </c>
      <c r="R22" s="855"/>
      <c r="S22" s="378" t="s">
        <v>880</v>
      </c>
      <c r="T22" s="91">
        <v>31</v>
      </c>
      <c r="U22" s="379">
        <f>AVERAGE('Plan de Acción 2022'!W196:W228)</f>
        <v>0.30909090909090908</v>
      </c>
      <c r="V22" s="379">
        <f>AVERAGE('Plan de Acción 2022'!AA25:AA31)</f>
        <v>0.48714285714285716</v>
      </c>
    </row>
    <row r="23" spans="1:22" x14ac:dyDescent="0.2">
      <c r="B23" s="91">
        <v>100</v>
      </c>
      <c r="C23" s="91">
        <v>1</v>
      </c>
      <c r="M23" s="91"/>
      <c r="N23" s="91">
        <f>SUM(N13:N22)</f>
        <v>10</v>
      </c>
      <c r="R23" s="855"/>
      <c r="S23" s="378" t="s">
        <v>1050</v>
      </c>
      <c r="T23" s="91">
        <v>6</v>
      </c>
      <c r="U23" s="379">
        <f>AVERAGE('Plan de Acción 2022'!W229:W234)</f>
        <v>0.28999999999999998</v>
      </c>
      <c r="V23" s="379">
        <f>AVERAGE('Plan de Acción 2022'!AA26:AA32)</f>
        <v>0.42857142857142855</v>
      </c>
    </row>
    <row r="24" spans="1:22" ht="25.5" x14ac:dyDescent="0.2">
      <c r="B24" s="91"/>
      <c r="C24" s="91">
        <f>SUM(C14:C23)</f>
        <v>10</v>
      </c>
      <c r="M24" s="227"/>
      <c r="N24" s="227"/>
      <c r="R24" s="855"/>
      <c r="S24" s="378" t="s">
        <v>1089</v>
      </c>
      <c r="T24" s="91">
        <v>15</v>
      </c>
      <c r="U24" s="379">
        <f>AVERAGE('Plan de Acción 2022'!W237:W250)</f>
        <v>0.23928571428571432</v>
      </c>
      <c r="V24" s="379">
        <f>AVERAGE('Plan de Acción 2022'!AA27:AA33)</f>
        <v>0.37857142857142856</v>
      </c>
    </row>
    <row r="25" spans="1:22" ht="25.5" x14ac:dyDescent="0.2">
      <c r="B25" s="227"/>
      <c r="C25" s="227"/>
      <c r="M25" s="228" t="s">
        <v>1727</v>
      </c>
      <c r="N25" s="91">
        <f>N8*PI()</f>
        <v>139.01547492134836</v>
      </c>
      <c r="R25" s="855"/>
      <c r="S25" s="378" t="s">
        <v>1169</v>
      </c>
      <c r="T25" s="91">
        <v>15</v>
      </c>
      <c r="U25" s="379">
        <f>AVERAGE('Plan de Acción 2022'!W251:W263)</f>
        <v>0.13846153846153847</v>
      </c>
      <c r="V25" s="379">
        <f>AVERAGE('Plan de Acción 2022'!AA28:AA34)</f>
        <v>0.30714285714285711</v>
      </c>
    </row>
    <row r="26" spans="1:22" ht="38.25" x14ac:dyDescent="0.2">
      <c r="B26" s="228" t="s">
        <v>1727</v>
      </c>
      <c r="C26" s="91" t="e">
        <f>C8*PI()</f>
        <v>#VALUE!</v>
      </c>
      <c r="R26" s="855"/>
      <c r="S26" s="378" t="s">
        <v>1204</v>
      </c>
      <c r="T26" s="91">
        <v>16</v>
      </c>
      <c r="U26" s="379">
        <f>AVERAGE('Plan de Acción 2022'!W264:W279)</f>
        <v>0.17812499999999998</v>
      </c>
      <c r="V26" s="379">
        <f>AVERAGE('Plan de Acción 2022'!AA29:AA34)</f>
        <v>0.27500000000000002</v>
      </c>
    </row>
    <row r="27" spans="1:22" ht="25.5" x14ac:dyDescent="0.2">
      <c r="M27" s="178"/>
      <c r="N27" s="229" t="s">
        <v>1728</v>
      </c>
      <c r="O27" s="229" t="s">
        <v>1729</v>
      </c>
      <c r="R27" s="855"/>
      <c r="S27" s="378" t="s">
        <v>1267</v>
      </c>
      <c r="T27" s="91">
        <v>6</v>
      </c>
      <c r="U27" s="379">
        <f>AVERAGE('Plan de Acción 2022'!W280:W284)</f>
        <v>0.09</v>
      </c>
      <c r="V27" s="379">
        <f>AVERAGE('Plan de Acción 2022'!AA30:AA35)</f>
        <v>0.34333333333333332</v>
      </c>
    </row>
    <row r="28" spans="1:22" ht="25.5" x14ac:dyDescent="0.2">
      <c r="B28" s="178"/>
      <c r="C28" s="229" t="s">
        <v>1728</v>
      </c>
      <c r="D28" s="229" t="s">
        <v>1729</v>
      </c>
      <c r="M28" s="229" t="s">
        <v>1730</v>
      </c>
      <c r="N28" s="178">
        <f>0</f>
        <v>0</v>
      </c>
      <c r="O28" s="178">
        <v>0</v>
      </c>
      <c r="R28" s="855"/>
      <c r="S28" s="378" t="s">
        <v>1281</v>
      </c>
      <c r="T28" s="91">
        <v>22</v>
      </c>
      <c r="U28" s="379">
        <f>AVERAGE('Plan de Acción 2022'!W285:W304)</f>
        <v>0.23650000000000002</v>
      </c>
      <c r="V28" s="379">
        <f>AVERAGE('Plan de Acción 2022'!AA31:AA36)</f>
        <v>0.29333333333333333</v>
      </c>
    </row>
    <row r="29" spans="1:22" ht="25.5" x14ac:dyDescent="0.25">
      <c r="B29" s="229" t="s">
        <v>1730</v>
      </c>
      <c r="C29" s="178">
        <f>0</f>
        <v>0</v>
      </c>
      <c r="D29" s="178">
        <v>0</v>
      </c>
      <c r="M29" s="230" t="s">
        <v>1731</v>
      </c>
      <c r="N29" s="230">
        <f>COS(N25)*-1</f>
        <v>-0.70710678118654324</v>
      </c>
      <c r="O29" s="230">
        <f>SIN(N25)</f>
        <v>0.7071067811865519</v>
      </c>
      <c r="R29" s="855"/>
      <c r="S29" s="378" t="s">
        <v>1358</v>
      </c>
      <c r="T29" s="91">
        <v>3</v>
      </c>
      <c r="U29" s="379">
        <f>AVERAGE('Plan de Acción 2022'!W306:W308)</f>
        <v>0.18333333333333335</v>
      </c>
      <c r="V29" s="379">
        <f>AVERAGE('Plan de Acción 2022'!AA32:AA37)</f>
        <v>0.37666666666666665</v>
      </c>
    </row>
    <row r="30" spans="1:22" ht="25.5" x14ac:dyDescent="0.25">
      <c r="A30" s="190"/>
      <c r="B30" s="230" t="s">
        <v>1731</v>
      </c>
      <c r="C30" s="230" t="e">
        <f>COS(C26)*-1</f>
        <v>#VALUE!</v>
      </c>
      <c r="D30" s="230" t="e">
        <f>SIN(C26)</f>
        <v>#VALUE!</v>
      </c>
      <c r="F30" s="190"/>
      <c r="G30" s="190"/>
      <c r="H30" s="190"/>
      <c r="R30" s="855"/>
      <c r="S30" s="378" t="s">
        <v>1381</v>
      </c>
      <c r="T30" s="91">
        <v>8</v>
      </c>
      <c r="U30" s="379">
        <f>AVERAGE('Plan de Acción 2022'!W309:W314)</f>
        <v>7.4999999999999997E-2</v>
      </c>
      <c r="V30" s="379">
        <f>AVERAGE('Plan de Acción 2022'!AA33:AA38)</f>
        <v>0.41833333333333328</v>
      </c>
    </row>
    <row r="31" spans="1:22" ht="25.5" x14ac:dyDescent="0.25">
      <c r="A31" s="190"/>
      <c r="B31" s="190"/>
      <c r="C31" s="190"/>
      <c r="D31" s="190"/>
      <c r="E31" s="190"/>
      <c r="F31" s="190"/>
      <c r="G31" s="190"/>
      <c r="H31" s="190"/>
      <c r="R31" s="855"/>
      <c r="S31" s="378" t="s">
        <v>1402</v>
      </c>
      <c r="T31" s="91">
        <v>17</v>
      </c>
      <c r="U31" s="379">
        <f>AVERAGE('Plan de Acción 2022'!W315:W331)</f>
        <v>0.23705882352941174</v>
      </c>
      <c r="V31" s="379">
        <f>AVERAGE('Plan de Acción 2022'!AA34:AA39)</f>
        <v>0.40166666666666667</v>
      </c>
    </row>
    <row r="32" spans="1:22" ht="25.5" x14ac:dyDescent="0.25">
      <c r="A32" s="190"/>
      <c r="C32" s="190"/>
      <c r="D32" s="190"/>
      <c r="E32" s="190"/>
      <c r="F32" s="190"/>
      <c r="G32" s="190"/>
      <c r="H32" s="190"/>
      <c r="R32" s="855"/>
      <c r="S32" s="378" t="s">
        <v>1457</v>
      </c>
      <c r="T32" s="91">
        <v>6</v>
      </c>
      <c r="U32" s="379">
        <f>AVERAGE('Plan de Acción 2022'!W332:W337)</f>
        <v>0.24166666666666667</v>
      </c>
      <c r="V32" s="379">
        <f>AVERAGE('Plan de Acción 2022'!AA35:AA40)</f>
        <v>0.44333333333333336</v>
      </c>
    </row>
    <row r="33" spans="1:22" ht="15" x14ac:dyDescent="0.25">
      <c r="A33" s="190"/>
      <c r="B33" s="190"/>
      <c r="C33" s="190"/>
      <c r="D33" s="190"/>
      <c r="E33" s="190"/>
      <c r="F33" s="190"/>
      <c r="G33" s="190"/>
      <c r="H33" s="190"/>
      <c r="R33" s="855" t="s">
        <v>1732</v>
      </c>
      <c r="S33" s="378" t="s">
        <v>1479</v>
      </c>
      <c r="T33" s="91">
        <v>23</v>
      </c>
      <c r="U33" s="379">
        <f>AVERAGE('Plan de Acción 2022'!W339:W359)</f>
        <v>0.13095238095238096</v>
      </c>
      <c r="V33" s="379">
        <f>AVERAGE('Plan de Acción 2022'!AA35:AA41)</f>
        <v>0.48000000000000004</v>
      </c>
    </row>
    <row r="34" spans="1:22" ht="15" x14ac:dyDescent="0.25">
      <c r="A34" s="190"/>
      <c r="B34" s="190" t="s">
        <v>1733</v>
      </c>
      <c r="C34" s="190"/>
      <c r="D34" s="190"/>
      <c r="E34" s="190"/>
      <c r="F34" s="190"/>
      <c r="G34" s="190"/>
      <c r="H34" s="190"/>
      <c r="R34" s="855"/>
      <c r="S34" s="378" t="s">
        <v>1542</v>
      </c>
      <c r="T34" s="91">
        <v>9</v>
      </c>
      <c r="U34" s="379">
        <f>AVERAGE('Plan de Acción 2022'!W360:W366)</f>
        <v>0.20714285714285716</v>
      </c>
      <c r="V34" s="379">
        <f>AVERAGE('Plan de Acción 2022'!AA36:AA42)</f>
        <v>0.42142857142857143</v>
      </c>
    </row>
    <row r="35" spans="1:22" ht="15" x14ac:dyDescent="0.25">
      <c r="A35" s="190"/>
      <c r="B35" s="351" t="s">
        <v>1734</v>
      </c>
      <c r="C35" s="190"/>
      <c r="D35" s="190"/>
      <c r="E35" s="190"/>
      <c r="F35" s="190"/>
      <c r="G35" s="190"/>
      <c r="H35" s="190"/>
      <c r="R35" s="855"/>
      <c r="S35" s="378" t="s">
        <v>1568</v>
      </c>
      <c r="T35" s="91">
        <v>42</v>
      </c>
      <c r="U35" s="379">
        <f>AVERAGE('Plan de Acción 2022'!W367:W394)</f>
        <v>0.26964285714285713</v>
      </c>
      <c r="V35" s="379">
        <f>AVERAGE('Plan de Acción 2022'!AA37:AA43)</f>
        <v>0.5357142857142857</v>
      </c>
    </row>
    <row r="36" spans="1:22" ht="15" x14ac:dyDescent="0.25">
      <c r="A36" s="190"/>
      <c r="B36" s="190"/>
      <c r="C36" s="190"/>
      <c r="D36" s="190"/>
      <c r="E36" s="190"/>
      <c r="F36" s="190"/>
      <c r="G36" s="190"/>
      <c r="H36" s="190"/>
      <c r="R36" s="855"/>
      <c r="S36" s="378" t="s">
        <v>1656</v>
      </c>
      <c r="T36" s="91">
        <v>21</v>
      </c>
      <c r="U36" s="379">
        <f>AVERAGE('Plan de Acción 2022'!W396:W408)</f>
        <v>0.13846153846153847</v>
      </c>
      <c r="V36" s="379">
        <f>AVERAGE('Plan de Acción 2022'!AA38:AA44)</f>
        <v>0.39285714285714285</v>
      </c>
    </row>
    <row r="37" spans="1:22" ht="15" x14ac:dyDescent="0.25">
      <c r="A37" s="190"/>
      <c r="B37" s="190"/>
      <c r="C37" s="190"/>
      <c r="D37" s="190"/>
      <c r="E37" s="190"/>
      <c r="F37" s="190"/>
      <c r="G37" s="190"/>
      <c r="H37" s="190"/>
      <c r="R37" s="855"/>
      <c r="S37" s="378" t="s">
        <v>1684</v>
      </c>
      <c r="T37" s="91">
        <v>8</v>
      </c>
      <c r="U37" s="379">
        <f>AVERAGE('Plan de Acción 2022'!W395:W413)</f>
        <v>0.12789473684210526</v>
      </c>
      <c r="V37" s="379">
        <f>AVERAGE('Plan de Acción 2022'!AA39:AA44)</f>
        <v>0.375</v>
      </c>
    </row>
    <row r="38" spans="1:22" ht="15" x14ac:dyDescent="0.25">
      <c r="A38" s="190"/>
      <c r="B38" s="190"/>
      <c r="C38" s="190"/>
      <c r="D38" s="190"/>
      <c r="E38" s="190"/>
      <c r="F38" s="190"/>
      <c r="G38" s="190"/>
      <c r="H38" s="190"/>
      <c r="R38" s="855"/>
      <c r="S38" s="385" t="s">
        <v>1723</v>
      </c>
      <c r="T38" s="386">
        <f>SUM(T3:T37)</f>
        <v>470</v>
      </c>
      <c r="U38" s="387">
        <f>AVERAGE(U3:U37)</f>
        <v>0.21065051863657247</v>
      </c>
      <c r="V38" s="387">
        <f>AVERAGE(V3:V37)</f>
        <v>0.44243537414965989</v>
      </c>
    </row>
    <row r="39" spans="1:22" ht="15" x14ac:dyDescent="0.25">
      <c r="A39" s="190"/>
      <c r="B39" s="190"/>
      <c r="C39" s="190"/>
      <c r="D39" s="190"/>
      <c r="E39" s="190"/>
      <c r="F39" s="190"/>
      <c r="G39" s="190"/>
      <c r="H39" s="190"/>
    </row>
    <row r="40" spans="1:22" ht="15" x14ac:dyDescent="0.25">
      <c r="A40" s="190"/>
      <c r="B40" s="190"/>
      <c r="C40" s="190"/>
      <c r="D40" s="190"/>
      <c r="E40" s="190"/>
      <c r="F40" s="190"/>
      <c r="G40" s="190"/>
      <c r="H40" s="190"/>
    </row>
    <row r="41" spans="1:22" ht="15" x14ac:dyDescent="0.25">
      <c r="A41" s="190"/>
      <c r="B41" s="190"/>
      <c r="C41" s="190"/>
      <c r="D41" s="190"/>
      <c r="E41" s="190"/>
      <c r="F41" s="190"/>
      <c r="G41" s="190"/>
      <c r="H41" s="190"/>
    </row>
    <row r="42" spans="1:22" ht="15" x14ac:dyDescent="0.25">
      <c r="A42" s="190"/>
      <c r="B42" s="190"/>
      <c r="C42" s="190"/>
      <c r="D42" s="190"/>
      <c r="E42" s="190"/>
      <c r="F42" s="190"/>
      <c r="G42" s="190"/>
      <c r="H42" s="190"/>
    </row>
    <row r="43" spans="1:22" ht="15" x14ac:dyDescent="0.25">
      <c r="A43" s="190"/>
      <c r="B43" s="190"/>
      <c r="C43" s="190"/>
      <c r="D43" s="190"/>
      <c r="E43" s="190"/>
      <c r="F43" s="190"/>
      <c r="G43" s="190"/>
      <c r="H43" s="190"/>
    </row>
    <row r="44" spans="1:22" ht="15" x14ac:dyDescent="0.25">
      <c r="A44" s="190"/>
      <c r="B44" s="190"/>
      <c r="C44" s="190"/>
      <c r="D44" s="190"/>
      <c r="E44" s="190"/>
      <c r="F44" s="190"/>
      <c r="G44" s="190"/>
      <c r="H44" s="190"/>
    </row>
    <row r="45" spans="1:22" ht="15" x14ac:dyDescent="0.25">
      <c r="A45" s="190"/>
      <c r="B45" s="190"/>
      <c r="C45" s="190"/>
      <c r="D45" s="190"/>
      <c r="E45" s="190"/>
      <c r="F45" s="190"/>
      <c r="G45" s="190"/>
      <c r="H45" s="190"/>
    </row>
    <row r="46" spans="1:22" ht="15" x14ac:dyDescent="0.25">
      <c r="A46" s="190"/>
      <c r="B46" s="190"/>
      <c r="C46" s="190"/>
      <c r="D46" s="190"/>
      <c r="E46" s="190"/>
      <c r="F46" s="190"/>
      <c r="G46" s="190"/>
      <c r="H46" s="190"/>
      <c r="I46" s="190"/>
      <c r="J46" s="190"/>
      <c r="K46" s="190"/>
    </row>
    <row r="47" spans="1:22" ht="15" x14ac:dyDescent="0.25">
      <c r="A47" s="190"/>
      <c r="B47" s="190"/>
      <c r="C47" s="190"/>
      <c r="D47" s="190"/>
      <c r="E47" s="190"/>
      <c r="F47" s="190"/>
      <c r="G47" s="190"/>
      <c r="H47" s="190"/>
      <c r="I47" s="190"/>
      <c r="J47" s="190"/>
      <c r="K47" s="190"/>
    </row>
    <row r="48" spans="1:22" ht="15" x14ac:dyDescent="0.25">
      <c r="A48" s="190"/>
      <c r="B48" s="190"/>
      <c r="C48" s="190"/>
      <c r="D48" s="190"/>
      <c r="E48" s="190"/>
      <c r="F48" s="190"/>
      <c r="G48" s="190"/>
      <c r="H48" s="190"/>
      <c r="I48" s="190"/>
      <c r="J48" s="190"/>
      <c r="K48" s="190"/>
    </row>
    <row r="49" spans="1:11" ht="15" x14ac:dyDescent="0.25">
      <c r="A49" s="190"/>
      <c r="B49" s="190"/>
      <c r="C49" s="190"/>
      <c r="D49" s="190"/>
      <c r="E49" s="190"/>
      <c r="F49" s="190"/>
      <c r="G49" s="190"/>
      <c r="H49" s="190"/>
      <c r="I49" s="190"/>
      <c r="J49" s="190"/>
      <c r="K49" s="190"/>
    </row>
    <row r="50" spans="1:11" ht="15" x14ac:dyDescent="0.25">
      <c r="A50" s="190"/>
      <c r="B50" s="190"/>
      <c r="C50" s="190"/>
      <c r="D50" s="190"/>
      <c r="E50" s="190"/>
      <c r="F50" s="190"/>
      <c r="G50" s="190"/>
      <c r="H50" s="190"/>
      <c r="I50" s="190"/>
      <c r="J50" s="190"/>
      <c r="K50" s="190"/>
    </row>
    <row r="51" spans="1:11" ht="15" x14ac:dyDescent="0.25">
      <c r="A51" s="190"/>
      <c r="B51" s="190"/>
      <c r="C51" s="190"/>
      <c r="D51" s="190"/>
      <c r="E51" s="190"/>
      <c r="F51" s="190"/>
      <c r="G51" s="190"/>
      <c r="H51" s="190"/>
      <c r="I51" s="190"/>
      <c r="J51" s="190"/>
      <c r="K51" s="190"/>
    </row>
    <row r="52" spans="1:11" ht="15" x14ac:dyDescent="0.25">
      <c r="A52" s="190"/>
      <c r="B52" s="190"/>
      <c r="C52" s="190"/>
      <c r="D52" s="190"/>
      <c r="E52" s="190"/>
      <c r="F52" s="190"/>
      <c r="G52" s="190"/>
      <c r="H52" s="190"/>
      <c r="I52" s="190"/>
      <c r="J52" s="190"/>
      <c r="K52" s="190"/>
    </row>
    <row r="53" spans="1:11" ht="15" x14ac:dyDescent="0.25">
      <c r="A53" s="190"/>
      <c r="B53" s="190"/>
      <c r="C53" s="190"/>
      <c r="D53" s="190"/>
      <c r="E53" s="190"/>
      <c r="F53" s="190"/>
      <c r="G53" s="190"/>
      <c r="H53" s="190"/>
      <c r="I53" s="190"/>
      <c r="J53" s="190"/>
      <c r="K53" s="190"/>
    </row>
    <row r="54" spans="1:11" ht="15" x14ac:dyDescent="0.25">
      <c r="A54" s="190"/>
      <c r="B54" s="190"/>
      <c r="C54" s="190"/>
      <c r="D54" s="190"/>
      <c r="E54" s="190"/>
      <c r="F54" s="190"/>
      <c r="G54" s="190"/>
      <c r="H54" s="190"/>
      <c r="I54" s="190"/>
      <c r="J54" s="190"/>
      <c r="K54" s="190"/>
    </row>
    <row r="55" spans="1:11" ht="15" x14ac:dyDescent="0.25">
      <c r="A55" s="190"/>
      <c r="B55" s="190"/>
      <c r="C55" s="190"/>
      <c r="D55" s="190"/>
      <c r="E55" s="190"/>
      <c r="F55" s="190"/>
      <c r="G55" s="190"/>
      <c r="H55" s="190"/>
      <c r="I55" s="190"/>
      <c r="J55" s="190"/>
      <c r="K55" s="190"/>
    </row>
    <row r="56" spans="1:11" ht="15" x14ac:dyDescent="0.25">
      <c r="A56" s="190"/>
      <c r="B56" s="190"/>
      <c r="C56" s="190"/>
      <c r="D56" s="190"/>
      <c r="E56" s="190"/>
      <c r="F56" s="190"/>
      <c r="G56" s="190"/>
      <c r="H56" s="190"/>
      <c r="I56" s="190"/>
      <c r="J56" s="190"/>
      <c r="K56" s="190"/>
    </row>
    <row r="57" spans="1:11" ht="15" x14ac:dyDescent="0.25">
      <c r="A57" s="190"/>
      <c r="B57" s="190"/>
      <c r="C57" s="190"/>
      <c r="D57" s="190"/>
      <c r="E57" s="190"/>
      <c r="F57" s="190"/>
      <c r="G57" s="190"/>
      <c r="H57" s="190"/>
      <c r="I57" s="190"/>
      <c r="J57" s="190"/>
      <c r="K57" s="190"/>
    </row>
    <row r="58" spans="1:11" ht="15" x14ac:dyDescent="0.25">
      <c r="A58" s="190"/>
      <c r="B58" s="190"/>
      <c r="C58" s="190"/>
      <c r="D58" s="190"/>
      <c r="E58" s="190"/>
      <c r="F58" s="190"/>
      <c r="G58" s="190"/>
      <c r="H58" s="190"/>
      <c r="I58" s="190"/>
      <c r="J58" s="190"/>
      <c r="K58" s="190"/>
    </row>
    <row r="59" spans="1:11" ht="15" x14ac:dyDescent="0.25">
      <c r="A59" s="190"/>
      <c r="B59" s="190"/>
      <c r="C59" s="190"/>
      <c r="D59" s="190"/>
      <c r="E59" s="190"/>
      <c r="F59" s="190"/>
      <c r="G59" s="190"/>
      <c r="H59" s="190"/>
      <c r="I59" s="190"/>
      <c r="J59" s="190"/>
      <c r="K59" s="190"/>
    </row>
    <row r="60" spans="1:11" ht="15" x14ac:dyDescent="0.25">
      <c r="A60" s="190"/>
      <c r="B60" s="190"/>
      <c r="C60" s="190"/>
      <c r="D60" s="190"/>
      <c r="E60" s="190"/>
      <c r="F60" s="190"/>
      <c r="G60" s="190"/>
      <c r="H60" s="190"/>
      <c r="I60" s="190"/>
      <c r="J60" s="190"/>
      <c r="K60" s="190"/>
    </row>
    <row r="61" spans="1:11" ht="15" x14ac:dyDescent="0.25">
      <c r="A61" s="190"/>
      <c r="B61" s="190"/>
      <c r="C61" s="190"/>
      <c r="D61" s="190"/>
      <c r="E61" s="190"/>
      <c r="F61" s="190"/>
      <c r="G61" s="190"/>
      <c r="H61" s="190"/>
      <c r="I61" s="190"/>
      <c r="J61" s="190"/>
      <c r="K61" s="190"/>
    </row>
    <row r="62" spans="1:11" ht="15" x14ac:dyDescent="0.25">
      <c r="A62" s="190"/>
      <c r="B62" s="190"/>
      <c r="C62" s="190"/>
      <c r="D62" s="190"/>
      <c r="E62" s="190"/>
      <c r="F62" s="190"/>
      <c r="G62" s="190"/>
      <c r="H62" s="190"/>
      <c r="I62" s="190"/>
      <c r="J62" s="190"/>
      <c r="K62" s="190"/>
    </row>
    <row r="63" spans="1:11" ht="15" x14ac:dyDescent="0.25">
      <c r="A63" s="190"/>
      <c r="B63" s="190"/>
      <c r="C63" s="190"/>
      <c r="D63" s="190"/>
      <c r="E63" s="190"/>
      <c r="F63" s="190"/>
      <c r="G63" s="190"/>
      <c r="H63" s="190"/>
      <c r="I63" s="190"/>
      <c r="J63" s="190"/>
      <c r="K63" s="190"/>
    </row>
    <row r="64" spans="1:11" ht="15" x14ac:dyDescent="0.25">
      <c r="A64" s="190"/>
      <c r="B64" s="190"/>
      <c r="C64" s="190"/>
      <c r="D64" s="190"/>
      <c r="E64" s="190"/>
      <c r="F64" s="190"/>
      <c r="G64" s="190"/>
      <c r="H64" s="190"/>
      <c r="I64" s="190"/>
      <c r="J64" s="190"/>
      <c r="K64" s="190"/>
    </row>
    <row r="65" spans="1:11" ht="15" x14ac:dyDescent="0.25">
      <c r="A65" s="190"/>
      <c r="B65" s="190"/>
      <c r="C65" s="190"/>
      <c r="D65" s="190"/>
      <c r="E65" s="190"/>
      <c r="F65" s="190"/>
      <c r="G65" s="190"/>
      <c r="H65" s="190"/>
      <c r="I65" s="190"/>
      <c r="J65" s="190"/>
      <c r="K65" s="190"/>
    </row>
    <row r="66" spans="1:11" ht="15" x14ac:dyDescent="0.25">
      <c r="A66" s="190"/>
      <c r="B66" s="190"/>
      <c r="C66" s="190"/>
      <c r="D66" s="190"/>
      <c r="E66" s="190"/>
      <c r="F66" s="190"/>
      <c r="G66" s="190"/>
      <c r="H66" s="190"/>
      <c r="I66" s="190"/>
      <c r="J66" s="190"/>
      <c r="K66" s="190"/>
    </row>
    <row r="67" spans="1:11" ht="15" x14ac:dyDescent="0.25">
      <c r="A67" s="190"/>
      <c r="B67" s="190"/>
      <c r="C67" s="190"/>
      <c r="D67" s="190"/>
      <c r="E67" s="190"/>
      <c r="F67" s="190"/>
      <c r="G67" s="190"/>
      <c r="H67" s="190"/>
      <c r="I67" s="190"/>
      <c r="J67" s="190"/>
      <c r="K67" s="190"/>
    </row>
    <row r="68" spans="1:11" ht="15" x14ac:dyDescent="0.25">
      <c r="A68" s="190"/>
      <c r="B68" s="190"/>
      <c r="C68" s="190"/>
      <c r="D68" s="190"/>
      <c r="E68" s="190"/>
      <c r="F68" s="190"/>
      <c r="G68" s="190"/>
      <c r="H68" s="190"/>
      <c r="I68" s="190"/>
      <c r="J68" s="190"/>
      <c r="K68" s="190"/>
    </row>
    <row r="69" spans="1:11" ht="15" x14ac:dyDescent="0.25">
      <c r="A69" s="190"/>
      <c r="B69" s="190"/>
      <c r="C69" s="190"/>
      <c r="D69" s="190"/>
      <c r="E69" s="190"/>
      <c r="F69" s="190"/>
      <c r="G69" s="190"/>
      <c r="H69" s="190"/>
      <c r="I69" s="190"/>
      <c r="J69" s="190"/>
      <c r="K69" s="190"/>
    </row>
    <row r="70" spans="1:11" ht="15" x14ac:dyDescent="0.25">
      <c r="A70" s="190"/>
      <c r="B70" s="190"/>
      <c r="C70" s="190"/>
      <c r="D70" s="190"/>
      <c r="E70" s="190"/>
      <c r="F70" s="190"/>
      <c r="G70" s="190"/>
      <c r="H70" s="190"/>
      <c r="I70" s="190"/>
      <c r="J70" s="190"/>
      <c r="K70" s="190"/>
    </row>
    <row r="71" spans="1:11" ht="15" x14ac:dyDescent="0.25">
      <c r="A71" s="190"/>
      <c r="B71" s="190"/>
      <c r="C71" s="190"/>
      <c r="D71" s="190"/>
      <c r="E71" s="190"/>
      <c r="F71" s="190"/>
      <c r="G71" s="190"/>
      <c r="H71" s="190"/>
      <c r="I71" s="190"/>
      <c r="J71" s="190"/>
      <c r="K71" s="190"/>
    </row>
    <row r="72" spans="1:11" ht="15" x14ac:dyDescent="0.25">
      <c r="A72" s="190"/>
      <c r="B72" s="190"/>
      <c r="C72" s="190"/>
      <c r="D72" s="190"/>
      <c r="E72" s="190"/>
      <c r="F72" s="190"/>
      <c r="G72" s="190"/>
      <c r="H72" s="190"/>
      <c r="I72" s="190"/>
      <c r="J72" s="190"/>
      <c r="K72" s="190"/>
    </row>
    <row r="73" spans="1:11" ht="15" x14ac:dyDescent="0.25">
      <c r="A73" s="190"/>
      <c r="B73" s="190"/>
      <c r="C73" s="190"/>
      <c r="D73" s="190"/>
      <c r="E73" s="190"/>
      <c r="F73" s="190"/>
      <c r="G73" s="190"/>
      <c r="H73" s="190"/>
      <c r="I73" s="190"/>
      <c r="J73" s="190"/>
      <c r="K73" s="190"/>
    </row>
    <row r="74" spans="1:11" ht="15" x14ac:dyDescent="0.25">
      <c r="A74" s="190"/>
      <c r="B74" s="190"/>
      <c r="C74" s="190"/>
      <c r="D74" s="190"/>
      <c r="E74" s="190"/>
      <c r="F74" s="190"/>
      <c r="G74" s="190"/>
      <c r="H74" s="190"/>
      <c r="I74" s="190"/>
      <c r="J74" s="190"/>
      <c r="K74" s="190"/>
    </row>
    <row r="75" spans="1:11" ht="15" x14ac:dyDescent="0.25">
      <c r="A75" s="190"/>
      <c r="B75" s="190"/>
      <c r="C75" s="190"/>
      <c r="D75" s="190"/>
      <c r="E75" s="190"/>
      <c r="F75" s="190"/>
      <c r="G75" s="190"/>
      <c r="H75" s="190"/>
      <c r="I75" s="190"/>
      <c r="J75" s="190"/>
      <c r="K75" s="190"/>
    </row>
    <row r="76" spans="1:11" ht="15" x14ac:dyDescent="0.25">
      <c r="A76" s="190"/>
      <c r="B76" s="190"/>
      <c r="C76" s="190"/>
      <c r="D76" s="190"/>
      <c r="E76" s="190"/>
      <c r="F76" s="190"/>
      <c r="G76" s="190"/>
      <c r="H76" s="190"/>
      <c r="I76" s="190"/>
      <c r="J76" s="190"/>
      <c r="K76" s="190"/>
    </row>
    <row r="77" spans="1:11" ht="15" x14ac:dyDescent="0.25">
      <c r="A77" s="190"/>
      <c r="B77" s="190"/>
      <c r="C77" s="190"/>
      <c r="D77" s="190"/>
      <c r="E77" s="190"/>
      <c r="F77" s="190"/>
      <c r="G77" s="190"/>
      <c r="H77" s="190"/>
      <c r="I77" s="190"/>
      <c r="J77" s="190"/>
      <c r="K77" s="190"/>
    </row>
    <row r="78" spans="1:11" ht="15" x14ac:dyDescent="0.25">
      <c r="A78" s="190"/>
      <c r="B78" s="190"/>
      <c r="C78" s="190"/>
      <c r="D78" s="190"/>
      <c r="E78" s="190"/>
      <c r="F78" s="190"/>
      <c r="G78" s="190"/>
      <c r="H78" s="190"/>
      <c r="I78" s="190"/>
      <c r="J78" s="190"/>
      <c r="K78" s="190"/>
    </row>
    <row r="79" spans="1:11" ht="15" x14ac:dyDescent="0.25">
      <c r="A79" s="190"/>
      <c r="B79" s="190"/>
      <c r="C79" s="190"/>
      <c r="D79" s="190"/>
      <c r="E79" s="190"/>
      <c r="F79" s="190"/>
      <c r="G79" s="190"/>
      <c r="H79" s="190"/>
      <c r="I79" s="190"/>
      <c r="J79" s="190"/>
      <c r="K79" s="190"/>
    </row>
    <row r="80" spans="1:11" ht="15" x14ac:dyDescent="0.25">
      <c r="A80" s="190"/>
      <c r="B80" s="190"/>
      <c r="C80" s="190"/>
      <c r="D80" s="190"/>
      <c r="E80" s="190"/>
      <c r="F80" s="190"/>
      <c r="G80" s="190"/>
      <c r="H80" s="190"/>
      <c r="I80" s="190"/>
      <c r="J80" s="190"/>
      <c r="K80" s="190"/>
    </row>
    <row r="81" spans="1:11" ht="15" x14ac:dyDescent="0.25">
      <c r="A81" s="190"/>
      <c r="B81" s="190"/>
      <c r="C81" s="190"/>
      <c r="D81" s="190"/>
      <c r="E81" s="190"/>
      <c r="F81" s="190"/>
      <c r="G81" s="190"/>
      <c r="H81" s="190"/>
      <c r="I81" s="190"/>
      <c r="J81" s="190"/>
      <c r="K81" s="190"/>
    </row>
    <row r="82" spans="1:11" ht="15" x14ac:dyDescent="0.25">
      <c r="A82" s="190"/>
      <c r="B82" s="190"/>
      <c r="C82" s="190"/>
      <c r="D82" s="190"/>
      <c r="E82" s="190"/>
      <c r="F82" s="190"/>
      <c r="G82" s="190"/>
      <c r="H82" s="190"/>
      <c r="I82" s="190"/>
      <c r="J82" s="190"/>
      <c r="K82" s="190"/>
    </row>
    <row r="83" spans="1:11" ht="15" x14ac:dyDescent="0.25">
      <c r="A83" s="190"/>
      <c r="B83" s="190"/>
      <c r="C83" s="190"/>
      <c r="D83" s="190"/>
      <c r="E83" s="190"/>
      <c r="F83" s="190"/>
      <c r="G83" s="190"/>
      <c r="H83" s="190"/>
      <c r="I83" s="190"/>
      <c r="J83" s="190"/>
      <c r="K83" s="190"/>
    </row>
    <row r="84" spans="1:11" ht="15" x14ac:dyDescent="0.25">
      <c r="A84" s="190"/>
      <c r="B84" s="190"/>
      <c r="C84" s="190"/>
      <c r="D84" s="190"/>
      <c r="E84" s="190"/>
      <c r="F84" s="190"/>
      <c r="G84" s="190"/>
      <c r="H84" s="190"/>
      <c r="I84" s="190"/>
      <c r="J84" s="190"/>
      <c r="K84" s="190"/>
    </row>
    <row r="85" spans="1:11" ht="15" x14ac:dyDescent="0.25">
      <c r="A85" s="190"/>
      <c r="B85" s="190"/>
      <c r="C85" s="190"/>
      <c r="D85" s="190"/>
      <c r="E85" s="190"/>
      <c r="F85" s="190"/>
    </row>
    <row r="86" spans="1:11" ht="15" x14ac:dyDescent="0.25">
      <c r="A86" s="190"/>
      <c r="B86" s="190"/>
      <c r="C86" s="190"/>
      <c r="D86" s="190"/>
      <c r="E86" s="190"/>
      <c r="F86" s="190"/>
    </row>
    <row r="87" spans="1:11" ht="15" x14ac:dyDescent="0.25">
      <c r="A87" s="190"/>
      <c r="B87" s="190"/>
      <c r="C87" s="190"/>
      <c r="D87" s="190"/>
      <c r="E87" s="190"/>
      <c r="F87" s="190"/>
    </row>
    <row r="88" spans="1:11" ht="15" x14ac:dyDescent="0.25">
      <c r="A88" s="190"/>
      <c r="B88" s="190"/>
      <c r="C88" s="190"/>
      <c r="D88" s="190"/>
      <c r="E88" s="190"/>
      <c r="F88" s="190"/>
    </row>
    <row r="89" spans="1:11" ht="15" x14ac:dyDescent="0.25">
      <c r="A89" s="190"/>
      <c r="B89" s="190"/>
      <c r="C89" s="190"/>
      <c r="D89" s="190"/>
      <c r="E89" s="190"/>
      <c r="F89" s="190"/>
    </row>
    <row r="90" spans="1:11" ht="15" x14ac:dyDescent="0.25">
      <c r="A90" s="190"/>
      <c r="B90" s="190"/>
      <c r="C90" s="190"/>
      <c r="D90" s="190"/>
      <c r="E90" s="190"/>
      <c r="F90" s="190"/>
    </row>
    <row r="91" spans="1:11" ht="15" x14ac:dyDescent="0.25">
      <c r="A91" s="190"/>
      <c r="B91" s="190"/>
      <c r="C91" s="190"/>
      <c r="D91" s="190"/>
      <c r="E91" s="190"/>
      <c r="F91" s="190"/>
    </row>
    <row r="92" spans="1:11" ht="15" x14ac:dyDescent="0.25">
      <c r="A92" s="190"/>
      <c r="B92" s="190"/>
      <c r="C92" s="190"/>
      <c r="D92" s="190"/>
      <c r="E92" s="190"/>
      <c r="F92" s="190"/>
    </row>
    <row r="93" spans="1:11" ht="15" x14ac:dyDescent="0.25">
      <c r="A93" s="190"/>
      <c r="B93" s="190"/>
      <c r="C93" s="190"/>
      <c r="D93" s="190"/>
      <c r="E93" s="190"/>
      <c r="F93" s="190"/>
    </row>
    <row r="94" spans="1:11" ht="15" x14ac:dyDescent="0.25">
      <c r="A94" s="190"/>
      <c r="B94" s="190"/>
      <c r="C94" s="190"/>
      <c r="D94" s="190"/>
      <c r="E94" s="190"/>
      <c r="F94" s="190"/>
    </row>
    <row r="95" spans="1:11" ht="15" x14ac:dyDescent="0.25">
      <c r="A95" s="190"/>
      <c r="B95" s="190"/>
      <c r="C95" s="190"/>
      <c r="D95" s="190"/>
      <c r="E95" s="190"/>
      <c r="F95" s="190"/>
    </row>
    <row r="96" spans="1:11" ht="15" x14ac:dyDescent="0.25">
      <c r="A96" s="190"/>
      <c r="B96" s="190"/>
      <c r="C96" s="190"/>
      <c r="D96" s="190"/>
      <c r="E96" s="190"/>
      <c r="F96" s="190"/>
    </row>
    <row r="97" spans="1:6" ht="15" x14ac:dyDescent="0.25">
      <c r="A97" s="190"/>
      <c r="B97" s="190"/>
      <c r="C97" s="190"/>
      <c r="D97" s="190"/>
      <c r="E97" s="190"/>
      <c r="F97" s="190"/>
    </row>
    <row r="98" spans="1:6" ht="15" x14ac:dyDescent="0.25">
      <c r="A98" s="190"/>
      <c r="B98" s="190"/>
      <c r="C98" s="190"/>
      <c r="D98" s="190"/>
      <c r="E98" s="190"/>
      <c r="F98" s="190"/>
    </row>
    <row r="99" spans="1:6" ht="15" x14ac:dyDescent="0.25">
      <c r="A99" s="190"/>
      <c r="B99" s="190"/>
      <c r="C99" s="190"/>
      <c r="D99" s="190"/>
      <c r="E99" s="190"/>
      <c r="F99" s="190"/>
    </row>
    <row r="100" spans="1:6" ht="15" x14ac:dyDescent="0.25">
      <c r="A100" s="190"/>
      <c r="B100" s="190"/>
      <c r="C100" s="190"/>
      <c r="D100" s="190"/>
      <c r="E100" s="190"/>
      <c r="F100" s="190"/>
    </row>
    <row r="101" spans="1:6" ht="15" x14ac:dyDescent="0.25">
      <c r="A101" s="190"/>
      <c r="B101" s="190"/>
      <c r="C101" s="190"/>
      <c r="D101" s="190"/>
      <c r="E101" s="190"/>
      <c r="F101" s="190"/>
    </row>
    <row r="102" spans="1:6" ht="15" x14ac:dyDescent="0.25">
      <c r="A102" s="190"/>
      <c r="B102" s="190"/>
      <c r="C102" s="190"/>
      <c r="D102" s="190"/>
      <c r="E102" s="190"/>
      <c r="F102" s="190"/>
    </row>
    <row r="103" spans="1:6" ht="15" x14ac:dyDescent="0.25">
      <c r="A103" s="190"/>
      <c r="B103" s="190"/>
      <c r="C103" s="190"/>
      <c r="D103" s="190"/>
      <c r="E103" s="190"/>
      <c r="F103" s="190"/>
    </row>
    <row r="104" spans="1:6" ht="15" x14ac:dyDescent="0.25">
      <c r="A104" s="190"/>
      <c r="B104" s="190"/>
      <c r="C104" s="190"/>
      <c r="D104" s="190"/>
      <c r="E104" s="190"/>
      <c r="F104" s="190"/>
    </row>
    <row r="105" spans="1:6" ht="15" x14ac:dyDescent="0.25">
      <c r="A105" s="190"/>
      <c r="B105" s="190"/>
      <c r="C105" s="190"/>
      <c r="D105" s="190"/>
      <c r="E105" s="190"/>
      <c r="F105" s="190"/>
    </row>
    <row r="106" spans="1:6" ht="15" x14ac:dyDescent="0.25">
      <c r="A106" s="190"/>
      <c r="B106" s="190"/>
      <c r="C106" s="190"/>
      <c r="D106" s="190"/>
      <c r="E106" s="190"/>
      <c r="F106" s="190"/>
    </row>
    <row r="107" spans="1:6" ht="15" x14ac:dyDescent="0.25">
      <c r="A107" s="190"/>
      <c r="B107" s="190"/>
      <c r="C107" s="190"/>
      <c r="D107" s="190"/>
      <c r="E107" s="190"/>
      <c r="F107" s="190"/>
    </row>
    <row r="108" spans="1:6" ht="15" x14ac:dyDescent="0.25">
      <c r="A108" s="190"/>
      <c r="B108" s="190"/>
      <c r="C108" s="190"/>
      <c r="D108" s="190"/>
      <c r="E108" s="190"/>
      <c r="F108" s="190"/>
    </row>
    <row r="109" spans="1:6" ht="15" x14ac:dyDescent="0.25">
      <c r="A109" s="190"/>
      <c r="B109" s="190"/>
      <c r="C109" s="190"/>
      <c r="D109" s="190"/>
      <c r="E109" s="190"/>
      <c r="F109" s="190"/>
    </row>
    <row r="110" spans="1:6" ht="15" x14ac:dyDescent="0.25">
      <c r="A110" s="190"/>
      <c r="B110" s="190"/>
      <c r="C110" s="190"/>
      <c r="D110" s="190"/>
      <c r="E110" s="190"/>
      <c r="F110" s="190"/>
    </row>
    <row r="111" spans="1:6" ht="15" x14ac:dyDescent="0.25">
      <c r="A111" s="190"/>
      <c r="B111" s="190"/>
      <c r="C111" s="190"/>
      <c r="D111" s="190"/>
      <c r="E111" s="190"/>
      <c r="F111" s="190"/>
    </row>
    <row r="112" spans="1:6" ht="15" x14ac:dyDescent="0.25">
      <c r="A112" s="190"/>
      <c r="B112" s="190"/>
      <c r="C112" s="190"/>
      <c r="D112" s="190"/>
      <c r="E112" s="190"/>
      <c r="F112" s="190"/>
    </row>
    <row r="113" spans="1:6" ht="15" x14ac:dyDescent="0.25">
      <c r="A113" s="190"/>
      <c r="B113" s="190"/>
      <c r="C113" s="190"/>
      <c r="D113" s="190"/>
      <c r="E113" s="190"/>
      <c r="F113" s="190"/>
    </row>
    <row r="114" spans="1:6" ht="15" x14ac:dyDescent="0.25">
      <c r="A114" s="190"/>
      <c r="B114" s="190"/>
      <c r="C114" s="190"/>
      <c r="D114" s="190"/>
      <c r="E114" s="190"/>
      <c r="F114" s="190"/>
    </row>
    <row r="115" spans="1:6" ht="15" x14ac:dyDescent="0.25">
      <c r="A115" s="190"/>
      <c r="B115" s="190"/>
      <c r="C115" s="190"/>
      <c r="D115" s="190"/>
      <c r="E115" s="190"/>
      <c r="F115" s="190"/>
    </row>
    <row r="116" spans="1:6" ht="15" x14ac:dyDescent="0.25">
      <c r="A116" s="190"/>
      <c r="B116" s="190"/>
      <c r="C116" s="190"/>
      <c r="D116" s="190"/>
      <c r="E116" s="190"/>
      <c r="F116" s="190"/>
    </row>
    <row r="117" spans="1:6" ht="15" x14ac:dyDescent="0.25">
      <c r="A117" s="190"/>
      <c r="B117" s="190"/>
      <c r="C117" s="190"/>
      <c r="D117" s="190"/>
      <c r="E117" s="190"/>
      <c r="F117" s="190"/>
    </row>
    <row r="118" spans="1:6" ht="15" x14ac:dyDescent="0.25">
      <c r="A118" s="190"/>
      <c r="B118" s="190"/>
      <c r="C118" s="190"/>
      <c r="D118" s="190"/>
      <c r="E118" s="190"/>
      <c r="F118" s="190"/>
    </row>
    <row r="119" spans="1:6" ht="15" x14ac:dyDescent="0.25">
      <c r="A119" s="190"/>
      <c r="B119" s="190"/>
      <c r="C119" s="190"/>
      <c r="D119" s="190"/>
      <c r="E119" s="190"/>
      <c r="F119" s="190"/>
    </row>
    <row r="120" spans="1:6" ht="15" x14ac:dyDescent="0.25">
      <c r="A120" s="190"/>
      <c r="B120" s="190"/>
      <c r="C120" s="190"/>
      <c r="D120" s="190"/>
      <c r="E120" s="190"/>
      <c r="F120" s="190"/>
    </row>
    <row r="121" spans="1:6" ht="15" x14ac:dyDescent="0.25">
      <c r="A121" s="190"/>
      <c r="B121" s="190"/>
      <c r="C121" s="190"/>
      <c r="D121" s="190"/>
      <c r="E121" s="190"/>
      <c r="F121" s="190"/>
    </row>
    <row r="122" spans="1:6" ht="15" x14ac:dyDescent="0.25">
      <c r="A122" s="190"/>
      <c r="B122" s="190"/>
      <c r="C122" s="190"/>
      <c r="D122" s="190"/>
      <c r="E122" s="190"/>
      <c r="F122" s="190"/>
    </row>
    <row r="123" spans="1:6" ht="15" x14ac:dyDescent="0.25">
      <c r="A123" s="190"/>
      <c r="B123" s="190"/>
      <c r="C123" s="190"/>
      <c r="D123" s="190"/>
      <c r="E123" s="190"/>
      <c r="F123" s="190"/>
    </row>
    <row r="124" spans="1:6" ht="15" x14ac:dyDescent="0.25">
      <c r="A124" s="190"/>
      <c r="B124" s="190"/>
      <c r="C124" s="190"/>
      <c r="D124" s="190"/>
      <c r="E124" s="190"/>
      <c r="F124" s="190"/>
    </row>
    <row r="125" spans="1:6" ht="15" x14ac:dyDescent="0.25">
      <c r="A125" s="190"/>
      <c r="B125" s="190"/>
      <c r="C125" s="190"/>
      <c r="D125" s="190"/>
      <c r="E125" s="190"/>
      <c r="F125" s="190"/>
    </row>
    <row r="126" spans="1:6" ht="15" x14ac:dyDescent="0.25">
      <c r="A126" s="190"/>
      <c r="B126" s="190"/>
      <c r="C126" s="190"/>
      <c r="D126" s="190"/>
      <c r="E126" s="190"/>
      <c r="F126" s="190"/>
    </row>
    <row r="127" spans="1:6" ht="15" x14ac:dyDescent="0.25">
      <c r="A127" s="190"/>
      <c r="B127" s="190"/>
      <c r="C127" s="190"/>
      <c r="D127" s="190"/>
      <c r="E127" s="190"/>
      <c r="F127" s="190"/>
    </row>
    <row r="128" spans="1:6" ht="15" x14ac:dyDescent="0.25">
      <c r="A128" s="190"/>
      <c r="B128" s="190"/>
      <c r="C128" s="190"/>
      <c r="D128" s="190"/>
      <c r="E128" s="190"/>
      <c r="F128" s="190"/>
    </row>
    <row r="129" spans="1:6" ht="15" x14ac:dyDescent="0.25">
      <c r="A129" s="190"/>
      <c r="B129" s="190"/>
      <c r="C129" s="190"/>
      <c r="D129" s="190"/>
      <c r="E129" s="190"/>
      <c r="F129" s="190"/>
    </row>
    <row r="130" spans="1:6" ht="15" x14ac:dyDescent="0.25">
      <c r="A130" s="190"/>
      <c r="B130" s="190"/>
      <c r="C130" s="190"/>
      <c r="D130" s="190"/>
      <c r="E130" s="190"/>
      <c r="F130" s="190"/>
    </row>
    <row r="131" spans="1:6" ht="15" x14ac:dyDescent="0.25">
      <c r="A131" s="190"/>
      <c r="B131" s="190"/>
      <c r="C131" s="190"/>
      <c r="D131" s="190"/>
      <c r="E131" s="190"/>
      <c r="F131" s="190"/>
    </row>
    <row r="132" spans="1:6" ht="15" x14ac:dyDescent="0.25">
      <c r="A132" s="190"/>
      <c r="B132" s="190"/>
      <c r="C132" s="190"/>
      <c r="D132" s="190"/>
      <c r="E132" s="190"/>
      <c r="F132" s="190"/>
    </row>
    <row r="133" spans="1:6" ht="15" x14ac:dyDescent="0.25">
      <c r="A133" s="190"/>
      <c r="B133" s="190"/>
      <c r="C133" s="190"/>
      <c r="D133" s="190"/>
      <c r="E133" s="190"/>
      <c r="F133" s="190"/>
    </row>
    <row r="134" spans="1:6" ht="15" x14ac:dyDescent="0.25">
      <c r="A134" s="190"/>
      <c r="B134" s="190"/>
      <c r="C134" s="190"/>
      <c r="D134" s="190"/>
      <c r="E134" s="190"/>
      <c r="F134" s="190"/>
    </row>
    <row r="135" spans="1:6" ht="15" x14ac:dyDescent="0.25">
      <c r="A135" s="190"/>
      <c r="B135" s="190"/>
      <c r="C135" s="190"/>
      <c r="D135" s="190"/>
      <c r="E135" s="190"/>
      <c r="F135" s="190"/>
    </row>
    <row r="136" spans="1:6" ht="15" x14ac:dyDescent="0.25">
      <c r="A136" s="190"/>
      <c r="B136" s="190"/>
      <c r="C136" s="190"/>
      <c r="D136" s="190"/>
      <c r="E136" s="190"/>
      <c r="F136" s="190"/>
    </row>
    <row r="137" spans="1:6" ht="15" x14ac:dyDescent="0.25">
      <c r="A137" s="190"/>
      <c r="B137" s="190"/>
      <c r="C137" s="190"/>
      <c r="D137" s="190"/>
      <c r="E137" s="190"/>
      <c r="F137" s="190"/>
    </row>
    <row r="138" spans="1:6" ht="15" x14ac:dyDescent="0.25">
      <c r="A138" s="190"/>
      <c r="B138" s="190"/>
      <c r="C138" s="190"/>
      <c r="D138" s="190"/>
      <c r="E138" s="190"/>
      <c r="F138" s="190"/>
    </row>
    <row r="139" spans="1:6" ht="15" x14ac:dyDescent="0.25">
      <c r="A139" s="190"/>
      <c r="B139" s="190"/>
      <c r="C139" s="190"/>
      <c r="D139" s="190"/>
      <c r="E139" s="190"/>
      <c r="F139" s="190"/>
    </row>
    <row r="140" spans="1:6" ht="15" x14ac:dyDescent="0.25">
      <c r="A140" s="190"/>
      <c r="B140" s="190"/>
      <c r="C140" s="190"/>
      <c r="D140" s="190"/>
      <c r="E140" s="190"/>
      <c r="F140" s="190"/>
    </row>
    <row r="141" spans="1:6" ht="15" x14ac:dyDescent="0.25">
      <c r="A141" s="190"/>
      <c r="B141" s="190"/>
      <c r="C141" s="190"/>
      <c r="D141" s="190"/>
      <c r="E141" s="190"/>
      <c r="F141" s="190"/>
    </row>
    <row r="142" spans="1:6" ht="15" x14ac:dyDescent="0.25">
      <c r="A142" s="190"/>
      <c r="B142" s="190"/>
      <c r="C142" s="190"/>
      <c r="D142" s="190"/>
      <c r="E142" s="190"/>
      <c r="F142" s="190"/>
    </row>
    <row r="143" spans="1:6" ht="15" x14ac:dyDescent="0.25">
      <c r="A143" s="190"/>
      <c r="B143" s="190"/>
      <c r="C143" s="190"/>
      <c r="D143" s="190"/>
      <c r="E143" s="190"/>
      <c r="F143" s="190"/>
    </row>
    <row r="144" spans="1:6" ht="15" x14ac:dyDescent="0.25">
      <c r="A144" s="190"/>
      <c r="B144" s="190"/>
      <c r="C144" s="190"/>
      <c r="D144" s="190"/>
      <c r="E144" s="190"/>
      <c r="F144" s="190"/>
    </row>
    <row r="145" spans="1:6" ht="15" x14ac:dyDescent="0.25">
      <c r="A145" s="190"/>
      <c r="B145" s="190"/>
      <c r="C145" s="190"/>
      <c r="D145" s="190"/>
      <c r="E145" s="190"/>
      <c r="F145" s="190"/>
    </row>
    <row r="146" spans="1:6" ht="15" x14ac:dyDescent="0.25">
      <c r="A146" s="190"/>
      <c r="B146" s="190"/>
      <c r="C146" s="190"/>
      <c r="D146" s="190"/>
      <c r="E146" s="190"/>
      <c r="F146" s="190"/>
    </row>
    <row r="147" spans="1:6" ht="15" x14ac:dyDescent="0.25">
      <c r="A147" s="190"/>
      <c r="B147" s="190"/>
      <c r="C147" s="190"/>
      <c r="D147" s="190"/>
      <c r="E147" s="190"/>
      <c r="F147" s="190"/>
    </row>
    <row r="148" spans="1:6" ht="15" x14ac:dyDescent="0.25">
      <c r="A148" s="190"/>
      <c r="B148" s="190"/>
      <c r="C148" s="190"/>
      <c r="D148" s="190"/>
      <c r="E148" s="190"/>
      <c r="F148" s="190"/>
    </row>
    <row r="149" spans="1:6" ht="15" x14ac:dyDescent="0.25">
      <c r="A149" s="190"/>
      <c r="B149" s="190"/>
      <c r="C149" s="190"/>
      <c r="D149" s="190"/>
      <c r="E149" s="190"/>
      <c r="F149" s="190"/>
    </row>
    <row r="150" spans="1:6" ht="15" x14ac:dyDescent="0.25">
      <c r="A150" s="190"/>
      <c r="B150" s="190"/>
      <c r="C150" s="190"/>
      <c r="D150" s="190"/>
      <c r="E150" s="190"/>
      <c r="F150" s="190"/>
    </row>
    <row r="151" spans="1:6" ht="15" x14ac:dyDescent="0.25">
      <c r="A151" s="190"/>
      <c r="B151" s="190"/>
      <c r="C151" s="190"/>
      <c r="D151" s="190"/>
      <c r="E151" s="190"/>
      <c r="F151" s="190"/>
    </row>
    <row r="152" spans="1:6" ht="15" x14ac:dyDescent="0.25">
      <c r="A152" s="190"/>
      <c r="B152" s="190"/>
      <c r="C152" s="190"/>
      <c r="D152" s="190"/>
      <c r="E152" s="190"/>
      <c r="F152" s="190"/>
    </row>
    <row r="153" spans="1:6" ht="15" x14ac:dyDescent="0.25">
      <c r="A153" s="190"/>
      <c r="B153" s="190"/>
      <c r="C153" s="190"/>
      <c r="D153" s="190"/>
      <c r="E153" s="190"/>
      <c r="F153" s="190"/>
    </row>
    <row r="154" spans="1:6" ht="15" x14ac:dyDescent="0.25">
      <c r="A154" s="190"/>
      <c r="B154" s="190"/>
      <c r="C154" s="190"/>
      <c r="D154" s="190"/>
      <c r="E154" s="190"/>
      <c r="F154" s="190"/>
    </row>
    <row r="155" spans="1:6" ht="15" x14ac:dyDescent="0.25">
      <c r="A155" s="190"/>
      <c r="B155" s="190"/>
      <c r="C155" s="190"/>
      <c r="D155" s="190"/>
      <c r="E155" s="190"/>
      <c r="F155" s="190"/>
    </row>
    <row r="156" spans="1:6" ht="15" x14ac:dyDescent="0.25">
      <c r="A156" s="190"/>
      <c r="B156" s="190"/>
      <c r="C156" s="190"/>
      <c r="D156" s="190"/>
      <c r="E156" s="190"/>
      <c r="F156" s="190"/>
    </row>
    <row r="157" spans="1:6" ht="15" x14ac:dyDescent="0.25">
      <c r="A157" s="190"/>
      <c r="B157" s="190"/>
      <c r="C157" s="190"/>
      <c r="D157" s="190"/>
      <c r="E157" s="190"/>
      <c r="F157" s="190"/>
    </row>
    <row r="158" spans="1:6" ht="15" x14ac:dyDescent="0.25">
      <c r="A158" s="190"/>
      <c r="B158" s="190"/>
      <c r="C158" s="190"/>
      <c r="D158" s="190"/>
      <c r="E158" s="190"/>
      <c r="F158" s="190"/>
    </row>
    <row r="159" spans="1:6" ht="15" x14ac:dyDescent="0.25">
      <c r="A159" s="190"/>
      <c r="B159" s="190"/>
      <c r="C159" s="190"/>
      <c r="D159" s="190"/>
      <c r="E159" s="190"/>
      <c r="F159" s="190"/>
    </row>
    <row r="160" spans="1:6" ht="15" x14ac:dyDescent="0.25">
      <c r="A160" s="190"/>
      <c r="B160" s="190"/>
      <c r="C160" s="190"/>
      <c r="D160" s="190"/>
      <c r="E160" s="190"/>
      <c r="F160" s="190"/>
    </row>
    <row r="161" spans="1:6" ht="15" x14ac:dyDescent="0.25">
      <c r="A161" s="190"/>
      <c r="B161" s="190"/>
      <c r="C161" s="190"/>
      <c r="D161" s="190"/>
      <c r="E161" s="190"/>
      <c r="F161" s="190"/>
    </row>
    <row r="162" spans="1:6" ht="15" x14ac:dyDescent="0.25">
      <c r="A162" s="190"/>
      <c r="B162" s="190"/>
      <c r="C162" s="190"/>
      <c r="D162" s="190"/>
      <c r="E162" s="190"/>
      <c r="F162" s="190"/>
    </row>
    <row r="163" spans="1:6" ht="15" x14ac:dyDescent="0.25">
      <c r="A163" s="190"/>
      <c r="B163" s="190"/>
      <c r="C163" s="190"/>
      <c r="D163" s="190"/>
      <c r="E163" s="190"/>
      <c r="F163" s="190"/>
    </row>
    <row r="164" spans="1:6" ht="15" x14ac:dyDescent="0.25">
      <c r="A164" s="190"/>
      <c r="B164" s="190"/>
      <c r="C164" s="190"/>
      <c r="D164" s="190"/>
      <c r="E164" s="190"/>
      <c r="F164" s="190"/>
    </row>
    <row r="165" spans="1:6" ht="15" x14ac:dyDescent="0.25">
      <c r="A165" s="190"/>
      <c r="B165" s="190"/>
      <c r="C165" s="190"/>
      <c r="D165" s="190"/>
      <c r="E165" s="190"/>
      <c r="F165" s="190"/>
    </row>
    <row r="166" spans="1:6" ht="15" x14ac:dyDescent="0.25">
      <c r="A166" s="190"/>
      <c r="B166" s="190"/>
      <c r="C166" s="190"/>
      <c r="D166" s="190"/>
      <c r="E166" s="190"/>
      <c r="F166" s="190"/>
    </row>
    <row r="167" spans="1:6" ht="15" x14ac:dyDescent="0.25">
      <c r="A167" s="190"/>
      <c r="B167" s="190"/>
      <c r="C167" s="190"/>
      <c r="D167" s="190"/>
      <c r="E167" s="190"/>
      <c r="F167" s="190"/>
    </row>
    <row r="168" spans="1:6" ht="15" x14ac:dyDescent="0.25">
      <c r="A168" s="190"/>
      <c r="B168" s="190"/>
      <c r="C168" s="190"/>
      <c r="D168" s="190"/>
      <c r="E168" s="190"/>
      <c r="F168" s="190"/>
    </row>
    <row r="169" spans="1:6" ht="15" x14ac:dyDescent="0.25">
      <c r="A169" s="190"/>
      <c r="B169" s="190"/>
      <c r="C169" s="190"/>
      <c r="D169" s="190"/>
      <c r="E169" s="190"/>
      <c r="F169" s="190"/>
    </row>
    <row r="170" spans="1:6" ht="15" x14ac:dyDescent="0.25">
      <c r="A170" s="190"/>
      <c r="B170" s="190"/>
      <c r="C170" s="190"/>
      <c r="D170" s="190"/>
      <c r="E170" s="190"/>
      <c r="F170" s="190"/>
    </row>
    <row r="171" spans="1:6" ht="15" x14ac:dyDescent="0.25">
      <c r="A171" s="190"/>
      <c r="B171" s="190"/>
      <c r="C171" s="190"/>
      <c r="D171" s="190"/>
      <c r="E171" s="190"/>
      <c r="F171" s="190"/>
    </row>
    <row r="172" spans="1:6" ht="15" x14ac:dyDescent="0.25">
      <c r="A172" s="190"/>
      <c r="B172" s="190"/>
      <c r="C172" s="190"/>
      <c r="D172" s="190"/>
      <c r="E172" s="190"/>
      <c r="F172" s="190"/>
    </row>
    <row r="173" spans="1:6" ht="15" x14ac:dyDescent="0.25">
      <c r="A173" s="190"/>
      <c r="B173" s="190"/>
      <c r="C173" s="190"/>
      <c r="D173" s="190"/>
      <c r="E173" s="190"/>
      <c r="F173" s="190"/>
    </row>
    <row r="174" spans="1:6" ht="15" x14ac:dyDescent="0.25">
      <c r="A174" s="190"/>
      <c r="B174" s="190"/>
      <c r="C174" s="190"/>
      <c r="D174" s="190"/>
      <c r="E174" s="190"/>
      <c r="F174" s="190"/>
    </row>
    <row r="175" spans="1:6" ht="15" x14ac:dyDescent="0.25">
      <c r="A175" s="190"/>
      <c r="B175" s="190"/>
      <c r="C175" s="190"/>
      <c r="D175" s="190"/>
      <c r="E175" s="190"/>
      <c r="F175" s="190"/>
    </row>
    <row r="176" spans="1:6" ht="15" x14ac:dyDescent="0.25">
      <c r="A176" s="190"/>
      <c r="B176" s="190"/>
      <c r="C176" s="190"/>
      <c r="D176" s="190"/>
      <c r="E176" s="190"/>
      <c r="F176" s="190"/>
    </row>
    <row r="177" spans="1:6" ht="15" x14ac:dyDescent="0.25">
      <c r="A177" s="190"/>
      <c r="B177" s="190"/>
      <c r="C177" s="190"/>
      <c r="D177" s="190"/>
      <c r="E177" s="190"/>
      <c r="F177" s="190"/>
    </row>
    <row r="178" spans="1:6" ht="15" x14ac:dyDescent="0.25">
      <c r="A178" s="190"/>
      <c r="B178" s="190"/>
      <c r="C178" s="190"/>
      <c r="D178" s="190"/>
      <c r="E178" s="190"/>
      <c r="F178" s="190"/>
    </row>
    <row r="179" spans="1:6" ht="15" x14ac:dyDescent="0.25">
      <c r="A179" s="190"/>
      <c r="B179" s="190"/>
      <c r="C179" s="190"/>
      <c r="D179" s="190"/>
      <c r="E179" s="190"/>
      <c r="F179" s="190"/>
    </row>
    <row r="180" spans="1:6" ht="15" x14ac:dyDescent="0.25">
      <c r="A180" s="190"/>
      <c r="B180" s="190"/>
      <c r="C180" s="190"/>
      <c r="D180" s="190"/>
      <c r="E180" s="190"/>
      <c r="F180" s="190"/>
    </row>
    <row r="181" spans="1:6" ht="15" x14ac:dyDescent="0.25">
      <c r="A181" s="190"/>
      <c r="B181" s="190"/>
      <c r="C181" s="190"/>
      <c r="D181" s="190"/>
      <c r="E181" s="190"/>
      <c r="F181" s="190"/>
    </row>
    <row r="182" spans="1:6" ht="15" x14ac:dyDescent="0.25">
      <c r="A182" s="190"/>
      <c r="B182" s="190"/>
      <c r="C182" s="190"/>
      <c r="D182" s="190"/>
      <c r="E182" s="190"/>
      <c r="F182" s="190"/>
    </row>
    <row r="183" spans="1:6" ht="15" x14ac:dyDescent="0.25">
      <c r="A183" s="190"/>
      <c r="B183" s="190"/>
      <c r="C183" s="190"/>
      <c r="D183" s="190"/>
      <c r="E183" s="190"/>
      <c r="F183" s="190"/>
    </row>
    <row r="184" spans="1:6" ht="15" x14ac:dyDescent="0.25">
      <c r="A184" s="190"/>
      <c r="B184" s="190"/>
      <c r="C184" s="190"/>
      <c r="D184" s="190"/>
      <c r="E184" s="190"/>
      <c r="F184" s="190"/>
    </row>
    <row r="185" spans="1:6" ht="15" x14ac:dyDescent="0.25">
      <c r="A185" s="190"/>
      <c r="B185" s="190"/>
      <c r="C185" s="190"/>
      <c r="D185" s="190"/>
      <c r="E185" s="190"/>
      <c r="F185" s="190"/>
    </row>
    <row r="186" spans="1:6" ht="15" x14ac:dyDescent="0.25">
      <c r="A186" s="190"/>
      <c r="B186" s="190"/>
      <c r="C186" s="190"/>
      <c r="D186" s="190"/>
      <c r="E186" s="190"/>
      <c r="F186" s="190"/>
    </row>
    <row r="187" spans="1:6" ht="15" x14ac:dyDescent="0.25">
      <c r="A187" s="190"/>
      <c r="B187" s="190"/>
      <c r="C187" s="190"/>
      <c r="D187" s="190"/>
      <c r="E187" s="190"/>
      <c r="F187" s="190"/>
    </row>
    <row r="188" spans="1:6" ht="15" x14ac:dyDescent="0.25">
      <c r="A188" s="190"/>
      <c r="B188" s="190"/>
      <c r="C188" s="190"/>
      <c r="D188" s="190"/>
      <c r="E188" s="190"/>
      <c r="F188" s="190"/>
    </row>
    <row r="189" spans="1:6" ht="15" x14ac:dyDescent="0.25">
      <c r="A189" s="190"/>
      <c r="B189" s="190"/>
      <c r="C189" s="190"/>
      <c r="D189" s="190"/>
      <c r="E189" s="190"/>
      <c r="F189" s="190"/>
    </row>
    <row r="190" spans="1:6" ht="15" x14ac:dyDescent="0.25">
      <c r="A190" s="190"/>
      <c r="B190" s="190"/>
      <c r="C190" s="190"/>
      <c r="D190" s="190"/>
      <c r="E190" s="190"/>
      <c r="F190" s="190"/>
    </row>
    <row r="191" spans="1:6" ht="15" x14ac:dyDescent="0.25">
      <c r="A191" s="190"/>
      <c r="B191" s="190"/>
      <c r="C191" s="190"/>
      <c r="D191" s="190"/>
      <c r="E191" s="190"/>
      <c r="F191" s="190"/>
    </row>
    <row r="192" spans="1:6" ht="15" x14ac:dyDescent="0.25">
      <c r="A192" s="190"/>
      <c r="B192" s="190"/>
      <c r="C192" s="190"/>
      <c r="D192" s="190"/>
      <c r="E192" s="190"/>
      <c r="F192" s="190"/>
    </row>
  </sheetData>
  <mergeCells count="8">
    <mergeCell ref="R33:R38"/>
    <mergeCell ref="S1:U1"/>
    <mergeCell ref="B1:E1"/>
    <mergeCell ref="G2:K2"/>
    <mergeCell ref="M1:P1"/>
    <mergeCell ref="R3:R12"/>
    <mergeCell ref="R13:R20"/>
    <mergeCell ref="R21:R32"/>
  </mergeCells>
  <hyperlinks>
    <hyperlink ref="B35" r:id="rId1"/>
  </hyperlinks>
  <pageMargins left="0.7" right="0.7" top="0.75" bottom="0.75" header="0.3" footer="0.3"/>
  <ignoredErrors>
    <ignoredError sqref="U3" formulaRange="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A495"/>
  <sheetViews>
    <sheetView topLeftCell="H5" zoomScale="64" zoomScaleNormal="70" workbookViewId="0">
      <pane ySplit="3" topLeftCell="A8" activePane="bottomLeft" state="frozen"/>
      <selection activeCell="E5" sqref="E5"/>
      <selection pane="bottomLeft" activeCell="I14" sqref="I14"/>
    </sheetView>
  </sheetViews>
  <sheetFormatPr baseColWidth="10" defaultColWidth="11.42578125" defaultRowHeight="43.5" customHeight="1" x14ac:dyDescent="0.2"/>
  <cols>
    <col min="1" max="1" width="11.28515625" style="13" hidden="1" customWidth="1"/>
    <col min="2" max="2" width="7" style="13" hidden="1" customWidth="1"/>
    <col min="3" max="3" width="7.85546875" style="13" hidden="1" customWidth="1"/>
    <col min="4" max="4" width="15" style="13" customWidth="1"/>
    <col min="5" max="5" width="12.42578125" style="13" customWidth="1"/>
    <col min="6" max="6" width="20.28515625" style="255" customWidth="1"/>
    <col min="7" max="7" width="27" style="189" customWidth="1"/>
    <col min="8" max="8" width="17.42578125" style="255" customWidth="1"/>
    <col min="9" max="9" width="11.7109375" style="255" customWidth="1"/>
    <col min="10" max="10" width="10.7109375" style="16" customWidth="1"/>
    <col min="11" max="14" width="9.7109375" style="16" customWidth="1"/>
    <col min="15" max="15" width="8.140625" style="16" customWidth="1"/>
    <col min="16" max="16" width="9.7109375" style="16" customWidth="1"/>
    <col min="17" max="17" width="30.28515625" style="16" customWidth="1"/>
    <col min="18" max="18" width="7.5703125" style="16" customWidth="1"/>
    <col min="19" max="19" width="12.5703125" style="16" customWidth="1"/>
    <col min="20" max="20" width="68.7109375" style="15" customWidth="1"/>
    <col min="21" max="21" width="13.5703125" style="15" customWidth="1"/>
    <col min="22" max="22" width="9.28515625" style="16" customWidth="1"/>
    <col min="23" max="23" width="13" style="15" customWidth="1"/>
    <col min="24" max="24" width="14.28515625" style="90" customWidth="1"/>
    <col min="25" max="25" width="16.42578125" style="90" customWidth="1"/>
    <col min="26" max="26" width="44.42578125" style="91" customWidth="1"/>
    <col min="27" max="32" width="44.42578125" style="15" customWidth="1"/>
    <col min="33" max="49" width="16.28515625" style="15" customWidth="1"/>
    <col min="50" max="50" width="16.85546875" style="15" customWidth="1"/>
    <col min="51" max="51" width="44.5703125" style="15" customWidth="1"/>
    <col min="52" max="16384" width="11.42578125" style="15"/>
  </cols>
  <sheetData>
    <row r="1" spans="1:339" s="18" customFormat="1" ht="77.25" customHeight="1" thickBot="1" x14ac:dyDescent="0.35">
      <c r="A1" s="20"/>
      <c r="B1" s="21"/>
      <c r="C1" s="21"/>
      <c r="D1" s="897"/>
      <c r="E1" s="897"/>
      <c r="F1" s="897"/>
      <c r="G1" s="897"/>
      <c r="H1" s="897"/>
      <c r="I1" s="897"/>
      <c r="J1" s="897"/>
      <c r="K1" s="897"/>
      <c r="L1" s="897"/>
      <c r="M1" s="897"/>
      <c r="N1" s="897"/>
      <c r="O1" s="897"/>
      <c r="P1" s="897"/>
      <c r="Q1" s="897"/>
      <c r="R1" s="897"/>
      <c r="S1" s="897"/>
      <c r="T1" s="897"/>
      <c r="U1" s="897"/>
      <c r="V1" s="897"/>
      <c r="W1" s="897"/>
      <c r="X1" s="897"/>
      <c r="Y1" s="897"/>
      <c r="Z1" s="897"/>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7"/>
    </row>
    <row r="2" spans="1:339" s="18" customFormat="1" ht="43.5" customHeight="1" thickBot="1" x14ac:dyDescent="0.35">
      <c r="A2" s="20"/>
      <c r="B2" s="21"/>
      <c r="C2" s="21"/>
      <c r="D2" s="898" t="s">
        <v>1735</v>
      </c>
      <c r="E2" s="898"/>
      <c r="F2" s="898"/>
      <c r="G2" s="898"/>
      <c r="H2" s="898"/>
      <c r="I2" s="898"/>
      <c r="J2" s="898"/>
      <c r="K2" s="898"/>
      <c r="L2" s="898"/>
      <c r="M2" s="898"/>
      <c r="N2" s="898"/>
      <c r="O2" s="898"/>
      <c r="P2" s="898"/>
      <c r="Q2" s="898"/>
      <c r="R2" s="898"/>
      <c r="S2" s="898"/>
      <c r="T2" s="898"/>
      <c r="U2" s="898"/>
      <c r="V2" s="898"/>
      <c r="W2" s="898"/>
      <c r="X2" s="898"/>
      <c r="Y2" s="898"/>
      <c r="Z2" s="898"/>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7"/>
    </row>
    <row r="3" spans="1:339" s="26" customFormat="1" ht="43.5" customHeight="1" thickBot="1" x14ac:dyDescent="0.3">
      <c r="A3" s="22"/>
      <c r="B3" s="23"/>
      <c r="C3" s="23"/>
      <c r="D3" s="899" t="s">
        <v>1736</v>
      </c>
      <c r="E3" s="899"/>
      <c r="F3" s="899"/>
      <c r="G3" s="899"/>
      <c r="H3" s="899"/>
      <c r="I3" s="899"/>
      <c r="J3" s="899"/>
      <c r="K3" s="899"/>
      <c r="L3" s="899"/>
      <c r="M3" s="899"/>
      <c r="N3" s="899"/>
      <c r="O3" s="899"/>
      <c r="P3" s="899"/>
      <c r="Q3" s="899"/>
      <c r="R3" s="899"/>
      <c r="S3" s="899"/>
      <c r="T3" s="899"/>
      <c r="U3" s="899"/>
      <c r="V3" s="899"/>
      <c r="W3" s="899"/>
      <c r="X3" s="899"/>
      <c r="Y3" s="899"/>
      <c r="Z3" s="899"/>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5"/>
    </row>
    <row r="4" spans="1:339" s="26" customFormat="1" ht="62.25" customHeight="1" thickBot="1" x14ac:dyDescent="0.3">
      <c r="D4" s="904"/>
      <c r="E4" s="904"/>
      <c r="F4" s="904"/>
      <c r="G4" s="904"/>
      <c r="H4" s="904"/>
      <c r="I4" s="904"/>
      <c r="J4" s="904"/>
      <c r="K4" s="904"/>
      <c r="L4" s="904"/>
      <c r="M4" s="904"/>
      <c r="N4" s="904"/>
      <c r="O4" s="904"/>
      <c r="P4" s="904"/>
      <c r="Q4" s="904"/>
      <c r="R4" s="904"/>
      <c r="S4" s="904"/>
      <c r="T4" s="904"/>
      <c r="U4" s="904"/>
      <c r="V4" s="904"/>
      <c r="W4" s="904"/>
      <c r="X4" s="904"/>
      <c r="Y4" s="904"/>
      <c r="Z4" s="90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5"/>
    </row>
    <row r="5" spans="1:339" s="18" customFormat="1" ht="43.5" customHeight="1" x14ac:dyDescent="0.3">
      <c r="A5" s="27"/>
      <c r="B5" s="27"/>
      <c r="C5" s="27"/>
      <c r="D5" s="901" t="s">
        <v>1735</v>
      </c>
      <c r="E5" s="902"/>
      <c r="F5" s="902"/>
      <c r="G5" s="902"/>
      <c r="H5" s="902"/>
      <c r="I5" s="902"/>
      <c r="J5" s="902"/>
      <c r="K5" s="902"/>
      <c r="L5" s="902"/>
      <c r="M5" s="902"/>
      <c r="N5" s="903"/>
      <c r="O5" s="900" t="s">
        <v>1737</v>
      </c>
      <c r="P5" s="900"/>
      <c r="Q5" s="900"/>
      <c r="R5" s="900" t="s">
        <v>1738</v>
      </c>
      <c r="S5" s="900"/>
      <c r="T5" s="900"/>
      <c r="U5" s="900" t="s">
        <v>1739</v>
      </c>
      <c r="V5" s="900"/>
      <c r="W5" s="900"/>
      <c r="X5" s="900" t="s">
        <v>1740</v>
      </c>
      <c r="Y5" s="900"/>
      <c r="Z5" s="900"/>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17"/>
    </row>
    <row r="6" spans="1:339" s="18" customFormat="1" ht="19.5" customHeight="1" x14ac:dyDescent="0.3">
      <c r="A6" s="27"/>
      <c r="B6" s="27"/>
      <c r="C6" s="27"/>
      <c r="D6" s="865" t="s">
        <v>1741</v>
      </c>
      <c r="E6" s="866"/>
      <c r="F6" s="866"/>
      <c r="G6" s="866"/>
      <c r="H6" s="866"/>
      <c r="I6" s="866"/>
      <c r="J6" s="866"/>
      <c r="K6" s="866"/>
      <c r="L6" s="866"/>
      <c r="M6" s="866"/>
      <c r="N6" s="867"/>
      <c r="O6" s="438"/>
      <c r="P6" s="438"/>
      <c r="Q6" s="438"/>
      <c r="R6" s="438"/>
      <c r="S6" s="438"/>
      <c r="T6" s="438"/>
      <c r="U6" s="438"/>
      <c r="V6" s="438"/>
      <c r="W6" s="438"/>
      <c r="X6" s="438"/>
      <c r="Y6" s="438"/>
      <c r="Z6" s="43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17"/>
    </row>
    <row r="7" spans="1:339" s="34" customFormat="1" ht="47.25" customHeight="1" x14ac:dyDescent="0.2">
      <c r="A7" s="29" t="s">
        <v>1742</v>
      </c>
      <c r="B7" s="30" t="s">
        <v>1743</v>
      </c>
      <c r="C7" s="31" t="s">
        <v>1744</v>
      </c>
      <c r="D7" s="32" t="s">
        <v>1703</v>
      </c>
      <c r="E7" s="29" t="s">
        <v>1745</v>
      </c>
      <c r="F7" s="29" t="s">
        <v>1746</v>
      </c>
      <c r="G7" s="29" t="s">
        <v>1747</v>
      </c>
      <c r="H7" s="29" t="s">
        <v>1748</v>
      </c>
      <c r="I7" s="29" t="s">
        <v>2118</v>
      </c>
      <c r="J7" s="29" t="s">
        <v>1749</v>
      </c>
      <c r="K7" s="29" t="s">
        <v>1750</v>
      </c>
      <c r="L7" s="29" t="s">
        <v>1751</v>
      </c>
      <c r="M7" s="29" t="s">
        <v>1752</v>
      </c>
      <c r="N7" s="29" t="s">
        <v>1753</v>
      </c>
      <c r="O7" s="29" t="s">
        <v>1754</v>
      </c>
      <c r="P7" s="29" t="s">
        <v>1755</v>
      </c>
      <c r="Q7" s="29" t="s">
        <v>1756</v>
      </c>
      <c r="R7" s="29" t="s">
        <v>1754</v>
      </c>
      <c r="S7" s="29" t="s">
        <v>1755</v>
      </c>
      <c r="T7" s="29" t="s">
        <v>1756</v>
      </c>
      <c r="U7" s="29" t="s">
        <v>1754</v>
      </c>
      <c r="V7" s="29" t="s">
        <v>1755</v>
      </c>
      <c r="W7" s="29" t="s">
        <v>1756</v>
      </c>
      <c r="X7" s="29" t="s">
        <v>1754</v>
      </c>
      <c r="Y7" s="29" t="s">
        <v>1755</v>
      </c>
      <c r="Z7" s="29" t="s">
        <v>1756</v>
      </c>
      <c r="AA7" s="33"/>
      <c r="AB7" s="33"/>
      <c r="AC7" s="33"/>
      <c r="AD7" s="33"/>
      <c r="AE7" s="33"/>
      <c r="AF7" s="33"/>
      <c r="AG7" s="33"/>
      <c r="AH7" s="33"/>
      <c r="AI7" s="33"/>
      <c r="AJ7" s="33"/>
      <c r="AK7" s="33"/>
      <c r="AL7" s="33"/>
      <c r="AM7" s="33"/>
      <c r="AN7" s="33"/>
      <c r="AO7" s="33"/>
      <c r="AP7" s="33"/>
      <c r="AQ7" s="33"/>
      <c r="AR7" s="33"/>
      <c r="AS7" s="33"/>
      <c r="AT7" s="33"/>
      <c r="AU7" s="33"/>
      <c r="AV7" s="33"/>
      <c r="AW7" s="33"/>
      <c r="AX7" s="33"/>
      <c r="AY7" s="33"/>
    </row>
    <row r="8" spans="1:339" s="34" customFormat="1" ht="6.75" customHeight="1" x14ac:dyDescent="0.2">
      <c r="A8" s="348"/>
      <c r="B8" s="30"/>
      <c r="C8" s="31"/>
      <c r="D8" s="32"/>
      <c r="E8" s="29"/>
      <c r="F8" s="29"/>
      <c r="G8" s="29"/>
      <c r="H8" s="29"/>
      <c r="I8" s="29"/>
      <c r="J8" s="29"/>
      <c r="K8" s="29"/>
      <c r="L8" s="29"/>
      <c r="M8" s="29"/>
      <c r="N8" s="29"/>
      <c r="O8" s="29"/>
      <c r="P8" s="29"/>
      <c r="Q8" s="349"/>
      <c r="R8" s="29"/>
      <c r="S8" s="29"/>
      <c r="T8" s="29"/>
      <c r="U8" s="29"/>
      <c r="V8" s="29"/>
      <c r="W8" s="294"/>
      <c r="X8" s="29"/>
      <c r="Y8" s="29"/>
      <c r="Z8" s="294"/>
      <c r="AA8" s="33"/>
      <c r="AB8" s="33"/>
      <c r="AC8" s="33"/>
      <c r="AD8" s="33"/>
      <c r="AE8" s="33"/>
      <c r="AF8" s="33"/>
      <c r="AG8" s="33"/>
      <c r="AH8" s="33"/>
      <c r="AI8" s="33"/>
      <c r="AJ8" s="33"/>
      <c r="AK8" s="33"/>
      <c r="AL8" s="33"/>
      <c r="AM8" s="33"/>
      <c r="AN8" s="33"/>
      <c r="AO8" s="33"/>
      <c r="AP8" s="33"/>
      <c r="AQ8" s="33"/>
      <c r="AR8" s="33"/>
      <c r="AS8" s="33"/>
      <c r="AT8" s="33"/>
      <c r="AU8" s="33"/>
      <c r="AV8" s="33"/>
      <c r="AW8" s="33"/>
      <c r="AX8" s="33"/>
      <c r="AY8" s="33"/>
    </row>
    <row r="9" spans="1:339" s="44" customFormat="1" ht="91.5" customHeight="1" x14ac:dyDescent="0.25">
      <c r="A9" s="35">
        <v>1</v>
      </c>
      <c r="B9" s="36">
        <v>0</v>
      </c>
      <c r="C9" s="37">
        <v>1</v>
      </c>
      <c r="D9" s="38" t="s">
        <v>1709</v>
      </c>
      <c r="E9" s="39" t="s">
        <v>1757</v>
      </c>
      <c r="F9" s="433" t="s">
        <v>1112</v>
      </c>
      <c r="G9" s="433" t="s">
        <v>175</v>
      </c>
      <c r="H9" s="433" t="s">
        <v>178</v>
      </c>
      <c r="I9" s="40">
        <v>0.12</v>
      </c>
      <c r="J9" s="40">
        <v>0.2</v>
      </c>
      <c r="K9" s="40">
        <v>0.5</v>
      </c>
      <c r="L9" s="40">
        <v>0.5</v>
      </c>
      <c r="M9" s="40">
        <f>'Plan de Acción 2022'!R49</f>
        <v>0.7</v>
      </c>
      <c r="N9" s="40">
        <v>1</v>
      </c>
      <c r="O9" s="40">
        <f>'Plan de Acción 2022'!W54</f>
        <v>0.05</v>
      </c>
      <c r="P9" s="371">
        <f>(O9*20%)/(M9-L9)</f>
        <v>5.0000000000000024E-2</v>
      </c>
      <c r="Q9" s="52" t="s">
        <v>1758</v>
      </c>
      <c r="R9" s="40">
        <f>'Plan de Acción 2022'!AA54</f>
        <v>0.12</v>
      </c>
      <c r="S9" s="371">
        <f>(R9*20%)/(M9-L9)</f>
        <v>0.12000000000000002</v>
      </c>
      <c r="T9" s="433" t="s">
        <v>2048</v>
      </c>
      <c r="U9" s="40">
        <f>'Plan de Acción 2022'!AE54</f>
        <v>12</v>
      </c>
      <c r="V9" s="40">
        <f>'Plan de Acción 2022'!AE54</f>
        <v>12</v>
      </c>
      <c r="W9" s="41"/>
      <c r="X9" s="40" t="str">
        <f>'Plan de Acción 2022'!AG54</f>
        <v xml:space="preserve">Presentadas en el momento del seguimiento </v>
      </c>
      <c r="Y9" s="40" t="e">
        <f>(X9*100%)/(M9-L9)</f>
        <v>#VALUE!</v>
      </c>
      <c r="Z9" s="42"/>
      <c r="AA9" s="43"/>
      <c r="AB9" s="28"/>
      <c r="AC9" s="28"/>
      <c r="AD9" s="28"/>
      <c r="AE9" s="28"/>
      <c r="AF9" s="28"/>
      <c r="AG9" s="28"/>
      <c r="AH9" s="28"/>
      <c r="AI9" s="28"/>
      <c r="AJ9" s="28"/>
      <c r="AK9" s="28"/>
      <c r="AL9" s="28"/>
      <c r="AM9" s="28"/>
      <c r="AN9" s="28"/>
      <c r="AO9" s="28"/>
      <c r="AP9" s="28"/>
      <c r="AQ9" s="28"/>
      <c r="AR9" s="28"/>
      <c r="AS9" s="28"/>
      <c r="AT9" s="28"/>
      <c r="AU9" s="28"/>
      <c r="AV9" s="28"/>
      <c r="AW9" s="28"/>
      <c r="AX9" s="28"/>
      <c r="AY9" s="28"/>
      <c r="AZ9" s="15"/>
      <c r="BA9" s="15"/>
    </row>
    <row r="10" spans="1:339" s="501" customFormat="1" ht="78.75" customHeight="1" x14ac:dyDescent="0.25">
      <c r="A10" s="491">
        <v>2</v>
      </c>
      <c r="B10" s="491">
        <v>1</v>
      </c>
      <c r="C10" s="492">
        <v>0</v>
      </c>
      <c r="D10" s="493" t="s">
        <v>1715</v>
      </c>
      <c r="E10" s="493" t="s">
        <v>1715</v>
      </c>
      <c r="F10" s="475" t="s">
        <v>630</v>
      </c>
      <c r="G10" s="475" t="s">
        <v>631</v>
      </c>
      <c r="H10" s="475" t="s">
        <v>633</v>
      </c>
      <c r="I10" s="494">
        <v>0</v>
      </c>
      <c r="J10" s="494">
        <v>0</v>
      </c>
      <c r="K10" s="494">
        <v>0.2</v>
      </c>
      <c r="L10" s="495">
        <v>0</v>
      </c>
      <c r="M10" s="495">
        <f>'Plan de Acción 2022'!R142</f>
        <v>0.4</v>
      </c>
      <c r="N10" s="494">
        <v>1</v>
      </c>
      <c r="O10" s="494">
        <f>'Plan de Acción 2022'!W142</f>
        <v>0</v>
      </c>
      <c r="P10" s="495">
        <f>(O10*40%)/(M10-L10)</f>
        <v>0</v>
      </c>
      <c r="Q10" s="494" t="s">
        <v>1759</v>
      </c>
      <c r="R10" s="494">
        <f>'Plan de Acción 2022'!AA142</f>
        <v>0</v>
      </c>
      <c r="S10" s="495">
        <f>(R10*20%)/(M10-L10)</f>
        <v>0</v>
      </c>
      <c r="T10" s="473" t="s">
        <v>2128</v>
      </c>
      <c r="U10" s="494">
        <f>'Plan de Acción 2022'!AE142</f>
        <v>0</v>
      </c>
      <c r="V10" s="495">
        <f>(U10*100%)/(M10-L10)</f>
        <v>0</v>
      </c>
      <c r="W10" s="496"/>
      <c r="X10" s="494">
        <f>'Plan de Acción 2022'!AH142</f>
        <v>0</v>
      </c>
      <c r="Y10" s="495">
        <f>(X10*100%)/(M10-L10)</f>
        <v>0</v>
      </c>
      <c r="Z10" s="497"/>
      <c r="AA10" s="498"/>
      <c r="AB10" s="499"/>
      <c r="AC10" s="499"/>
      <c r="AD10" s="499"/>
      <c r="AE10" s="499"/>
      <c r="AF10" s="499"/>
      <c r="AG10" s="499"/>
      <c r="AH10" s="499"/>
      <c r="AI10" s="499"/>
      <c r="AJ10" s="499"/>
      <c r="AK10" s="499"/>
      <c r="AL10" s="499"/>
      <c r="AM10" s="499"/>
      <c r="AN10" s="499"/>
      <c r="AO10" s="499"/>
      <c r="AP10" s="499"/>
      <c r="AQ10" s="499"/>
      <c r="AR10" s="499"/>
      <c r="AS10" s="499"/>
      <c r="AT10" s="499"/>
      <c r="AU10" s="499"/>
      <c r="AV10" s="499"/>
      <c r="AW10" s="499"/>
      <c r="AX10" s="499"/>
      <c r="AY10" s="499"/>
      <c r="AZ10" s="500"/>
      <c r="BA10" s="500"/>
    </row>
    <row r="11" spans="1:339" s="18" customFormat="1" ht="127.5" customHeight="1" x14ac:dyDescent="0.25">
      <c r="A11" s="435">
        <v>3</v>
      </c>
      <c r="B11" s="435">
        <v>1</v>
      </c>
      <c r="C11" s="45">
        <v>0</v>
      </c>
      <c r="D11" s="46" t="s">
        <v>1717</v>
      </c>
      <c r="E11" s="39" t="s">
        <v>1760</v>
      </c>
      <c r="F11" s="49" t="s">
        <v>1051</v>
      </c>
      <c r="G11" s="47" t="s">
        <v>1052</v>
      </c>
      <c r="H11" s="47" t="s">
        <v>1055</v>
      </c>
      <c r="I11" s="48">
        <v>0.35</v>
      </c>
      <c r="J11" s="52">
        <v>0.1</v>
      </c>
      <c r="K11" s="48">
        <v>0.2</v>
      </c>
      <c r="L11" s="52">
        <v>0.2</v>
      </c>
      <c r="M11" s="40">
        <f>'Plan de Acción 2022'!R229</f>
        <v>0.6</v>
      </c>
      <c r="N11" s="52">
        <v>1</v>
      </c>
      <c r="O11" s="52" t="e">
        <f>('Plan de Acción 2022'!W229+'Plan de Acción 2022'!W396+'Plan de Acción 2022'!W397+'Plan de Acción 2022'!W398+'Plan de Acción 2022'!W399+'Plan de Acción 2022'!W400+'Plan de Acción 2022'!W401+'Plan de Acción 2022'!W402+'Plan de Acción 2022'!W403+'Plan de Acción 2022'!W404+'Plan de Acción 2022'!W405+'Plan de Acción 2022'!W406+'Plan de Acción 2022'!W407+'Plan de Acción 2022'!W408+'Plan de Acción 2022'!#REF!+'Plan de Acción 2022'!#REF!+'Plan de Acción 2022'!#REF!+'Plan de Acción 2022'!#REF!+'Plan de Acción 2022'!#REF!+'Plan de Acción 2022'!#REF!+'Plan de Acción 2022'!#REF!+'Plan de Acción 2022'!#REF!+'Plan de Acción 2022'!#REF!)/23</f>
        <v>#REF!</v>
      </c>
      <c r="P11" s="371" t="e">
        <f>(O11*40%)/(M11-L11)</f>
        <v>#REF!</v>
      </c>
      <c r="Q11" s="52" t="s">
        <v>2049</v>
      </c>
      <c r="R11" s="52">
        <f>('Plan de Acción 2022'!AA229)</f>
        <v>0.35</v>
      </c>
      <c r="S11" s="377">
        <f>(R11*40%)/(M11-L11)</f>
        <v>0.35</v>
      </c>
      <c r="T11" s="509" t="s">
        <v>2127</v>
      </c>
      <c r="U11" s="52" t="e">
        <f>('Plan de Acción 2022'!AE229+'Plan de Acción 2022'!AE396+'Plan de Acción 2022'!AE397+'Plan de Acción 2022'!AE398+'Plan de Acción 2022'!AE399+'Plan de Acción 2022'!AE400+'Plan de Acción 2022'!AE401+'Plan de Acción 2022'!AE402+'Plan de Acción 2022'!AE403+'Plan de Acción 2022'!AE404+'Plan de Acción 2022'!AE405+'Plan de Acción 2022'!AE406+'Plan de Acción 2022'!AE407+'Plan de Acción 2022'!AE408+'Plan de Acción 2022'!#REF!+'Plan de Acción 2022'!#REF!+'Plan de Acción 2022'!#REF!+'Plan de Acción 2022'!#REF!+'Plan de Acción 2022'!#REF!+'Plan de Acción 2022'!#REF!+'Plan de Acción 2022'!#REF!+'Plan de Acción 2022'!#REF!+'Plan de Acción 2022'!#REF!)/23</f>
        <v>#REF!</v>
      </c>
      <c r="V11" s="40" t="e">
        <f>(U11*40%)/(M11-L11)</f>
        <v>#REF!</v>
      </c>
      <c r="W11" s="53"/>
      <c r="X11" s="52" t="e">
        <f>('Plan de Acción 2022'!AH229+'Plan de Acción 2022'!AH396+'Plan de Acción 2022'!AH397+'Plan de Acción 2022'!AH398+'Plan de Acción 2022'!AH399+'Plan de Acción 2022'!AH400+'Plan de Acción 2022'!AH401+'Plan de Acción 2022'!AH402+'Plan de Acción 2022'!AH403+'Plan de Acción 2022'!AH404+'Plan de Acción 2022'!AH405+'Plan de Acción 2022'!AH406+'Plan de Acción 2022'!AH407+'Plan de Acción 2022'!AH408+'Plan de Acción 2022'!#REF!+'Plan de Acción 2022'!#REF!+'Plan de Acción 2022'!#REF!+'Plan de Acción 2022'!#REF!+'Plan de Acción 2022'!#REF!+'Plan de Acción 2022'!#REF!+'Plan de Acción 2022'!#REF!+'Plan de Acción 2022'!#REF!+'Plan de Acción 2022'!#REF!)/23</f>
        <v>#REF!</v>
      </c>
      <c r="Y11" s="40" t="e">
        <f>(X11*40%)/(M11-L11)</f>
        <v>#REF!</v>
      </c>
      <c r="Z11" s="54"/>
      <c r="AA11" s="55"/>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15"/>
      <c r="BA11" s="15"/>
    </row>
    <row r="12" spans="1:339" s="18" customFormat="1" ht="114" customHeight="1" x14ac:dyDescent="0.25">
      <c r="A12" s="436">
        <v>4</v>
      </c>
      <c r="B12" s="435">
        <v>1</v>
      </c>
      <c r="C12" s="45">
        <v>0</v>
      </c>
      <c r="D12" s="46" t="s">
        <v>1717</v>
      </c>
      <c r="E12" s="39" t="s">
        <v>1760</v>
      </c>
      <c r="F12" s="47" t="s">
        <v>1068</v>
      </c>
      <c r="G12" s="47" t="s">
        <v>1069</v>
      </c>
      <c r="H12" s="47" t="s">
        <v>1129</v>
      </c>
      <c r="I12" s="48">
        <v>0.25</v>
      </c>
      <c r="J12" s="48">
        <v>0</v>
      </c>
      <c r="K12" s="48">
        <v>0.3</v>
      </c>
      <c r="L12" s="52">
        <v>0.2</v>
      </c>
      <c r="M12" s="40">
        <f>'Plan de Acción 2022'!R232</f>
        <v>0.6</v>
      </c>
      <c r="N12" s="48">
        <v>1</v>
      </c>
      <c r="O12" s="48">
        <f>('Plan de Acción 2022'!W286+'Plan de Acción 2022'!W287+'Plan de Acción 2022'!W273++'Plan de Acción 2022'!W244+'Plan de Acción 2022'!W231+'Plan de Acción 2022'!W232)/6</f>
        <v>0.24166666666666667</v>
      </c>
      <c r="P12" s="377">
        <f>(O12*40%)/(M12-L12)</f>
        <v>0.24166666666666672</v>
      </c>
      <c r="Q12" s="48" t="s">
        <v>1761</v>
      </c>
      <c r="R12" s="48">
        <f>('Plan de Acción 2022'!AA286+'Plan de Acción 2022'!AA287+'Plan de Acción 2022'!AA273++'Plan de Acción 2022'!AA244+'Plan de Acción 2022'!AA231+'Plan de Acción 2022'!AA232)/6</f>
        <v>0.30499999999999999</v>
      </c>
      <c r="S12" s="371">
        <f>(R12*40%)/(M12-L12)</f>
        <v>0.30499999999999999</v>
      </c>
      <c r="T12" s="472" t="s">
        <v>2050</v>
      </c>
      <c r="U12" s="48">
        <f>('Plan de Acción 2022'!AE286+'Plan de Acción 2022'!AE287+'Plan de Acción 2022'!AE273++'Plan de Acción 2022'!AE244+'Plan de Acción 2022'!AE231+'Plan de Acción 2022'!AE232)/6</f>
        <v>68.333333333333329</v>
      </c>
      <c r="V12" s="40">
        <f>(U12*40%)/(M12-L12)</f>
        <v>68.333333333333343</v>
      </c>
      <c r="W12" s="53"/>
      <c r="X12" s="48">
        <f>('Plan de Acción 2022'!AH286+'Plan de Acción 2022'!AH287+'Plan de Acción 2022'!AH273++'Plan de Acción 2022'!AH244+'Plan de Acción 2022'!AH231+'Plan de Acción 2022'!AH232)/6</f>
        <v>0</v>
      </c>
      <c r="Y12" s="40">
        <f>(X12*40%)/(M12-L12)</f>
        <v>0</v>
      </c>
      <c r="Z12" s="54"/>
      <c r="AA12" s="56"/>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15"/>
      <c r="BA12" s="15"/>
    </row>
    <row r="13" spans="1:339" s="60" customFormat="1" ht="43.5" customHeight="1" x14ac:dyDescent="0.25">
      <c r="A13" s="890">
        <v>5</v>
      </c>
      <c r="B13" s="36">
        <v>0</v>
      </c>
      <c r="C13" s="37">
        <v>1</v>
      </c>
      <c r="D13" s="38" t="s">
        <v>1709</v>
      </c>
      <c r="E13" s="39" t="s">
        <v>1762</v>
      </c>
      <c r="F13" s="884" t="s">
        <v>671</v>
      </c>
      <c r="G13" s="437" t="s">
        <v>43</v>
      </c>
      <c r="H13" s="433" t="s">
        <v>46</v>
      </c>
      <c r="I13" s="76">
        <v>0.91300000000000003</v>
      </c>
      <c r="J13" s="57">
        <v>0.754</v>
      </c>
      <c r="K13" s="40">
        <v>0.86</v>
      </c>
      <c r="L13" s="58">
        <v>0.88800000000000001</v>
      </c>
      <c r="M13" s="40">
        <f>'Plan de Acción 2022'!R35</f>
        <v>0.87</v>
      </c>
      <c r="N13" s="40">
        <v>0.9</v>
      </c>
      <c r="O13" s="40">
        <f>'Plan de Acción 2022'!W35</f>
        <v>0.25</v>
      </c>
      <c r="P13" s="40">
        <f>O13</f>
        <v>0.25</v>
      </c>
      <c r="Q13" s="40" t="s">
        <v>172</v>
      </c>
      <c r="R13" s="40">
        <f>'Plan de Acción 2022'!AA35</f>
        <v>0.91</v>
      </c>
      <c r="S13" s="377">
        <f>R13</f>
        <v>0.91</v>
      </c>
      <c r="T13" s="509" t="s">
        <v>2052</v>
      </c>
      <c r="U13" s="40">
        <f>'Plan de Acción 2022'!AE35</f>
        <v>95</v>
      </c>
      <c r="V13" s="40">
        <f>U13</f>
        <v>95</v>
      </c>
      <c r="W13" s="50"/>
      <c r="X13" s="40">
        <f>'Plan de Acción 2022'!AH35</f>
        <v>0</v>
      </c>
      <c r="Y13" s="40">
        <f>X13</f>
        <v>0</v>
      </c>
      <c r="Z13" s="51"/>
      <c r="AA13" s="59"/>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15"/>
      <c r="BA13" s="15"/>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4"/>
      <c r="EG13" s="44"/>
      <c r="EH13" s="44"/>
      <c r="EI13" s="44"/>
      <c r="EJ13" s="44"/>
      <c r="EK13" s="44"/>
      <c r="EL13" s="44"/>
      <c r="EM13" s="44"/>
      <c r="EN13" s="44"/>
      <c r="EO13" s="44"/>
      <c r="EP13" s="44"/>
      <c r="EQ13" s="44"/>
      <c r="ER13" s="44"/>
      <c r="ES13" s="44"/>
      <c r="ET13" s="44"/>
      <c r="EU13" s="44"/>
      <c r="EV13" s="44"/>
      <c r="EW13" s="44"/>
      <c r="EX13" s="44"/>
      <c r="EY13" s="44"/>
      <c r="EZ13" s="44"/>
      <c r="FA13" s="44"/>
      <c r="FB13" s="44"/>
      <c r="FC13" s="44"/>
      <c r="FD13" s="44"/>
      <c r="FE13" s="44"/>
      <c r="FF13" s="44"/>
      <c r="FG13" s="44"/>
      <c r="FH13" s="44"/>
      <c r="FI13" s="44"/>
      <c r="FJ13" s="44"/>
      <c r="FK13" s="44"/>
      <c r="FL13" s="44"/>
      <c r="FM13" s="44"/>
      <c r="FN13" s="44"/>
      <c r="FO13" s="44"/>
      <c r="FP13" s="44"/>
      <c r="FQ13" s="44"/>
      <c r="FR13" s="44"/>
      <c r="FS13" s="44"/>
      <c r="FT13" s="44"/>
      <c r="FU13" s="44"/>
      <c r="FV13" s="44"/>
      <c r="FW13" s="44"/>
      <c r="FX13" s="44"/>
      <c r="FY13" s="44"/>
      <c r="FZ13" s="44"/>
      <c r="GA13" s="44"/>
      <c r="GB13" s="44"/>
      <c r="GC13" s="44"/>
      <c r="GD13" s="44"/>
      <c r="GE13" s="44"/>
      <c r="GF13" s="44"/>
      <c r="GG13" s="44"/>
      <c r="GH13" s="44"/>
      <c r="GI13" s="44"/>
      <c r="GJ13" s="44"/>
      <c r="GK13" s="44"/>
      <c r="GL13" s="44"/>
      <c r="GM13" s="44"/>
      <c r="GN13" s="44"/>
      <c r="GO13" s="44"/>
      <c r="GP13" s="44"/>
      <c r="GQ13" s="44"/>
      <c r="GR13" s="44"/>
      <c r="GS13" s="44"/>
      <c r="GT13" s="44"/>
      <c r="GU13" s="44"/>
      <c r="GV13" s="44"/>
      <c r="GW13" s="44"/>
      <c r="GX13" s="44"/>
      <c r="GY13" s="44"/>
      <c r="GZ13" s="44"/>
      <c r="HA13" s="44"/>
      <c r="HB13" s="44"/>
      <c r="HC13" s="44"/>
      <c r="HD13" s="44"/>
      <c r="HE13" s="44"/>
      <c r="HF13" s="44"/>
      <c r="HG13" s="44"/>
      <c r="HH13" s="44"/>
      <c r="HI13" s="44"/>
      <c r="HJ13" s="44"/>
      <c r="HK13" s="44"/>
      <c r="HL13" s="44"/>
      <c r="HM13" s="44"/>
      <c r="HN13" s="44"/>
      <c r="HO13" s="44"/>
      <c r="HP13" s="44"/>
      <c r="HQ13" s="44"/>
      <c r="HR13" s="44"/>
      <c r="HS13" s="44"/>
      <c r="HT13" s="44"/>
      <c r="HU13" s="44"/>
      <c r="HV13" s="44"/>
      <c r="HW13" s="44"/>
      <c r="HX13" s="44"/>
      <c r="HY13" s="44"/>
      <c r="HZ13" s="44"/>
      <c r="IA13" s="44"/>
      <c r="IB13" s="44"/>
      <c r="IC13" s="44"/>
      <c r="ID13" s="44"/>
      <c r="IE13" s="44"/>
      <c r="IF13" s="44"/>
      <c r="IG13" s="44"/>
      <c r="IH13" s="44"/>
      <c r="II13" s="44"/>
      <c r="IJ13" s="44"/>
      <c r="IK13" s="44"/>
      <c r="IL13" s="44"/>
      <c r="IM13" s="44"/>
      <c r="IN13" s="44"/>
      <c r="IO13" s="44"/>
      <c r="IP13" s="44"/>
      <c r="IQ13" s="44"/>
      <c r="IR13" s="44"/>
      <c r="IS13" s="44"/>
      <c r="IT13" s="44"/>
      <c r="IU13" s="44"/>
      <c r="IV13" s="44"/>
      <c r="IW13" s="44"/>
      <c r="IX13" s="44"/>
      <c r="IY13" s="44"/>
      <c r="IZ13" s="44"/>
      <c r="JA13" s="44"/>
      <c r="JB13" s="44"/>
      <c r="JC13" s="44"/>
      <c r="JD13" s="44"/>
      <c r="JE13" s="44"/>
      <c r="JF13" s="44"/>
      <c r="JG13" s="44"/>
      <c r="JH13" s="44"/>
      <c r="JI13" s="44"/>
      <c r="JJ13" s="44"/>
      <c r="JK13" s="44"/>
      <c r="JL13" s="44"/>
      <c r="JM13" s="44"/>
      <c r="JN13" s="44"/>
      <c r="JO13" s="44"/>
      <c r="JP13" s="44"/>
      <c r="JQ13" s="44"/>
      <c r="JR13" s="44"/>
      <c r="JS13" s="44"/>
      <c r="JT13" s="44"/>
      <c r="JU13" s="44"/>
      <c r="JV13" s="44"/>
      <c r="JW13" s="44"/>
      <c r="JX13" s="44"/>
      <c r="JY13" s="44"/>
      <c r="JZ13" s="44"/>
      <c r="KA13" s="44"/>
      <c r="KB13" s="44"/>
      <c r="KC13" s="44"/>
      <c r="KD13" s="44"/>
      <c r="KE13" s="44"/>
      <c r="KF13" s="44"/>
      <c r="KG13" s="44"/>
      <c r="KH13" s="44"/>
      <c r="KI13" s="44"/>
      <c r="KJ13" s="44"/>
      <c r="KK13" s="44"/>
      <c r="KL13" s="44"/>
      <c r="KM13" s="44"/>
      <c r="KN13" s="44"/>
      <c r="KO13" s="44"/>
      <c r="KP13" s="44"/>
      <c r="KQ13" s="44"/>
      <c r="KR13" s="44"/>
      <c r="KS13" s="44"/>
      <c r="KT13" s="44"/>
      <c r="KU13" s="44"/>
      <c r="KV13" s="44"/>
      <c r="KW13" s="44"/>
      <c r="KX13" s="44"/>
      <c r="KY13" s="44"/>
      <c r="KZ13" s="44"/>
      <c r="LA13" s="44"/>
      <c r="LB13" s="44"/>
      <c r="LC13" s="44"/>
      <c r="LD13" s="44"/>
      <c r="LE13" s="44"/>
      <c r="LF13" s="44"/>
      <c r="LG13" s="44"/>
      <c r="LH13" s="44"/>
      <c r="LI13" s="44"/>
      <c r="LJ13" s="44"/>
      <c r="LK13" s="44"/>
      <c r="LL13" s="44"/>
      <c r="LM13" s="44"/>
      <c r="LN13" s="44"/>
      <c r="LO13" s="44"/>
      <c r="LP13" s="44"/>
      <c r="LQ13" s="44"/>
      <c r="LR13" s="44"/>
      <c r="LS13" s="44"/>
      <c r="LT13" s="44"/>
      <c r="LU13" s="44"/>
      <c r="LV13" s="44"/>
      <c r="LW13" s="44"/>
      <c r="LX13" s="44"/>
      <c r="LY13" s="44"/>
      <c r="LZ13" s="44"/>
      <c r="MA13" s="44"/>
    </row>
    <row r="14" spans="1:339" s="60" customFormat="1" ht="60" customHeight="1" x14ac:dyDescent="0.25">
      <c r="A14" s="895"/>
      <c r="B14" s="36">
        <v>0</v>
      </c>
      <c r="C14" s="37">
        <v>1</v>
      </c>
      <c r="D14" s="38" t="s">
        <v>1709</v>
      </c>
      <c r="E14" s="39" t="s">
        <v>1762</v>
      </c>
      <c r="F14" s="884"/>
      <c r="G14" s="433" t="s">
        <v>165</v>
      </c>
      <c r="H14" s="433" t="s">
        <v>167</v>
      </c>
      <c r="I14" s="40">
        <v>0</v>
      </c>
      <c r="J14" s="40">
        <v>0</v>
      </c>
      <c r="K14" s="40">
        <v>0.2</v>
      </c>
      <c r="L14" s="40">
        <v>0.05</v>
      </c>
      <c r="M14" s="40">
        <f>'Plan de Acción 2022'!R34</f>
        <v>0.5</v>
      </c>
      <c r="N14" s="40">
        <v>1</v>
      </c>
      <c r="O14" s="40">
        <f>'Plan de Acción 2022'!W34</f>
        <v>0</v>
      </c>
      <c r="P14" s="371">
        <f>(O14*45%)/(M14-L14)</f>
        <v>0</v>
      </c>
      <c r="Q14" s="40" t="s">
        <v>1763</v>
      </c>
      <c r="R14" s="40">
        <f>'Plan de Acción 2022'!AA34</f>
        <v>0</v>
      </c>
      <c r="S14" s="371">
        <f>(R14*45%)/(M14-L14)</f>
        <v>0</v>
      </c>
      <c r="T14" s="40" t="s">
        <v>2053</v>
      </c>
      <c r="U14" s="40">
        <f>'Plan de Acción 2022'!AE34</f>
        <v>75</v>
      </c>
      <c r="V14" s="40">
        <f>(U14*45%)/(M14-L14)</f>
        <v>75</v>
      </c>
      <c r="W14" s="41"/>
      <c r="X14" s="40">
        <f>'Plan de Acción 2022'!AH34</f>
        <v>0</v>
      </c>
      <c r="Y14" s="40">
        <f>(X14*45%)/(M14-L14)</f>
        <v>0</v>
      </c>
      <c r="Z14" s="42"/>
      <c r="AA14" s="61"/>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15"/>
      <c r="BA14" s="15"/>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4"/>
      <c r="EG14" s="44"/>
      <c r="EH14" s="44"/>
      <c r="EI14" s="44"/>
      <c r="EJ14" s="44"/>
      <c r="EK14" s="44"/>
      <c r="EL14" s="44"/>
      <c r="EM14" s="44"/>
      <c r="EN14" s="44"/>
      <c r="EO14" s="44"/>
      <c r="EP14" s="44"/>
      <c r="EQ14" s="44"/>
      <c r="ER14" s="44"/>
      <c r="ES14" s="44"/>
      <c r="ET14" s="44"/>
      <c r="EU14" s="44"/>
      <c r="EV14" s="44"/>
      <c r="EW14" s="44"/>
      <c r="EX14" s="44"/>
      <c r="EY14" s="44"/>
      <c r="EZ14" s="44"/>
      <c r="FA14" s="44"/>
      <c r="FB14" s="44"/>
      <c r="FC14" s="44"/>
      <c r="FD14" s="44"/>
      <c r="FE14" s="44"/>
      <c r="FF14" s="44"/>
      <c r="FG14" s="44"/>
      <c r="FH14" s="44"/>
      <c r="FI14" s="44"/>
      <c r="FJ14" s="44"/>
      <c r="FK14" s="44"/>
      <c r="FL14" s="44"/>
      <c r="FM14" s="44"/>
      <c r="FN14" s="44"/>
      <c r="FO14" s="44"/>
      <c r="FP14" s="44"/>
      <c r="FQ14" s="44"/>
      <c r="FR14" s="44"/>
      <c r="FS14" s="44"/>
      <c r="FT14" s="44"/>
      <c r="FU14" s="44"/>
      <c r="FV14" s="44"/>
      <c r="FW14" s="44"/>
      <c r="FX14" s="44"/>
      <c r="FY14" s="44"/>
      <c r="FZ14" s="44"/>
      <c r="GA14" s="44"/>
      <c r="GB14" s="44"/>
      <c r="GC14" s="44"/>
      <c r="GD14" s="44"/>
      <c r="GE14" s="44"/>
      <c r="GF14" s="44"/>
      <c r="GG14" s="44"/>
      <c r="GH14" s="44"/>
      <c r="GI14" s="44"/>
      <c r="GJ14" s="44"/>
      <c r="GK14" s="44"/>
      <c r="GL14" s="44"/>
      <c r="GM14" s="44"/>
      <c r="GN14" s="44"/>
      <c r="GO14" s="44"/>
      <c r="GP14" s="44"/>
      <c r="GQ14" s="44"/>
      <c r="GR14" s="44"/>
      <c r="GS14" s="44"/>
      <c r="GT14" s="44"/>
      <c r="GU14" s="44"/>
      <c r="GV14" s="44"/>
      <c r="GW14" s="44"/>
      <c r="GX14" s="44"/>
      <c r="GY14" s="44"/>
      <c r="GZ14" s="44"/>
      <c r="HA14" s="44"/>
      <c r="HB14" s="44"/>
      <c r="HC14" s="44"/>
      <c r="HD14" s="44"/>
      <c r="HE14" s="44"/>
      <c r="HF14" s="44"/>
      <c r="HG14" s="44"/>
      <c r="HH14" s="44"/>
      <c r="HI14" s="44"/>
      <c r="HJ14" s="44"/>
      <c r="HK14" s="44"/>
      <c r="HL14" s="44"/>
      <c r="HM14" s="44"/>
      <c r="HN14" s="44"/>
      <c r="HO14" s="44"/>
      <c r="HP14" s="44"/>
      <c r="HQ14" s="44"/>
      <c r="HR14" s="44"/>
      <c r="HS14" s="44"/>
      <c r="HT14" s="44"/>
      <c r="HU14" s="44"/>
      <c r="HV14" s="44"/>
      <c r="HW14" s="44"/>
      <c r="HX14" s="44"/>
      <c r="HY14" s="44"/>
      <c r="HZ14" s="44"/>
      <c r="IA14" s="44"/>
      <c r="IB14" s="44"/>
      <c r="IC14" s="44"/>
      <c r="ID14" s="44"/>
      <c r="IE14" s="44"/>
      <c r="IF14" s="44"/>
      <c r="IG14" s="44"/>
      <c r="IH14" s="44"/>
      <c r="II14" s="44"/>
      <c r="IJ14" s="44"/>
      <c r="IK14" s="44"/>
      <c r="IL14" s="44"/>
      <c r="IM14" s="44"/>
      <c r="IN14" s="44"/>
      <c r="IO14" s="44"/>
      <c r="IP14" s="44"/>
      <c r="IQ14" s="44"/>
      <c r="IR14" s="44"/>
      <c r="IS14" s="44"/>
      <c r="IT14" s="44"/>
      <c r="IU14" s="44"/>
      <c r="IV14" s="44"/>
      <c r="IW14" s="44"/>
      <c r="IX14" s="44"/>
      <c r="IY14" s="44"/>
      <c r="IZ14" s="44"/>
      <c r="JA14" s="44"/>
      <c r="JB14" s="44"/>
      <c r="JC14" s="44"/>
      <c r="JD14" s="44"/>
      <c r="JE14" s="44"/>
      <c r="JF14" s="44"/>
      <c r="JG14" s="44"/>
      <c r="JH14" s="44"/>
      <c r="JI14" s="44"/>
      <c r="JJ14" s="44"/>
      <c r="JK14" s="44"/>
      <c r="JL14" s="44"/>
      <c r="JM14" s="44"/>
      <c r="JN14" s="44"/>
      <c r="JO14" s="44"/>
      <c r="JP14" s="44"/>
      <c r="JQ14" s="44"/>
      <c r="JR14" s="44"/>
      <c r="JS14" s="44"/>
      <c r="JT14" s="44"/>
      <c r="JU14" s="44"/>
      <c r="JV14" s="44"/>
      <c r="JW14" s="44"/>
      <c r="JX14" s="44"/>
      <c r="JY14" s="44"/>
      <c r="JZ14" s="44"/>
      <c r="KA14" s="44"/>
      <c r="KB14" s="44"/>
      <c r="KC14" s="44"/>
      <c r="KD14" s="44"/>
      <c r="KE14" s="44"/>
      <c r="KF14" s="44"/>
      <c r="KG14" s="44"/>
      <c r="KH14" s="44"/>
      <c r="KI14" s="44"/>
      <c r="KJ14" s="44"/>
      <c r="KK14" s="44"/>
      <c r="KL14" s="44"/>
      <c r="KM14" s="44"/>
      <c r="KN14" s="44"/>
      <c r="KO14" s="44"/>
      <c r="KP14" s="44"/>
      <c r="KQ14" s="44"/>
      <c r="KR14" s="44"/>
      <c r="KS14" s="44"/>
      <c r="KT14" s="44"/>
      <c r="KU14" s="44"/>
      <c r="KV14" s="44"/>
      <c r="KW14" s="44"/>
      <c r="KX14" s="44"/>
      <c r="KY14" s="44"/>
      <c r="KZ14" s="44"/>
      <c r="LA14" s="44"/>
      <c r="LB14" s="44"/>
      <c r="LC14" s="44"/>
      <c r="LD14" s="44"/>
      <c r="LE14" s="44"/>
      <c r="LF14" s="44"/>
      <c r="LG14" s="44"/>
      <c r="LH14" s="44"/>
      <c r="LI14" s="44"/>
      <c r="LJ14" s="44"/>
      <c r="LK14" s="44"/>
      <c r="LL14" s="44"/>
      <c r="LM14" s="44"/>
      <c r="LN14" s="44"/>
      <c r="LO14" s="44"/>
      <c r="LP14" s="44"/>
      <c r="LQ14" s="44"/>
      <c r="LR14" s="44"/>
      <c r="LS14" s="44"/>
      <c r="LT14" s="44"/>
      <c r="LU14" s="44"/>
      <c r="LV14" s="44"/>
      <c r="LW14" s="44"/>
      <c r="LX14" s="44"/>
      <c r="LY14" s="44"/>
      <c r="LZ14" s="44"/>
      <c r="MA14" s="44"/>
    </row>
    <row r="15" spans="1:339" s="18" customFormat="1" ht="69.75" customHeight="1" x14ac:dyDescent="0.25">
      <c r="A15" s="893"/>
      <c r="B15" s="36">
        <v>1</v>
      </c>
      <c r="C15" s="37">
        <v>0</v>
      </c>
      <c r="D15" s="38" t="s">
        <v>1709</v>
      </c>
      <c r="E15" s="39" t="s">
        <v>1764</v>
      </c>
      <c r="F15" s="884"/>
      <c r="G15" s="437" t="s">
        <v>391</v>
      </c>
      <c r="H15" s="433" t="s">
        <v>394</v>
      </c>
      <c r="I15" s="40">
        <v>0.38</v>
      </c>
      <c r="J15" s="433">
        <f>1+1+1+1+1</f>
        <v>5</v>
      </c>
      <c r="K15" s="433">
        <v>6</v>
      </c>
      <c r="L15" s="433">
        <v>6</v>
      </c>
      <c r="M15" s="433">
        <v>7</v>
      </c>
      <c r="N15" s="433">
        <v>9</v>
      </c>
      <c r="O15" s="40">
        <f>('Plan de Acción 2022'!W83+'Plan de Acción 2022'!W84+'Plan de Acción 2022'!W85+'Plan de Acción 2022'!W86+'Plan de Acción 2022'!W262)/5</f>
        <v>0.2</v>
      </c>
      <c r="P15" s="371">
        <f>(O15*100%)/(M15-L15)</f>
        <v>0.2</v>
      </c>
      <c r="Q15" s="433" t="s">
        <v>1765</v>
      </c>
      <c r="R15" s="40">
        <f>('Plan de Acción 2022'!AA83+'Plan de Acción 2022'!AA84+'Plan de Acción 2022'!AA85+'Plan de Acción 2022'!AA86+'Plan de Acción 2022'!AA262)/5</f>
        <v>0.38000000000000006</v>
      </c>
      <c r="S15" s="40">
        <f>(R15*100%)/(M15-L15)</f>
        <v>0.38000000000000006</v>
      </c>
      <c r="T15" s="483" t="s">
        <v>1765</v>
      </c>
      <c r="U15" s="40">
        <f>('Plan de Acción 2022'!AE83+'Plan de Acción 2022'!AE84+'Plan de Acción 2022'!AE85+'Plan de Acción 2022'!AE86+'Plan de Acción 2022'!AE262)/5</f>
        <v>71</v>
      </c>
      <c r="V15" s="40">
        <f>(U15*100%)/(M15-L15)</f>
        <v>71</v>
      </c>
      <c r="W15" s="41"/>
      <c r="X15" s="40">
        <f>('Plan de Acción 2022'!AH83+'Plan de Acción 2022'!AH84+'Plan de Acción 2022'!AH85+'Plan de Acción 2022'!AH86+'Plan de Acción 2022'!AH262)/5</f>
        <v>0</v>
      </c>
      <c r="Y15" s="40">
        <f>(X15*100%)/(M15-L15)</f>
        <v>0</v>
      </c>
      <c r="Z15" s="42"/>
      <c r="AA15" s="61"/>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15"/>
      <c r="BA15" s="15"/>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c r="GY15" s="44"/>
      <c r="GZ15" s="44"/>
      <c r="HA15" s="44"/>
      <c r="HB15" s="44"/>
      <c r="HC15" s="44"/>
      <c r="HD15" s="44"/>
      <c r="HE15" s="44"/>
      <c r="HF15" s="44"/>
      <c r="HG15" s="44"/>
      <c r="HH15" s="44"/>
      <c r="HI15" s="44"/>
      <c r="HJ15" s="44"/>
      <c r="HK15" s="44"/>
      <c r="HL15" s="44"/>
      <c r="HM15" s="44"/>
      <c r="HN15" s="44"/>
      <c r="HO15" s="44"/>
      <c r="HP15" s="44"/>
      <c r="HQ15" s="44"/>
      <c r="HR15" s="44"/>
      <c r="HS15" s="44"/>
      <c r="HT15" s="44"/>
      <c r="HU15" s="44"/>
      <c r="HV15" s="44"/>
      <c r="HW15" s="44"/>
      <c r="HX15" s="44"/>
      <c r="HY15" s="44"/>
      <c r="HZ15" s="44"/>
      <c r="IA15" s="44"/>
      <c r="IB15" s="44"/>
      <c r="IC15" s="44"/>
      <c r="ID15" s="44"/>
      <c r="IE15" s="44"/>
      <c r="IF15" s="44"/>
      <c r="IG15" s="44"/>
      <c r="IH15" s="44"/>
      <c r="II15" s="44"/>
      <c r="IJ15" s="44"/>
      <c r="IK15" s="44"/>
      <c r="IL15" s="44"/>
      <c r="IM15" s="44"/>
      <c r="IN15" s="44"/>
      <c r="IO15" s="44"/>
      <c r="IP15" s="44"/>
      <c r="IQ15" s="44"/>
      <c r="IR15" s="44"/>
      <c r="IS15" s="44"/>
      <c r="IT15" s="44"/>
      <c r="IU15" s="44"/>
      <c r="IV15" s="44"/>
      <c r="IW15" s="44"/>
      <c r="IX15" s="44"/>
      <c r="IY15" s="44"/>
      <c r="IZ15" s="44"/>
      <c r="JA15" s="44"/>
      <c r="JB15" s="44"/>
      <c r="JC15" s="44"/>
      <c r="JD15" s="44"/>
      <c r="JE15" s="44"/>
      <c r="JF15" s="44"/>
      <c r="JG15" s="44"/>
      <c r="JH15" s="44"/>
      <c r="JI15" s="44"/>
      <c r="JJ15" s="44"/>
      <c r="JK15" s="44"/>
      <c r="JL15" s="44"/>
      <c r="JM15" s="44"/>
      <c r="JN15" s="44"/>
      <c r="JO15" s="44"/>
      <c r="JP15" s="44"/>
      <c r="JQ15" s="44"/>
      <c r="JR15" s="44"/>
      <c r="JS15" s="44"/>
      <c r="JT15" s="44"/>
      <c r="JU15" s="44"/>
      <c r="JV15" s="44"/>
      <c r="JW15" s="44"/>
      <c r="JX15" s="44"/>
      <c r="JY15" s="44"/>
      <c r="JZ15" s="44"/>
      <c r="KA15" s="44"/>
      <c r="KB15" s="44"/>
      <c r="KC15" s="44"/>
      <c r="KD15" s="44"/>
      <c r="KE15" s="44"/>
      <c r="KF15" s="44"/>
      <c r="KG15" s="44"/>
      <c r="KH15" s="44"/>
      <c r="KI15" s="44"/>
      <c r="KJ15" s="44"/>
      <c r="KK15" s="44"/>
      <c r="KL15" s="44"/>
      <c r="KM15" s="44"/>
      <c r="KN15" s="44"/>
      <c r="KO15" s="44"/>
      <c r="KP15" s="44"/>
      <c r="KQ15" s="44"/>
      <c r="KR15" s="44"/>
      <c r="KS15" s="44"/>
      <c r="KT15" s="44"/>
      <c r="KU15" s="44"/>
      <c r="KV15" s="44"/>
      <c r="KW15" s="44"/>
      <c r="KX15" s="44"/>
      <c r="KY15" s="44"/>
      <c r="KZ15" s="44"/>
      <c r="LA15" s="44"/>
      <c r="LB15" s="44"/>
      <c r="LC15" s="44"/>
      <c r="LD15" s="44"/>
      <c r="LE15" s="44"/>
      <c r="LF15" s="44"/>
      <c r="LG15" s="44"/>
      <c r="LH15" s="44"/>
      <c r="LI15" s="44"/>
      <c r="LJ15" s="44"/>
      <c r="LK15" s="44"/>
      <c r="LL15" s="44"/>
      <c r="LM15" s="44"/>
      <c r="LN15" s="44"/>
      <c r="LO15" s="44"/>
      <c r="LP15" s="44"/>
      <c r="LQ15" s="44"/>
      <c r="LR15" s="44"/>
      <c r="LS15" s="44"/>
      <c r="LT15" s="44"/>
      <c r="LU15" s="44"/>
      <c r="LV15" s="44"/>
      <c r="LW15" s="44"/>
      <c r="LX15" s="44"/>
      <c r="LY15" s="44"/>
      <c r="LZ15" s="44"/>
      <c r="MA15" s="44"/>
    </row>
    <row r="16" spans="1:339" s="60" customFormat="1" ht="67.5" customHeight="1" x14ac:dyDescent="0.25">
      <c r="A16" s="893"/>
      <c r="B16" s="36">
        <v>0</v>
      </c>
      <c r="C16" s="37">
        <v>1</v>
      </c>
      <c r="D16" s="38" t="s">
        <v>1715</v>
      </c>
      <c r="E16" s="39" t="s">
        <v>1766</v>
      </c>
      <c r="F16" s="884"/>
      <c r="G16" s="437" t="s">
        <v>1767</v>
      </c>
      <c r="H16" s="433" t="s">
        <v>1768</v>
      </c>
      <c r="I16" s="483">
        <v>20</v>
      </c>
      <c r="J16" s="433">
        <v>0</v>
      </c>
      <c r="K16" s="433">
        <v>0.5</v>
      </c>
      <c r="L16" s="433">
        <v>0.2</v>
      </c>
      <c r="M16" s="433">
        <v>0.7</v>
      </c>
      <c r="N16" s="433">
        <v>1</v>
      </c>
      <c r="O16" s="40">
        <f>'Plan de Acción 2022'!W150</f>
        <v>0.2</v>
      </c>
      <c r="P16" s="371">
        <f>(O16*50%)/(M16-L16)</f>
        <v>0.20000000000000004</v>
      </c>
      <c r="Q16" s="433" t="s">
        <v>1769</v>
      </c>
      <c r="R16" s="40">
        <f>'Plan de Acción 2022'!AA150</f>
        <v>0.2</v>
      </c>
      <c r="S16" s="371">
        <f>(R16*50%)/(M16-L16)</f>
        <v>0.20000000000000004</v>
      </c>
      <c r="T16" s="471" t="s">
        <v>2054</v>
      </c>
      <c r="U16" s="40">
        <f>'Plan de Acción 2022'!AE150</f>
        <v>30</v>
      </c>
      <c r="V16" s="40">
        <f>(U16*50%)/(M16-L16)</f>
        <v>30.000000000000004</v>
      </c>
      <c r="W16" s="41"/>
      <c r="X16" s="40">
        <f>'Plan de Acción 2022'!AH150</f>
        <v>0</v>
      </c>
      <c r="Y16" s="40">
        <f>(X16*50%)/(M16-L16)</f>
        <v>0</v>
      </c>
      <c r="Z16" s="42"/>
      <c r="AA16" s="61"/>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15"/>
      <c r="BA16" s="15"/>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4"/>
      <c r="GF16" s="44"/>
      <c r="GG16" s="44"/>
      <c r="GH16" s="44"/>
      <c r="GI16" s="44"/>
      <c r="GJ16" s="44"/>
      <c r="GK16" s="44"/>
      <c r="GL16" s="44"/>
      <c r="GM16" s="44"/>
      <c r="GN16" s="44"/>
      <c r="GO16" s="44"/>
      <c r="GP16" s="44"/>
      <c r="GQ16" s="44"/>
      <c r="GR16" s="44"/>
      <c r="GS16" s="44"/>
      <c r="GT16" s="44"/>
      <c r="GU16" s="44"/>
      <c r="GV16" s="44"/>
      <c r="GW16" s="44"/>
      <c r="GX16" s="44"/>
      <c r="GY16" s="44"/>
      <c r="GZ16" s="44"/>
      <c r="HA16" s="44"/>
      <c r="HB16" s="44"/>
      <c r="HC16" s="44"/>
      <c r="HD16" s="44"/>
      <c r="HE16" s="44"/>
      <c r="HF16" s="44"/>
      <c r="HG16" s="44"/>
      <c r="HH16" s="44"/>
      <c r="HI16" s="44"/>
      <c r="HJ16" s="44"/>
      <c r="HK16" s="44"/>
      <c r="HL16" s="44"/>
      <c r="HM16" s="44"/>
      <c r="HN16" s="44"/>
      <c r="HO16" s="44"/>
      <c r="HP16" s="44"/>
      <c r="HQ16" s="44"/>
      <c r="HR16" s="44"/>
      <c r="HS16" s="44"/>
      <c r="HT16" s="44"/>
      <c r="HU16" s="44"/>
      <c r="HV16" s="44"/>
      <c r="HW16" s="44"/>
      <c r="HX16" s="44"/>
      <c r="HY16" s="44"/>
      <c r="HZ16" s="44"/>
      <c r="IA16" s="44"/>
      <c r="IB16" s="44"/>
      <c r="IC16" s="44"/>
      <c r="ID16" s="44"/>
      <c r="IE16" s="44"/>
      <c r="IF16" s="44"/>
      <c r="IG16" s="44"/>
      <c r="IH16" s="44"/>
      <c r="II16" s="44"/>
      <c r="IJ16" s="44"/>
      <c r="IK16" s="44"/>
      <c r="IL16" s="44"/>
      <c r="IM16" s="44"/>
      <c r="IN16" s="44"/>
      <c r="IO16" s="44"/>
      <c r="IP16" s="44"/>
      <c r="IQ16" s="44"/>
      <c r="IR16" s="44"/>
      <c r="IS16" s="44"/>
      <c r="IT16" s="44"/>
      <c r="IU16" s="44"/>
      <c r="IV16" s="44"/>
      <c r="IW16" s="44"/>
      <c r="IX16" s="44"/>
      <c r="IY16" s="44"/>
      <c r="IZ16" s="44"/>
      <c r="JA16" s="44"/>
      <c r="JB16" s="44"/>
      <c r="JC16" s="44"/>
      <c r="JD16" s="44"/>
      <c r="JE16" s="44"/>
      <c r="JF16" s="44"/>
      <c r="JG16" s="44"/>
      <c r="JH16" s="44"/>
      <c r="JI16" s="44"/>
      <c r="JJ16" s="44"/>
      <c r="JK16" s="44"/>
      <c r="JL16" s="44"/>
      <c r="JM16" s="44"/>
      <c r="JN16" s="44"/>
      <c r="JO16" s="44"/>
      <c r="JP16" s="44"/>
      <c r="JQ16" s="44"/>
      <c r="JR16" s="44"/>
      <c r="JS16" s="44"/>
      <c r="JT16" s="44"/>
      <c r="JU16" s="44"/>
      <c r="JV16" s="44"/>
      <c r="JW16" s="44"/>
      <c r="JX16" s="44"/>
      <c r="JY16" s="44"/>
      <c r="JZ16" s="44"/>
      <c r="KA16" s="44"/>
      <c r="KB16" s="44"/>
      <c r="KC16" s="44"/>
      <c r="KD16" s="44"/>
      <c r="KE16" s="44"/>
      <c r="KF16" s="44"/>
      <c r="KG16" s="44"/>
      <c r="KH16" s="44"/>
      <c r="KI16" s="44"/>
      <c r="KJ16" s="44"/>
      <c r="KK16" s="44"/>
      <c r="KL16" s="44"/>
      <c r="KM16" s="44"/>
      <c r="KN16" s="44"/>
      <c r="KO16" s="44"/>
      <c r="KP16" s="44"/>
      <c r="KQ16" s="44"/>
      <c r="KR16" s="44"/>
      <c r="KS16" s="44"/>
      <c r="KT16" s="44"/>
      <c r="KU16" s="44"/>
      <c r="KV16" s="44"/>
      <c r="KW16" s="44"/>
      <c r="KX16" s="44"/>
      <c r="KY16" s="44"/>
      <c r="KZ16" s="44"/>
      <c r="LA16" s="44"/>
      <c r="LB16" s="44"/>
      <c r="LC16" s="44"/>
      <c r="LD16" s="44"/>
      <c r="LE16" s="44"/>
      <c r="LF16" s="44"/>
      <c r="LG16" s="44"/>
      <c r="LH16" s="44"/>
      <c r="LI16" s="44"/>
      <c r="LJ16" s="44"/>
      <c r="LK16" s="44"/>
      <c r="LL16" s="44"/>
      <c r="LM16" s="44"/>
      <c r="LN16" s="44"/>
      <c r="LO16" s="44"/>
      <c r="LP16" s="44"/>
      <c r="LQ16" s="44"/>
      <c r="LR16" s="44"/>
      <c r="LS16" s="44"/>
      <c r="LT16" s="44"/>
      <c r="LU16" s="44"/>
      <c r="LV16" s="44"/>
      <c r="LW16" s="44"/>
      <c r="LX16" s="44"/>
      <c r="LY16" s="44"/>
      <c r="LZ16" s="44"/>
      <c r="MA16" s="44"/>
    </row>
    <row r="17" spans="1:339" s="60" customFormat="1" ht="87" customHeight="1" x14ac:dyDescent="0.25">
      <c r="A17" s="893"/>
      <c r="B17" s="36">
        <v>0</v>
      </c>
      <c r="C17" s="37">
        <v>1</v>
      </c>
      <c r="D17" s="38" t="s">
        <v>1709</v>
      </c>
      <c r="E17" s="39" t="s">
        <v>1762</v>
      </c>
      <c r="F17" s="884"/>
      <c r="G17" s="437" t="s">
        <v>158</v>
      </c>
      <c r="H17" s="437" t="s">
        <v>161</v>
      </c>
      <c r="I17" s="482">
        <v>10</v>
      </c>
      <c r="J17" s="62">
        <v>0</v>
      </c>
      <c r="K17" s="62">
        <v>0.08</v>
      </c>
      <c r="L17" s="64">
        <v>0.06</v>
      </c>
      <c r="M17" s="40">
        <f>'Plan de Acción 2022'!R33</f>
        <v>0.15</v>
      </c>
      <c r="N17" s="62">
        <v>0.25</v>
      </c>
      <c r="O17" s="62">
        <f>'Plan de Acción 2022'!W33</f>
        <v>0.1</v>
      </c>
      <c r="P17" s="371">
        <f>(O17*9%)/(M17-L17)</f>
        <v>9.9999999999999992E-2</v>
      </c>
      <c r="Q17" s="40" t="s">
        <v>1763</v>
      </c>
      <c r="R17" s="62">
        <f>'Plan de Acción 2022'!AA33</f>
        <v>0.1</v>
      </c>
      <c r="S17" s="371">
        <f>(R17*9%)/(M17-L17)</f>
        <v>9.9999999999999992E-2</v>
      </c>
      <c r="T17" s="40" t="s">
        <v>2053</v>
      </c>
      <c r="U17" s="62">
        <f>'Plan de Acción 2022'!AE33</f>
        <v>75</v>
      </c>
      <c r="V17" s="40">
        <f>(U17*9%)/(M17-L17)</f>
        <v>75</v>
      </c>
      <c r="W17" s="63"/>
      <c r="X17" s="62">
        <f>'Plan de Acción 2022'!AH33</f>
        <v>0</v>
      </c>
      <c r="Y17" s="40">
        <f>(X17*9%)/(M17-L17)</f>
        <v>0</v>
      </c>
      <c r="Z17" s="65"/>
      <c r="AA17" s="66"/>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15"/>
      <c r="BA17" s="15"/>
      <c r="BB17" s="44"/>
      <c r="BC17" s="44"/>
      <c r="BD17" s="44"/>
      <c r="BE17" s="44"/>
      <c r="BF17" s="44"/>
      <c r="BG17" s="44"/>
      <c r="BH17" s="44"/>
      <c r="BI17" s="44"/>
      <c r="BJ17" s="44"/>
      <c r="BK17" s="44"/>
      <c r="BL17" s="44"/>
      <c r="BM17" s="44"/>
      <c r="BN17" s="44"/>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c r="DT17" s="44"/>
      <c r="DU17" s="44"/>
      <c r="DV17" s="44"/>
      <c r="DW17" s="44"/>
      <c r="DX17" s="44"/>
      <c r="DY17" s="44"/>
      <c r="DZ17" s="44"/>
      <c r="EA17" s="44"/>
      <c r="EB17" s="44"/>
      <c r="EC17" s="44"/>
      <c r="ED17" s="44"/>
      <c r="EE17" s="44"/>
      <c r="EF17" s="44"/>
      <c r="EG17" s="44"/>
      <c r="EH17" s="44"/>
      <c r="EI17" s="44"/>
      <c r="EJ17" s="44"/>
      <c r="EK17" s="44"/>
      <c r="EL17" s="44"/>
      <c r="EM17" s="44"/>
      <c r="EN17" s="44"/>
      <c r="EO17" s="44"/>
      <c r="EP17" s="44"/>
      <c r="EQ17" s="44"/>
      <c r="ER17" s="44"/>
      <c r="ES17" s="44"/>
      <c r="ET17" s="44"/>
      <c r="EU17" s="44"/>
      <c r="EV17" s="44"/>
      <c r="EW17" s="44"/>
      <c r="EX17" s="44"/>
      <c r="EY17" s="44"/>
      <c r="EZ17" s="44"/>
      <c r="FA17" s="44"/>
      <c r="FB17" s="44"/>
      <c r="FC17" s="44"/>
      <c r="FD17" s="44"/>
      <c r="FE17" s="44"/>
      <c r="FF17" s="44"/>
      <c r="FG17" s="44"/>
      <c r="FH17" s="44"/>
      <c r="FI17" s="44"/>
      <c r="FJ17" s="44"/>
      <c r="FK17" s="44"/>
      <c r="FL17" s="44"/>
      <c r="FM17" s="44"/>
      <c r="FN17" s="44"/>
      <c r="FO17" s="44"/>
      <c r="FP17" s="44"/>
      <c r="FQ17" s="44"/>
      <c r="FR17" s="44"/>
      <c r="FS17" s="44"/>
      <c r="FT17" s="44"/>
      <c r="FU17" s="44"/>
      <c r="FV17" s="44"/>
      <c r="FW17" s="44"/>
      <c r="FX17" s="44"/>
      <c r="FY17" s="44"/>
      <c r="FZ17" s="44"/>
      <c r="GA17" s="44"/>
      <c r="GB17" s="44"/>
      <c r="GC17" s="44"/>
      <c r="GD17" s="44"/>
      <c r="GE17" s="44"/>
      <c r="GF17" s="44"/>
      <c r="GG17" s="44"/>
      <c r="GH17" s="44"/>
      <c r="GI17" s="44"/>
      <c r="GJ17" s="44"/>
      <c r="GK17" s="44"/>
      <c r="GL17" s="44"/>
      <c r="GM17" s="44"/>
      <c r="GN17" s="44"/>
      <c r="GO17" s="44"/>
      <c r="GP17" s="44"/>
      <c r="GQ17" s="44"/>
      <c r="GR17" s="44"/>
      <c r="GS17" s="44"/>
      <c r="GT17" s="44"/>
      <c r="GU17" s="44"/>
      <c r="GV17" s="44"/>
      <c r="GW17" s="44"/>
      <c r="GX17" s="44"/>
      <c r="GY17" s="44"/>
      <c r="GZ17" s="44"/>
      <c r="HA17" s="44"/>
      <c r="HB17" s="44"/>
      <c r="HC17" s="44"/>
      <c r="HD17" s="44"/>
      <c r="HE17" s="44"/>
      <c r="HF17" s="44"/>
      <c r="HG17" s="44"/>
      <c r="HH17" s="44"/>
      <c r="HI17" s="44"/>
      <c r="HJ17" s="44"/>
      <c r="HK17" s="44"/>
      <c r="HL17" s="44"/>
      <c r="HM17" s="44"/>
      <c r="HN17" s="44"/>
      <c r="HO17" s="44"/>
      <c r="HP17" s="44"/>
      <c r="HQ17" s="44"/>
      <c r="HR17" s="44"/>
      <c r="HS17" s="44"/>
      <c r="HT17" s="44"/>
      <c r="HU17" s="44"/>
      <c r="HV17" s="44"/>
      <c r="HW17" s="44"/>
      <c r="HX17" s="44"/>
      <c r="HY17" s="44"/>
      <c r="HZ17" s="44"/>
      <c r="IA17" s="44"/>
      <c r="IB17" s="44"/>
      <c r="IC17" s="44"/>
      <c r="ID17" s="44"/>
      <c r="IE17" s="44"/>
      <c r="IF17" s="44"/>
      <c r="IG17" s="44"/>
      <c r="IH17" s="44"/>
      <c r="II17" s="44"/>
      <c r="IJ17" s="44"/>
      <c r="IK17" s="44"/>
      <c r="IL17" s="44"/>
      <c r="IM17" s="44"/>
      <c r="IN17" s="44"/>
      <c r="IO17" s="44"/>
      <c r="IP17" s="44"/>
      <c r="IQ17" s="44"/>
      <c r="IR17" s="44"/>
      <c r="IS17" s="44"/>
      <c r="IT17" s="44"/>
      <c r="IU17" s="44"/>
      <c r="IV17" s="44"/>
      <c r="IW17" s="44"/>
      <c r="IX17" s="44"/>
      <c r="IY17" s="44"/>
      <c r="IZ17" s="44"/>
      <c r="JA17" s="44"/>
      <c r="JB17" s="44"/>
      <c r="JC17" s="44"/>
      <c r="JD17" s="44"/>
      <c r="JE17" s="44"/>
      <c r="JF17" s="44"/>
      <c r="JG17" s="44"/>
      <c r="JH17" s="44"/>
      <c r="JI17" s="44"/>
      <c r="JJ17" s="44"/>
      <c r="JK17" s="44"/>
      <c r="JL17" s="44"/>
      <c r="JM17" s="44"/>
      <c r="JN17" s="44"/>
      <c r="JO17" s="44"/>
      <c r="JP17" s="44"/>
      <c r="JQ17" s="44"/>
      <c r="JR17" s="44"/>
      <c r="JS17" s="44"/>
      <c r="JT17" s="44"/>
      <c r="JU17" s="44"/>
      <c r="JV17" s="44"/>
      <c r="JW17" s="44"/>
      <c r="JX17" s="44"/>
      <c r="JY17" s="44"/>
      <c r="JZ17" s="44"/>
      <c r="KA17" s="44"/>
      <c r="KB17" s="44"/>
      <c r="KC17" s="44"/>
      <c r="KD17" s="44"/>
      <c r="KE17" s="44"/>
      <c r="KF17" s="44"/>
      <c r="KG17" s="44"/>
      <c r="KH17" s="44"/>
      <c r="KI17" s="44"/>
      <c r="KJ17" s="44"/>
      <c r="KK17" s="44"/>
      <c r="KL17" s="44"/>
      <c r="KM17" s="44"/>
      <c r="KN17" s="44"/>
      <c r="KO17" s="44"/>
      <c r="KP17" s="44"/>
      <c r="KQ17" s="44"/>
      <c r="KR17" s="44"/>
      <c r="KS17" s="44"/>
      <c r="KT17" s="44"/>
      <c r="KU17" s="44"/>
      <c r="KV17" s="44"/>
      <c r="KW17" s="44"/>
      <c r="KX17" s="44"/>
      <c r="KY17" s="44"/>
      <c r="KZ17" s="44"/>
      <c r="LA17" s="44"/>
      <c r="LB17" s="44"/>
      <c r="LC17" s="44"/>
      <c r="LD17" s="44"/>
      <c r="LE17" s="44"/>
      <c r="LF17" s="44"/>
      <c r="LG17" s="44"/>
      <c r="LH17" s="44"/>
      <c r="LI17" s="44"/>
      <c r="LJ17" s="44"/>
      <c r="LK17" s="44"/>
      <c r="LL17" s="44"/>
      <c r="LM17" s="44"/>
      <c r="LN17" s="44"/>
      <c r="LO17" s="44"/>
      <c r="LP17" s="44"/>
      <c r="LQ17" s="44"/>
      <c r="LR17" s="44"/>
      <c r="LS17" s="44"/>
      <c r="LT17" s="44"/>
      <c r="LU17" s="44"/>
      <c r="LV17" s="44"/>
      <c r="LW17" s="44"/>
      <c r="LX17" s="44"/>
      <c r="LY17" s="44"/>
      <c r="LZ17" s="44"/>
      <c r="MA17" s="44"/>
    </row>
    <row r="18" spans="1:339" s="60" customFormat="1" ht="77.25" customHeight="1" x14ac:dyDescent="0.25">
      <c r="A18" s="888"/>
      <c r="B18" s="36">
        <v>0</v>
      </c>
      <c r="C18" s="37">
        <v>1</v>
      </c>
      <c r="D18" s="38" t="s">
        <v>1715</v>
      </c>
      <c r="E18" s="39" t="s">
        <v>1766</v>
      </c>
      <c r="F18" s="884"/>
      <c r="G18" s="209" t="s">
        <v>677</v>
      </c>
      <c r="H18" s="209" t="s">
        <v>1770</v>
      </c>
      <c r="I18" s="209"/>
      <c r="J18" s="437">
        <v>7.3</v>
      </c>
      <c r="K18" s="437">
        <v>7.5</v>
      </c>
      <c r="L18" s="437">
        <v>8.9</v>
      </c>
      <c r="M18" s="40" t="s">
        <v>52</v>
      </c>
      <c r="N18" s="437">
        <v>8</v>
      </c>
      <c r="O18" s="40" t="s">
        <v>52</v>
      </c>
      <c r="P18" s="40" t="s">
        <v>52</v>
      </c>
      <c r="Q18" s="40" t="s">
        <v>52</v>
      </c>
      <c r="R18" s="40" t="s">
        <v>52</v>
      </c>
      <c r="S18" s="40" t="s">
        <v>52</v>
      </c>
      <c r="T18" s="40" t="s">
        <v>52</v>
      </c>
      <c r="U18" s="40" t="s">
        <v>52</v>
      </c>
      <c r="V18" s="40" t="s">
        <v>52</v>
      </c>
      <c r="W18" s="40" t="s">
        <v>52</v>
      </c>
      <c r="X18" s="40" t="s">
        <v>52</v>
      </c>
      <c r="Y18" s="40" t="s">
        <v>52</v>
      </c>
      <c r="Z18" s="40" t="s">
        <v>52</v>
      </c>
      <c r="AA18" s="69"/>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15"/>
      <c r="BA18" s="15"/>
      <c r="BB18" s="70"/>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c r="DT18" s="44"/>
      <c r="DU18" s="44"/>
      <c r="DV18" s="44"/>
      <c r="DW18" s="44"/>
      <c r="DX18" s="44"/>
      <c r="DY18" s="44"/>
      <c r="DZ18" s="44"/>
      <c r="EA18" s="44"/>
      <c r="EB18" s="44"/>
      <c r="EC18" s="44"/>
      <c r="ED18" s="44"/>
      <c r="EE18" s="44"/>
      <c r="EF18" s="44"/>
      <c r="EG18" s="44"/>
      <c r="EH18" s="44"/>
      <c r="EI18" s="44"/>
      <c r="EJ18" s="44"/>
      <c r="EK18" s="44"/>
      <c r="EL18" s="44"/>
      <c r="EM18" s="44"/>
      <c r="EN18" s="44"/>
      <c r="EO18" s="44"/>
      <c r="EP18" s="44"/>
      <c r="EQ18" s="44"/>
      <c r="ER18" s="44"/>
      <c r="ES18" s="44"/>
      <c r="ET18" s="44"/>
      <c r="EU18" s="44"/>
      <c r="EV18" s="44"/>
      <c r="EW18" s="44"/>
      <c r="EX18" s="44"/>
      <c r="EY18" s="44"/>
      <c r="EZ18" s="44"/>
      <c r="FA18" s="44"/>
      <c r="FB18" s="44"/>
      <c r="FC18" s="44"/>
      <c r="FD18" s="44"/>
      <c r="FE18" s="44"/>
      <c r="FF18" s="44"/>
      <c r="FG18" s="44"/>
      <c r="FH18" s="44"/>
      <c r="FI18" s="44"/>
      <c r="FJ18" s="44"/>
      <c r="FK18" s="44"/>
      <c r="FL18" s="44"/>
      <c r="FM18" s="44"/>
      <c r="FN18" s="44"/>
      <c r="FO18" s="44"/>
      <c r="FP18" s="44"/>
      <c r="FQ18" s="44"/>
      <c r="FR18" s="44"/>
      <c r="FS18" s="44"/>
      <c r="FT18" s="44"/>
      <c r="FU18" s="44"/>
      <c r="FV18" s="44"/>
      <c r="FW18" s="44"/>
      <c r="FX18" s="44"/>
      <c r="FY18" s="44"/>
      <c r="FZ18" s="44"/>
      <c r="GA18" s="44"/>
      <c r="GB18" s="44"/>
      <c r="GC18" s="44"/>
      <c r="GD18" s="44"/>
      <c r="GE18" s="44"/>
      <c r="GF18" s="44"/>
      <c r="GG18" s="44"/>
      <c r="GH18" s="44"/>
      <c r="GI18" s="44"/>
      <c r="GJ18" s="44"/>
      <c r="GK18" s="44"/>
      <c r="GL18" s="44"/>
      <c r="GM18" s="44"/>
      <c r="GN18" s="44"/>
      <c r="GO18" s="44"/>
      <c r="GP18" s="44"/>
      <c r="GQ18" s="44"/>
      <c r="GR18" s="44"/>
      <c r="GS18" s="44"/>
      <c r="GT18" s="44"/>
      <c r="GU18" s="44"/>
      <c r="GV18" s="44"/>
      <c r="GW18" s="44"/>
      <c r="GX18" s="44"/>
      <c r="GY18" s="44"/>
      <c r="GZ18" s="44"/>
      <c r="HA18" s="44"/>
      <c r="HB18" s="44"/>
      <c r="HC18" s="44"/>
      <c r="HD18" s="44"/>
      <c r="HE18" s="44"/>
      <c r="HF18" s="44"/>
      <c r="HG18" s="44"/>
      <c r="HH18" s="44"/>
      <c r="HI18" s="44"/>
      <c r="HJ18" s="44"/>
      <c r="HK18" s="44"/>
      <c r="HL18" s="44"/>
      <c r="HM18" s="44"/>
      <c r="HN18" s="44"/>
      <c r="HO18" s="44"/>
      <c r="HP18" s="44"/>
      <c r="HQ18" s="44"/>
      <c r="HR18" s="44"/>
      <c r="HS18" s="44"/>
      <c r="HT18" s="44"/>
      <c r="HU18" s="44"/>
      <c r="HV18" s="44"/>
      <c r="HW18" s="44"/>
      <c r="HX18" s="44"/>
      <c r="HY18" s="44"/>
      <c r="HZ18" s="44"/>
      <c r="IA18" s="44"/>
      <c r="IB18" s="44"/>
      <c r="IC18" s="44"/>
      <c r="ID18" s="44"/>
      <c r="IE18" s="44"/>
      <c r="IF18" s="44"/>
      <c r="IG18" s="44"/>
      <c r="IH18" s="44"/>
      <c r="II18" s="44"/>
      <c r="IJ18" s="44"/>
      <c r="IK18" s="44"/>
      <c r="IL18" s="44"/>
      <c r="IM18" s="44"/>
      <c r="IN18" s="44"/>
      <c r="IO18" s="44"/>
      <c r="IP18" s="44"/>
      <c r="IQ18" s="44"/>
      <c r="IR18" s="44"/>
      <c r="IS18" s="44"/>
      <c r="IT18" s="44"/>
      <c r="IU18" s="44"/>
      <c r="IV18" s="44"/>
      <c r="IW18" s="44"/>
      <c r="IX18" s="44"/>
      <c r="IY18" s="44"/>
      <c r="IZ18" s="44"/>
      <c r="JA18" s="44"/>
      <c r="JB18" s="44"/>
      <c r="JC18" s="44"/>
      <c r="JD18" s="44"/>
      <c r="JE18" s="44"/>
      <c r="JF18" s="44"/>
      <c r="JG18" s="44"/>
      <c r="JH18" s="44"/>
      <c r="JI18" s="44"/>
      <c r="JJ18" s="44"/>
      <c r="JK18" s="44"/>
      <c r="JL18" s="44"/>
      <c r="JM18" s="44"/>
      <c r="JN18" s="44"/>
      <c r="JO18" s="44"/>
      <c r="JP18" s="44"/>
      <c r="JQ18" s="44"/>
      <c r="JR18" s="44"/>
      <c r="JS18" s="44"/>
      <c r="JT18" s="44"/>
      <c r="JU18" s="44"/>
      <c r="JV18" s="44"/>
      <c r="JW18" s="44"/>
      <c r="JX18" s="44"/>
      <c r="JY18" s="44"/>
      <c r="JZ18" s="44"/>
      <c r="KA18" s="44"/>
      <c r="KB18" s="44"/>
      <c r="KC18" s="44"/>
      <c r="KD18" s="44"/>
      <c r="KE18" s="44"/>
      <c r="KF18" s="44"/>
      <c r="KG18" s="44"/>
      <c r="KH18" s="44"/>
      <c r="KI18" s="44"/>
      <c r="KJ18" s="44"/>
      <c r="KK18" s="44"/>
      <c r="KL18" s="44"/>
      <c r="KM18" s="44"/>
      <c r="KN18" s="44"/>
      <c r="KO18" s="44"/>
      <c r="KP18" s="44"/>
      <c r="KQ18" s="44"/>
      <c r="KR18" s="44"/>
      <c r="KS18" s="44"/>
      <c r="KT18" s="44"/>
      <c r="KU18" s="44"/>
      <c r="KV18" s="44"/>
      <c r="KW18" s="44"/>
      <c r="KX18" s="44"/>
      <c r="KY18" s="44"/>
      <c r="KZ18" s="44"/>
      <c r="LA18" s="44"/>
      <c r="LB18" s="44"/>
      <c r="LC18" s="44"/>
      <c r="LD18" s="44"/>
      <c r="LE18" s="44"/>
      <c r="LF18" s="44"/>
      <c r="LG18" s="44"/>
      <c r="LH18" s="44"/>
      <c r="LI18" s="44"/>
      <c r="LJ18" s="44"/>
      <c r="LK18" s="44"/>
      <c r="LL18" s="44"/>
      <c r="LM18" s="44"/>
      <c r="LN18" s="44"/>
      <c r="LO18" s="44"/>
      <c r="LP18" s="44"/>
      <c r="LQ18" s="44"/>
      <c r="LR18" s="44"/>
      <c r="LS18" s="44"/>
      <c r="LT18" s="44"/>
      <c r="LU18" s="44"/>
      <c r="LV18" s="44"/>
      <c r="LW18" s="44"/>
      <c r="LX18" s="44"/>
      <c r="LY18" s="44"/>
      <c r="LZ18" s="44"/>
      <c r="MA18" s="44"/>
    </row>
    <row r="19" spans="1:339" s="60" customFormat="1" ht="90.75" customHeight="1" thickBot="1" x14ac:dyDescent="0.3">
      <c r="A19" s="71">
        <v>6</v>
      </c>
      <c r="B19" s="36">
        <v>0</v>
      </c>
      <c r="C19" s="37">
        <v>1</v>
      </c>
      <c r="D19" s="38" t="s">
        <v>1771</v>
      </c>
      <c r="E19" s="39" t="s">
        <v>1772</v>
      </c>
      <c r="F19" s="433" t="s">
        <v>1134</v>
      </c>
      <c r="G19" s="209" t="s">
        <v>1189</v>
      </c>
      <c r="H19" s="210" t="s">
        <v>1136</v>
      </c>
      <c r="I19" s="210"/>
      <c r="J19" s="40">
        <v>0</v>
      </c>
      <c r="K19" s="40">
        <v>0.2</v>
      </c>
      <c r="L19" s="40">
        <v>0.2</v>
      </c>
      <c r="M19" s="40" t="str">
        <f>'Plan de Acción 2022'!R411</f>
        <v>N/A</v>
      </c>
      <c r="N19" s="40">
        <v>1</v>
      </c>
      <c r="O19" s="40" t="s">
        <v>52</v>
      </c>
      <c r="P19" s="40" t="s">
        <v>52</v>
      </c>
      <c r="Q19" s="40" t="s">
        <v>52</v>
      </c>
      <c r="R19" s="40" t="s">
        <v>52</v>
      </c>
      <c r="S19" s="40" t="s">
        <v>52</v>
      </c>
      <c r="T19" s="40" t="s">
        <v>52</v>
      </c>
      <c r="U19" s="40" t="s">
        <v>52</v>
      </c>
      <c r="V19" s="40" t="s">
        <v>52</v>
      </c>
      <c r="W19" s="40" t="s">
        <v>52</v>
      </c>
      <c r="X19" s="40" t="s">
        <v>52</v>
      </c>
      <c r="Y19" s="40" t="s">
        <v>52</v>
      </c>
      <c r="Z19" s="40" t="s">
        <v>52</v>
      </c>
      <c r="AA19" s="61"/>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15"/>
      <c r="BA19" s="15"/>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c r="DX19" s="44"/>
      <c r="DY19" s="44"/>
      <c r="DZ19" s="44"/>
      <c r="EA19" s="44"/>
      <c r="EB19" s="44"/>
      <c r="EC19" s="44"/>
      <c r="ED19" s="44"/>
      <c r="EE19" s="44"/>
      <c r="EF19" s="44"/>
      <c r="EG19" s="44"/>
      <c r="EH19" s="44"/>
      <c r="EI19" s="44"/>
      <c r="EJ19" s="44"/>
      <c r="EK19" s="44"/>
      <c r="EL19" s="44"/>
      <c r="EM19" s="44"/>
      <c r="EN19" s="44"/>
      <c r="EO19" s="44"/>
      <c r="EP19" s="44"/>
      <c r="EQ19" s="44"/>
      <c r="ER19" s="44"/>
      <c r="ES19" s="44"/>
      <c r="ET19" s="44"/>
      <c r="EU19" s="44"/>
      <c r="EV19" s="44"/>
      <c r="EW19" s="44"/>
      <c r="EX19" s="44"/>
      <c r="EY19" s="44"/>
      <c r="EZ19" s="44"/>
      <c r="FA19" s="44"/>
      <c r="FB19" s="44"/>
      <c r="FC19" s="44"/>
      <c r="FD19" s="44"/>
      <c r="FE19" s="44"/>
      <c r="FF19" s="44"/>
      <c r="FG19" s="44"/>
      <c r="FH19" s="44"/>
      <c r="FI19" s="44"/>
      <c r="FJ19" s="44"/>
      <c r="FK19" s="44"/>
      <c r="FL19" s="44"/>
      <c r="FM19" s="44"/>
      <c r="FN19" s="44"/>
      <c r="FO19" s="44"/>
      <c r="FP19" s="44"/>
      <c r="FQ19" s="44"/>
      <c r="FR19" s="44"/>
      <c r="FS19" s="44"/>
      <c r="FT19" s="44"/>
      <c r="FU19" s="44"/>
      <c r="FV19" s="44"/>
      <c r="FW19" s="44"/>
      <c r="FX19" s="44"/>
      <c r="FY19" s="44"/>
      <c r="FZ19" s="44"/>
      <c r="GA19" s="44"/>
      <c r="GB19" s="44"/>
      <c r="GC19" s="44"/>
      <c r="GD19" s="44"/>
      <c r="GE19" s="44"/>
      <c r="GF19" s="44"/>
      <c r="GG19" s="44"/>
      <c r="GH19" s="44"/>
      <c r="GI19" s="44"/>
      <c r="GJ19" s="44"/>
      <c r="GK19" s="44"/>
      <c r="GL19" s="44"/>
      <c r="GM19" s="44"/>
      <c r="GN19" s="44"/>
      <c r="GO19" s="44"/>
      <c r="GP19" s="44"/>
      <c r="GQ19" s="44"/>
      <c r="GR19" s="44"/>
      <c r="GS19" s="44"/>
      <c r="GT19" s="44"/>
      <c r="GU19" s="44"/>
      <c r="GV19" s="44"/>
      <c r="GW19" s="44"/>
      <c r="GX19" s="44"/>
      <c r="GY19" s="44"/>
      <c r="GZ19" s="44"/>
      <c r="HA19" s="44"/>
      <c r="HB19" s="44"/>
      <c r="HC19" s="44"/>
      <c r="HD19" s="44"/>
      <c r="HE19" s="44"/>
      <c r="HF19" s="44"/>
      <c r="HG19" s="44"/>
      <c r="HH19" s="44"/>
      <c r="HI19" s="44"/>
      <c r="HJ19" s="44"/>
      <c r="HK19" s="44"/>
      <c r="HL19" s="44"/>
      <c r="HM19" s="44"/>
      <c r="HN19" s="44"/>
      <c r="HO19" s="44"/>
      <c r="HP19" s="44"/>
      <c r="HQ19" s="44"/>
      <c r="HR19" s="44"/>
      <c r="HS19" s="44"/>
      <c r="HT19" s="44"/>
      <c r="HU19" s="44"/>
      <c r="HV19" s="44"/>
      <c r="HW19" s="44"/>
      <c r="HX19" s="44"/>
      <c r="HY19" s="44"/>
      <c r="HZ19" s="44"/>
      <c r="IA19" s="44"/>
      <c r="IB19" s="44"/>
      <c r="IC19" s="44"/>
      <c r="ID19" s="44"/>
      <c r="IE19" s="44"/>
      <c r="IF19" s="44"/>
      <c r="IG19" s="44"/>
      <c r="IH19" s="44"/>
      <c r="II19" s="44"/>
      <c r="IJ19" s="44"/>
      <c r="IK19" s="44"/>
      <c r="IL19" s="44"/>
      <c r="IM19" s="44"/>
      <c r="IN19" s="44"/>
      <c r="IO19" s="44"/>
      <c r="IP19" s="44"/>
      <c r="IQ19" s="44"/>
      <c r="IR19" s="44"/>
      <c r="IS19" s="44"/>
      <c r="IT19" s="44"/>
      <c r="IU19" s="44"/>
      <c r="IV19" s="44"/>
      <c r="IW19" s="44"/>
      <c r="IX19" s="44"/>
      <c r="IY19" s="44"/>
      <c r="IZ19" s="44"/>
      <c r="JA19" s="44"/>
      <c r="JB19" s="44"/>
      <c r="JC19" s="44"/>
      <c r="JD19" s="44"/>
      <c r="JE19" s="44"/>
      <c r="JF19" s="44"/>
      <c r="JG19" s="44"/>
      <c r="JH19" s="44"/>
      <c r="JI19" s="44"/>
      <c r="JJ19" s="44"/>
      <c r="JK19" s="44"/>
      <c r="JL19" s="44"/>
      <c r="JM19" s="44"/>
      <c r="JN19" s="44"/>
      <c r="JO19" s="44"/>
      <c r="JP19" s="44"/>
      <c r="JQ19" s="44"/>
      <c r="JR19" s="44"/>
      <c r="JS19" s="44"/>
      <c r="JT19" s="44"/>
      <c r="JU19" s="44"/>
      <c r="JV19" s="44"/>
      <c r="JW19" s="44"/>
      <c r="JX19" s="44"/>
      <c r="JY19" s="44"/>
      <c r="JZ19" s="44"/>
      <c r="KA19" s="44"/>
      <c r="KB19" s="44"/>
      <c r="KC19" s="44"/>
      <c r="KD19" s="44"/>
      <c r="KE19" s="44"/>
      <c r="KF19" s="44"/>
      <c r="KG19" s="44"/>
      <c r="KH19" s="44"/>
      <c r="KI19" s="44"/>
      <c r="KJ19" s="44"/>
      <c r="KK19" s="44"/>
      <c r="KL19" s="44"/>
      <c r="KM19" s="44"/>
      <c r="KN19" s="44"/>
      <c r="KO19" s="44"/>
      <c r="KP19" s="44"/>
      <c r="KQ19" s="44"/>
      <c r="KR19" s="44"/>
      <c r="KS19" s="44"/>
      <c r="KT19" s="44"/>
      <c r="KU19" s="44"/>
      <c r="KV19" s="44"/>
      <c r="KW19" s="44"/>
      <c r="KX19" s="44"/>
      <c r="KY19" s="44"/>
      <c r="KZ19" s="44"/>
      <c r="LA19" s="44"/>
      <c r="LB19" s="44"/>
      <c r="LC19" s="44"/>
      <c r="LD19" s="44"/>
      <c r="LE19" s="44"/>
      <c r="LF19" s="44"/>
      <c r="LG19" s="44"/>
      <c r="LH19" s="44"/>
      <c r="LI19" s="44"/>
      <c r="LJ19" s="44"/>
      <c r="LK19" s="44"/>
      <c r="LL19" s="44"/>
      <c r="LM19" s="44"/>
      <c r="LN19" s="44"/>
      <c r="LO19" s="44"/>
      <c r="LP19" s="44"/>
      <c r="LQ19" s="44"/>
      <c r="LR19" s="44"/>
      <c r="LS19" s="44"/>
      <c r="LT19" s="44"/>
      <c r="LU19" s="44"/>
      <c r="LV19" s="44"/>
      <c r="LW19" s="44"/>
      <c r="LX19" s="44"/>
      <c r="LY19" s="44"/>
      <c r="LZ19" s="44"/>
      <c r="MA19" s="44"/>
    </row>
    <row r="20" spans="1:339" s="60" customFormat="1" ht="81.75" customHeight="1" x14ac:dyDescent="0.25">
      <c r="A20" s="887">
        <v>7</v>
      </c>
      <c r="B20" s="36">
        <v>0</v>
      </c>
      <c r="C20" s="37">
        <v>1</v>
      </c>
      <c r="D20" s="38" t="s">
        <v>1709</v>
      </c>
      <c r="E20" s="433" t="s">
        <v>1762</v>
      </c>
      <c r="F20" s="884" t="s">
        <v>1773</v>
      </c>
      <c r="G20" s="433" t="s">
        <v>720</v>
      </c>
      <c r="H20" s="433" t="s">
        <v>679</v>
      </c>
      <c r="I20" s="483">
        <v>100</v>
      </c>
      <c r="J20" s="40">
        <v>1</v>
      </c>
      <c r="K20" s="40">
        <v>1</v>
      </c>
      <c r="L20" s="40">
        <v>1</v>
      </c>
      <c r="M20" s="40">
        <f>'Plan de Acción 2022'!R154</f>
        <v>1</v>
      </c>
      <c r="N20" s="40">
        <v>1</v>
      </c>
      <c r="O20" s="40">
        <v>1</v>
      </c>
      <c r="P20" s="204">
        <f>(O20*100%)/M20</f>
        <v>1</v>
      </c>
      <c r="Q20" s="107" t="s">
        <v>2055</v>
      </c>
      <c r="R20" s="40">
        <v>1</v>
      </c>
      <c r="S20" s="204">
        <f>(R20*100%)/M20</f>
        <v>1</v>
      </c>
      <c r="T20" s="107" t="s">
        <v>2056</v>
      </c>
      <c r="U20" s="40">
        <v>1</v>
      </c>
      <c r="V20" s="204">
        <f>(U20*100%)/M20</f>
        <v>1</v>
      </c>
      <c r="W20" s="445"/>
      <c r="X20" s="40">
        <v>1</v>
      </c>
      <c r="Y20" s="204">
        <f>(X20*100%)/M20</f>
        <v>1</v>
      </c>
      <c r="Z20" s="113"/>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15"/>
      <c r="BA20" s="15"/>
      <c r="BB20" s="44"/>
      <c r="BC20" s="44"/>
      <c r="BD20" s="44"/>
      <c r="BE20" s="44"/>
      <c r="BF20" s="44"/>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4"/>
      <c r="EI20" s="44"/>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4"/>
      <c r="FJ20" s="44"/>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4"/>
      <c r="GK20" s="44"/>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4"/>
      <c r="HK20" s="44"/>
      <c r="HL20" s="44"/>
      <c r="HM20" s="44"/>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4"/>
      <c r="IM20" s="44"/>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4"/>
      <c r="JM20" s="44"/>
      <c r="JN20" s="44"/>
      <c r="JO20" s="44"/>
      <c r="JP20" s="44"/>
      <c r="JQ20" s="44"/>
      <c r="JR20" s="44"/>
      <c r="JS20" s="44"/>
      <c r="JT20" s="44"/>
      <c r="JU20" s="44"/>
      <c r="JV20" s="44"/>
      <c r="JW20" s="44"/>
      <c r="JX20" s="44"/>
      <c r="JY20" s="44"/>
      <c r="JZ20" s="44"/>
      <c r="KA20" s="44"/>
      <c r="KB20" s="44"/>
      <c r="KC20" s="44"/>
      <c r="KD20" s="44"/>
      <c r="KE20" s="44"/>
      <c r="KF20" s="44"/>
      <c r="KG20" s="44"/>
      <c r="KH20" s="44"/>
      <c r="KI20" s="44"/>
      <c r="KJ20" s="44"/>
      <c r="KK20" s="44"/>
      <c r="KL20" s="44"/>
      <c r="KM20" s="44"/>
      <c r="KN20" s="44"/>
      <c r="KO20" s="44"/>
      <c r="KP20" s="44"/>
      <c r="KQ20" s="44"/>
      <c r="KR20" s="44"/>
      <c r="KS20" s="44"/>
      <c r="KT20" s="44"/>
      <c r="KU20" s="44"/>
      <c r="KV20" s="44"/>
      <c r="KW20" s="44"/>
      <c r="KX20" s="44"/>
      <c r="KY20" s="44"/>
      <c r="KZ20" s="44"/>
      <c r="LA20" s="44"/>
      <c r="LB20" s="44"/>
      <c r="LC20" s="44"/>
      <c r="LD20" s="44"/>
      <c r="LE20" s="44"/>
      <c r="LF20" s="44"/>
      <c r="LG20" s="44"/>
      <c r="LH20" s="44"/>
      <c r="LI20" s="44"/>
      <c r="LJ20" s="44"/>
      <c r="LK20" s="44"/>
      <c r="LL20" s="44"/>
      <c r="LM20" s="44"/>
      <c r="LN20" s="44"/>
      <c r="LO20" s="44"/>
      <c r="LP20" s="44"/>
      <c r="LQ20" s="44"/>
      <c r="LR20" s="44"/>
      <c r="LS20" s="44"/>
      <c r="LT20" s="44"/>
      <c r="LU20" s="44"/>
      <c r="LV20" s="44"/>
      <c r="LW20" s="44"/>
      <c r="LX20" s="44"/>
      <c r="LY20" s="44"/>
      <c r="LZ20" s="44"/>
      <c r="MA20" s="44"/>
    </row>
    <row r="21" spans="1:339" s="18" customFormat="1" ht="120.75" customHeight="1" x14ac:dyDescent="0.25">
      <c r="A21" s="893"/>
      <c r="B21" s="36">
        <v>1</v>
      </c>
      <c r="C21" s="37">
        <v>0</v>
      </c>
      <c r="D21" s="38" t="s">
        <v>1774</v>
      </c>
      <c r="E21" s="39" t="s">
        <v>1766</v>
      </c>
      <c r="F21" s="884"/>
      <c r="G21" s="433" t="s">
        <v>1775</v>
      </c>
      <c r="H21" s="433" t="s">
        <v>702</v>
      </c>
      <c r="I21" s="483">
        <v>50</v>
      </c>
      <c r="J21" s="62">
        <v>0.2</v>
      </c>
      <c r="K21" s="40">
        <v>1</v>
      </c>
      <c r="L21" s="72">
        <v>0.6</v>
      </c>
      <c r="M21" s="40">
        <f>'Plan de Acción 2022'!R155</f>
        <v>1</v>
      </c>
      <c r="N21" s="40">
        <v>1</v>
      </c>
      <c r="O21" s="40">
        <f>'Plan de Acción 2022'!W155</f>
        <v>0.25</v>
      </c>
      <c r="P21" s="377">
        <f>(O21*40%)/(M21-L21)</f>
        <v>0.25</v>
      </c>
      <c r="Q21" s="40" t="s">
        <v>1776</v>
      </c>
      <c r="R21" s="40">
        <f>'Plan de Acción 2022'!AA155</f>
        <v>0.5</v>
      </c>
      <c r="S21" s="40">
        <f>(R21*40%)/(M21-L21)</f>
        <v>0.5</v>
      </c>
      <c r="T21" s="433" t="s">
        <v>704</v>
      </c>
      <c r="U21" s="40">
        <f>'Plan de Acción 2022'!AE155</f>
        <v>60</v>
      </c>
      <c r="V21" s="40">
        <f>(U21*40%)/(M21-L21)</f>
        <v>60</v>
      </c>
      <c r="W21" s="41"/>
      <c r="X21" s="40">
        <f>'Plan de Acción 2022'!AH155</f>
        <v>0</v>
      </c>
      <c r="Y21" s="40">
        <f>(X21*40%)/(M21-L21)</f>
        <v>0</v>
      </c>
      <c r="Z21" s="73"/>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15"/>
      <c r="BA21" s="15"/>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c r="DU21" s="44"/>
      <c r="DV21" s="44"/>
      <c r="DW21" s="44"/>
      <c r="DX21" s="44"/>
      <c r="DY21" s="44"/>
      <c r="DZ21" s="44"/>
      <c r="EA21" s="44"/>
      <c r="EB21" s="44"/>
      <c r="EC21" s="44"/>
      <c r="ED21" s="44"/>
      <c r="EE21" s="44"/>
      <c r="EF21" s="44"/>
      <c r="EG21" s="44"/>
      <c r="EH21" s="44"/>
      <c r="EI21" s="44"/>
      <c r="EJ21" s="44"/>
      <c r="EK21" s="44"/>
      <c r="EL21" s="44"/>
      <c r="EM21" s="44"/>
      <c r="EN21" s="44"/>
      <c r="EO21" s="44"/>
      <c r="EP21" s="44"/>
      <c r="EQ21" s="44"/>
      <c r="ER21" s="44"/>
      <c r="ES21" s="44"/>
      <c r="ET21" s="44"/>
      <c r="EU21" s="44"/>
      <c r="EV21" s="44"/>
      <c r="EW21" s="44"/>
      <c r="EX21" s="44"/>
      <c r="EY21" s="44"/>
      <c r="EZ21" s="44"/>
      <c r="FA21" s="44"/>
      <c r="FB21" s="44"/>
      <c r="FC21" s="44"/>
      <c r="FD21" s="44"/>
      <c r="FE21" s="44"/>
      <c r="FF21" s="44"/>
      <c r="FG21" s="44"/>
      <c r="FH21" s="44"/>
      <c r="FI21" s="44"/>
      <c r="FJ21" s="44"/>
      <c r="FK21" s="44"/>
      <c r="FL21" s="44"/>
      <c r="FM21" s="44"/>
      <c r="FN21" s="44"/>
      <c r="FO21" s="44"/>
      <c r="FP21" s="44"/>
      <c r="FQ21" s="44"/>
      <c r="FR21" s="44"/>
      <c r="FS21" s="44"/>
      <c r="FT21" s="44"/>
      <c r="FU21" s="44"/>
      <c r="FV21" s="44"/>
      <c r="FW21" s="44"/>
      <c r="FX21" s="44"/>
      <c r="FY21" s="44"/>
      <c r="FZ21" s="44"/>
      <c r="GA21" s="44"/>
      <c r="GB21" s="44"/>
      <c r="GC21" s="44"/>
      <c r="GD21" s="44"/>
      <c r="GE21" s="44"/>
      <c r="GF21" s="44"/>
      <c r="GG21" s="44"/>
      <c r="GH21" s="44"/>
      <c r="GI21" s="44"/>
      <c r="GJ21" s="44"/>
      <c r="GK21" s="44"/>
      <c r="GL21" s="44"/>
      <c r="GM21" s="44"/>
      <c r="GN21" s="44"/>
      <c r="GO21" s="44"/>
      <c r="GP21" s="44"/>
      <c r="GQ21" s="44"/>
      <c r="GR21" s="44"/>
      <c r="GS21" s="44"/>
      <c r="GT21" s="44"/>
      <c r="GU21" s="44"/>
      <c r="GV21" s="44"/>
      <c r="GW21" s="44"/>
      <c r="GX21" s="44"/>
      <c r="GY21" s="44"/>
      <c r="GZ21" s="44"/>
      <c r="HA21" s="44"/>
      <c r="HB21" s="44"/>
      <c r="HC21" s="44"/>
      <c r="HD21" s="44"/>
      <c r="HE21" s="44"/>
      <c r="HF21" s="44"/>
      <c r="HG21" s="44"/>
      <c r="HH21" s="44"/>
      <c r="HI21" s="44"/>
      <c r="HJ21" s="44"/>
      <c r="HK21" s="44"/>
      <c r="HL21" s="44"/>
      <c r="HM21" s="44"/>
      <c r="HN21" s="44"/>
      <c r="HO21" s="44"/>
      <c r="HP21" s="44"/>
      <c r="HQ21" s="44"/>
      <c r="HR21" s="44"/>
      <c r="HS21" s="44"/>
      <c r="HT21" s="44"/>
      <c r="HU21" s="44"/>
      <c r="HV21" s="44"/>
      <c r="HW21" s="44"/>
      <c r="HX21" s="44"/>
      <c r="HY21" s="44"/>
      <c r="HZ21" s="44"/>
      <c r="IA21" s="44"/>
      <c r="IB21" s="44"/>
      <c r="IC21" s="44"/>
      <c r="ID21" s="44"/>
      <c r="IE21" s="44"/>
      <c r="IF21" s="44"/>
      <c r="IG21" s="44"/>
      <c r="IH21" s="44"/>
      <c r="II21" s="44"/>
      <c r="IJ21" s="44"/>
      <c r="IK21" s="44"/>
      <c r="IL21" s="44"/>
      <c r="IM21" s="44"/>
      <c r="IN21" s="44"/>
      <c r="IO21" s="44"/>
      <c r="IP21" s="44"/>
      <c r="IQ21" s="44"/>
      <c r="IR21" s="44"/>
      <c r="IS21" s="44"/>
      <c r="IT21" s="44"/>
      <c r="IU21" s="44"/>
      <c r="IV21" s="44"/>
      <c r="IW21" s="44"/>
      <c r="IX21" s="44"/>
      <c r="IY21" s="44"/>
      <c r="IZ21" s="44"/>
      <c r="JA21" s="44"/>
      <c r="JB21" s="44"/>
      <c r="JC21" s="44"/>
      <c r="JD21" s="44"/>
      <c r="JE21" s="44"/>
      <c r="JF21" s="44"/>
      <c r="JG21" s="44"/>
      <c r="JH21" s="44"/>
      <c r="JI21" s="44"/>
      <c r="JJ21" s="44"/>
      <c r="JK21" s="44"/>
      <c r="JL21" s="44"/>
      <c r="JM21" s="44"/>
      <c r="JN21" s="44"/>
      <c r="JO21" s="44"/>
      <c r="JP21" s="44"/>
      <c r="JQ21" s="44"/>
      <c r="JR21" s="44"/>
      <c r="JS21" s="44"/>
      <c r="JT21" s="44"/>
      <c r="JU21" s="44"/>
      <c r="JV21" s="44"/>
      <c r="JW21" s="44"/>
      <c r="JX21" s="44"/>
      <c r="JY21" s="44"/>
      <c r="JZ21" s="44"/>
      <c r="KA21" s="44"/>
      <c r="KB21" s="44"/>
      <c r="KC21" s="44"/>
      <c r="KD21" s="44"/>
      <c r="KE21" s="44"/>
      <c r="KF21" s="44"/>
      <c r="KG21" s="44"/>
      <c r="KH21" s="44"/>
      <c r="KI21" s="44"/>
      <c r="KJ21" s="44"/>
      <c r="KK21" s="44"/>
      <c r="KL21" s="44"/>
      <c r="KM21" s="44"/>
      <c r="KN21" s="44"/>
      <c r="KO21" s="44"/>
      <c r="KP21" s="44"/>
      <c r="KQ21" s="44"/>
      <c r="KR21" s="44"/>
      <c r="KS21" s="44"/>
      <c r="KT21" s="44"/>
      <c r="KU21" s="44"/>
      <c r="KV21" s="44"/>
      <c r="KW21" s="44"/>
      <c r="KX21" s="44"/>
      <c r="KY21" s="44"/>
      <c r="KZ21" s="44"/>
      <c r="LA21" s="44"/>
      <c r="LB21" s="44"/>
      <c r="LC21" s="44"/>
      <c r="LD21" s="44"/>
      <c r="LE21" s="44"/>
      <c r="LF21" s="44"/>
      <c r="LG21" s="44"/>
      <c r="LH21" s="44"/>
      <c r="LI21" s="44"/>
      <c r="LJ21" s="44"/>
      <c r="LK21" s="44"/>
      <c r="LL21" s="44"/>
      <c r="LM21" s="44"/>
      <c r="LN21" s="44"/>
      <c r="LO21" s="44"/>
      <c r="LP21" s="44"/>
      <c r="LQ21" s="44"/>
      <c r="LR21" s="44"/>
      <c r="LS21" s="44"/>
      <c r="LT21" s="44"/>
      <c r="LU21" s="44"/>
      <c r="LV21" s="44"/>
      <c r="LW21" s="44"/>
      <c r="LX21" s="44"/>
      <c r="LY21" s="44"/>
      <c r="LZ21" s="44"/>
      <c r="MA21" s="44"/>
    </row>
    <row r="22" spans="1:339" s="18" customFormat="1" ht="73.5" customHeight="1" x14ac:dyDescent="0.25">
      <c r="A22" s="888"/>
      <c r="B22" s="36">
        <v>1</v>
      </c>
      <c r="C22" s="37">
        <v>0</v>
      </c>
      <c r="D22" s="38" t="s">
        <v>1717</v>
      </c>
      <c r="E22" s="39" t="s">
        <v>1760</v>
      </c>
      <c r="F22" s="884"/>
      <c r="G22" s="437" t="s">
        <v>1777</v>
      </c>
      <c r="H22" s="433" t="s">
        <v>707</v>
      </c>
      <c r="I22" s="483">
        <v>100</v>
      </c>
      <c r="J22" s="62">
        <v>0</v>
      </c>
      <c r="K22" s="40">
        <v>1</v>
      </c>
      <c r="L22" s="40">
        <v>0.55000000000000004</v>
      </c>
      <c r="M22" s="40">
        <f>'Plan de Acción 2022'!R156</f>
        <v>1</v>
      </c>
      <c r="N22" s="40">
        <v>1</v>
      </c>
      <c r="O22" s="40">
        <f>'Plan de Acción 2022'!W156</f>
        <v>0.25</v>
      </c>
      <c r="P22" s="40">
        <f>(O22*45%)/(M22-L22)</f>
        <v>0.25000000000000006</v>
      </c>
      <c r="Q22" s="40" t="s">
        <v>709</v>
      </c>
      <c r="R22" s="40">
        <f>'Plan de Acción 2022'!AA156</f>
        <v>1</v>
      </c>
      <c r="S22" s="40">
        <f>(R22*45%)/(M22-L22)</f>
        <v>1.0000000000000002</v>
      </c>
      <c r="T22" s="433" t="s">
        <v>2057</v>
      </c>
      <c r="U22" s="40">
        <f>'Plan de Acción 2022'!AE156</f>
        <v>100</v>
      </c>
      <c r="V22" s="40">
        <f>(U22*45%)/(M22-L22)</f>
        <v>100.00000000000001</v>
      </c>
      <c r="W22" s="41"/>
      <c r="X22" s="40">
        <f>'Plan de Acción 2022'!AH156</f>
        <v>0</v>
      </c>
      <c r="Y22" s="40">
        <f>(X22*45%)/(M22-L22)</f>
        <v>0</v>
      </c>
      <c r="Z22" s="74"/>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15"/>
      <c r="BA22" s="15"/>
      <c r="BB22" s="44"/>
      <c r="BC22" s="44"/>
      <c r="BD22" s="44"/>
      <c r="BE22" s="44"/>
      <c r="BF22" s="44"/>
      <c r="BG22" s="44"/>
      <c r="BH22" s="44"/>
      <c r="BI22" s="44"/>
      <c r="BJ22" s="44"/>
      <c r="BK22" s="44"/>
      <c r="BL22" s="44"/>
      <c r="BM22" s="44"/>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c r="DD22" s="44"/>
      <c r="DE22" s="44"/>
      <c r="DF22" s="44"/>
      <c r="DG22" s="44"/>
      <c r="DH22" s="44"/>
      <c r="DI22" s="44"/>
      <c r="DJ22" s="44"/>
      <c r="DK22" s="44"/>
      <c r="DL22" s="44"/>
      <c r="DM22" s="44"/>
      <c r="DN22" s="44"/>
      <c r="DO22" s="44"/>
      <c r="DP22" s="44"/>
      <c r="DQ22" s="44"/>
      <c r="DR22" s="44"/>
      <c r="DS22" s="44"/>
      <c r="DT22" s="44"/>
      <c r="DU22" s="44"/>
      <c r="DV22" s="44"/>
      <c r="DW22" s="44"/>
      <c r="DX22" s="44"/>
      <c r="DY22" s="44"/>
      <c r="DZ22" s="44"/>
      <c r="EA22" s="44"/>
      <c r="EB22" s="44"/>
      <c r="EC22" s="44"/>
      <c r="ED22" s="44"/>
      <c r="EE22" s="44"/>
      <c r="EF22" s="44"/>
      <c r="EG22" s="44"/>
      <c r="EH22" s="44"/>
      <c r="EI22" s="44"/>
      <c r="EJ22" s="44"/>
      <c r="EK22" s="44"/>
      <c r="EL22" s="44"/>
      <c r="EM22" s="44"/>
      <c r="EN22" s="44"/>
      <c r="EO22" s="44"/>
      <c r="EP22" s="44"/>
      <c r="EQ22" s="44"/>
      <c r="ER22" s="44"/>
      <c r="ES22" s="44"/>
      <c r="ET22" s="44"/>
      <c r="EU22" s="44"/>
      <c r="EV22" s="44"/>
      <c r="EW22" s="44"/>
      <c r="EX22" s="44"/>
      <c r="EY22" s="44"/>
      <c r="EZ22" s="44"/>
      <c r="FA22" s="44"/>
      <c r="FB22" s="44"/>
      <c r="FC22" s="44"/>
      <c r="FD22" s="44"/>
      <c r="FE22" s="44"/>
      <c r="FF22" s="44"/>
      <c r="FG22" s="44"/>
      <c r="FH22" s="44"/>
      <c r="FI22" s="44"/>
      <c r="FJ22" s="44"/>
      <c r="FK22" s="44"/>
      <c r="FL22" s="44"/>
      <c r="FM22" s="44"/>
      <c r="FN22" s="44"/>
      <c r="FO22" s="44"/>
      <c r="FP22" s="44"/>
      <c r="FQ22" s="44"/>
      <c r="FR22" s="44"/>
      <c r="FS22" s="44"/>
      <c r="FT22" s="44"/>
      <c r="FU22" s="44"/>
      <c r="FV22" s="44"/>
      <c r="FW22" s="44"/>
      <c r="FX22" s="44"/>
      <c r="FY22" s="44"/>
      <c r="FZ22" s="44"/>
      <c r="GA22" s="44"/>
      <c r="GB22" s="44"/>
      <c r="GC22" s="44"/>
      <c r="GD22" s="44"/>
      <c r="GE22" s="44"/>
      <c r="GF22" s="44"/>
      <c r="GG22" s="44"/>
      <c r="GH22" s="44"/>
      <c r="GI22" s="44"/>
      <c r="GJ22" s="44"/>
      <c r="GK22" s="44"/>
      <c r="GL22" s="44"/>
      <c r="GM22" s="44"/>
      <c r="GN22" s="44"/>
      <c r="GO22" s="44"/>
      <c r="GP22" s="44"/>
      <c r="GQ22" s="44"/>
      <c r="GR22" s="44"/>
      <c r="GS22" s="44"/>
      <c r="GT22" s="44"/>
      <c r="GU22" s="44"/>
      <c r="GV22" s="44"/>
      <c r="GW22" s="44"/>
      <c r="GX22" s="44"/>
      <c r="GY22" s="44"/>
      <c r="GZ22" s="44"/>
      <c r="HA22" s="44"/>
      <c r="HB22" s="44"/>
      <c r="HC22" s="44"/>
      <c r="HD22" s="44"/>
      <c r="HE22" s="44"/>
      <c r="HF22" s="44"/>
      <c r="HG22" s="44"/>
      <c r="HH22" s="44"/>
      <c r="HI22" s="44"/>
      <c r="HJ22" s="44"/>
      <c r="HK22" s="44"/>
      <c r="HL22" s="44"/>
      <c r="HM22" s="44"/>
      <c r="HN22" s="44"/>
      <c r="HO22" s="44"/>
      <c r="HP22" s="44"/>
      <c r="HQ22" s="44"/>
      <c r="HR22" s="44"/>
      <c r="HS22" s="44"/>
      <c r="HT22" s="44"/>
      <c r="HU22" s="44"/>
      <c r="HV22" s="44"/>
      <c r="HW22" s="44"/>
      <c r="HX22" s="44"/>
      <c r="HY22" s="44"/>
      <c r="HZ22" s="44"/>
      <c r="IA22" s="44"/>
      <c r="IB22" s="44"/>
      <c r="IC22" s="44"/>
      <c r="ID22" s="44"/>
      <c r="IE22" s="44"/>
      <c r="IF22" s="44"/>
      <c r="IG22" s="44"/>
      <c r="IH22" s="44"/>
      <c r="II22" s="44"/>
      <c r="IJ22" s="44"/>
      <c r="IK22" s="44"/>
      <c r="IL22" s="44"/>
      <c r="IM22" s="44"/>
      <c r="IN22" s="44"/>
      <c r="IO22" s="44"/>
      <c r="IP22" s="44"/>
      <c r="IQ22" s="44"/>
      <c r="IR22" s="44"/>
      <c r="IS22" s="44"/>
      <c r="IT22" s="44"/>
      <c r="IU22" s="44"/>
      <c r="IV22" s="44"/>
      <c r="IW22" s="44"/>
      <c r="IX22" s="44"/>
      <c r="IY22" s="44"/>
      <c r="IZ22" s="44"/>
      <c r="JA22" s="44"/>
      <c r="JB22" s="44"/>
      <c r="JC22" s="44"/>
      <c r="JD22" s="44"/>
      <c r="JE22" s="44"/>
      <c r="JF22" s="44"/>
      <c r="JG22" s="44"/>
      <c r="JH22" s="44"/>
      <c r="JI22" s="44"/>
      <c r="JJ22" s="44"/>
      <c r="JK22" s="44"/>
      <c r="JL22" s="44"/>
      <c r="JM22" s="44"/>
      <c r="JN22" s="44"/>
      <c r="JO22" s="44"/>
      <c r="JP22" s="44"/>
      <c r="JQ22" s="44"/>
      <c r="JR22" s="44"/>
      <c r="JS22" s="44"/>
      <c r="JT22" s="44"/>
      <c r="JU22" s="44"/>
      <c r="JV22" s="44"/>
      <c r="JW22" s="44"/>
      <c r="JX22" s="44"/>
      <c r="JY22" s="44"/>
      <c r="JZ22" s="44"/>
      <c r="KA22" s="44"/>
      <c r="KB22" s="44"/>
      <c r="KC22" s="44"/>
      <c r="KD22" s="44"/>
      <c r="KE22" s="44"/>
      <c r="KF22" s="44"/>
      <c r="KG22" s="44"/>
      <c r="KH22" s="44"/>
      <c r="KI22" s="44"/>
      <c r="KJ22" s="44"/>
      <c r="KK22" s="44"/>
      <c r="KL22" s="44"/>
      <c r="KM22" s="44"/>
      <c r="KN22" s="44"/>
      <c r="KO22" s="44"/>
      <c r="KP22" s="44"/>
      <c r="KQ22" s="44"/>
      <c r="KR22" s="44"/>
      <c r="KS22" s="44"/>
      <c r="KT22" s="44"/>
      <c r="KU22" s="44"/>
      <c r="KV22" s="44"/>
      <c r="KW22" s="44"/>
      <c r="KX22" s="44"/>
      <c r="KY22" s="44"/>
      <c r="KZ22" s="44"/>
      <c r="LA22" s="44"/>
      <c r="LB22" s="44"/>
      <c r="LC22" s="44"/>
      <c r="LD22" s="44"/>
      <c r="LE22" s="44"/>
      <c r="LF22" s="44"/>
      <c r="LG22" s="44"/>
      <c r="LH22" s="44"/>
      <c r="LI22" s="44"/>
      <c r="LJ22" s="44"/>
      <c r="LK22" s="44"/>
      <c r="LL22" s="44"/>
      <c r="LM22" s="44"/>
      <c r="LN22" s="44"/>
      <c r="LO22" s="44"/>
      <c r="LP22" s="44"/>
      <c r="LQ22" s="44"/>
      <c r="LR22" s="44"/>
      <c r="LS22" s="44"/>
      <c r="LT22" s="44"/>
      <c r="LU22" s="44"/>
      <c r="LV22" s="44"/>
      <c r="LW22" s="44"/>
      <c r="LX22" s="44"/>
      <c r="LY22" s="44"/>
      <c r="LZ22" s="44"/>
      <c r="MA22" s="44"/>
    </row>
    <row r="23" spans="1:339" s="18" customFormat="1" ht="77.25" customHeight="1" x14ac:dyDescent="0.25">
      <c r="A23" s="889">
        <v>8</v>
      </c>
      <c r="B23" s="36">
        <v>1</v>
      </c>
      <c r="C23" s="37">
        <v>0</v>
      </c>
      <c r="D23" s="38" t="s">
        <v>1715</v>
      </c>
      <c r="E23" s="39" t="s">
        <v>1766</v>
      </c>
      <c r="F23" s="884" t="s">
        <v>1778</v>
      </c>
      <c r="G23" s="437" t="s">
        <v>1779</v>
      </c>
      <c r="H23" s="437" t="s">
        <v>1780</v>
      </c>
      <c r="I23" s="482">
        <v>31</v>
      </c>
      <c r="J23" s="62">
        <v>0.2</v>
      </c>
      <c r="K23" s="40">
        <v>0.4</v>
      </c>
      <c r="L23" s="62">
        <v>0.3</v>
      </c>
      <c r="M23" s="62">
        <f>'Plan de Acción 2022'!R235</f>
        <v>0.6</v>
      </c>
      <c r="N23" s="62">
        <v>1</v>
      </c>
      <c r="O23" s="62">
        <f>'Plan de Acción 2022'!W235</f>
        <v>0</v>
      </c>
      <c r="P23" s="371">
        <f>(O23*30%)/(M23-L23)</f>
        <v>0</v>
      </c>
      <c r="Q23" s="368" t="s">
        <v>718</v>
      </c>
      <c r="R23" s="62">
        <f>'Plan de Acción 2022'!AA235</f>
        <v>0.31</v>
      </c>
      <c r="S23" s="371">
        <f>(R23*30%)/(M23-L23)</f>
        <v>0.31</v>
      </c>
      <c r="T23" s="482" t="s">
        <v>2114</v>
      </c>
      <c r="U23" s="62">
        <f>'Plan de Acción 2022'!AE235</f>
        <v>55</v>
      </c>
      <c r="V23" s="40">
        <f>(U23*30%)/(M23-L23)</f>
        <v>55</v>
      </c>
      <c r="W23" s="67"/>
      <c r="X23" s="62">
        <f>'Plan de Acción 2022'!AH235</f>
        <v>0</v>
      </c>
      <c r="Y23" s="40">
        <f>(X23*30%)/(M23-L23)</f>
        <v>0</v>
      </c>
      <c r="Z23" s="6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15"/>
      <c r="BA23" s="15"/>
      <c r="BB23" s="44"/>
      <c r="BC23" s="44"/>
      <c r="BD23" s="44"/>
      <c r="BE23" s="44"/>
      <c r="BF23" s="44"/>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4"/>
      <c r="DH23" s="44"/>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4"/>
      <c r="EI23" s="44"/>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4"/>
      <c r="FJ23" s="44"/>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4"/>
      <c r="GK23" s="44"/>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4"/>
      <c r="HK23" s="44"/>
      <c r="HL23" s="44"/>
      <c r="HM23" s="44"/>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4"/>
      <c r="IM23" s="44"/>
      <c r="IN23" s="44"/>
      <c r="IO23" s="44"/>
      <c r="IP23" s="44"/>
      <c r="IQ23" s="44"/>
      <c r="IR23" s="44"/>
      <c r="IS23" s="44"/>
      <c r="IT23" s="44"/>
      <c r="IU23" s="44"/>
      <c r="IV23" s="44"/>
      <c r="IW23" s="44"/>
      <c r="IX23" s="44"/>
      <c r="IY23" s="44"/>
      <c r="IZ23" s="44"/>
      <c r="JA23" s="44"/>
      <c r="JB23" s="44"/>
      <c r="JC23" s="44"/>
      <c r="JD23" s="44"/>
      <c r="JE23" s="44"/>
      <c r="JF23" s="44"/>
      <c r="JG23" s="44"/>
      <c r="JH23" s="44"/>
      <c r="JI23" s="44"/>
      <c r="JJ23" s="44"/>
      <c r="JK23" s="44"/>
      <c r="JL23" s="44"/>
      <c r="JM23" s="44"/>
      <c r="JN23" s="44"/>
      <c r="JO23" s="44"/>
      <c r="JP23" s="44"/>
      <c r="JQ23" s="44"/>
      <c r="JR23" s="44"/>
      <c r="JS23" s="44"/>
      <c r="JT23" s="44"/>
      <c r="JU23" s="44"/>
      <c r="JV23" s="44"/>
      <c r="JW23" s="44"/>
      <c r="JX23" s="44"/>
      <c r="JY23" s="44"/>
      <c r="JZ23" s="44"/>
      <c r="KA23" s="44"/>
      <c r="KB23" s="44"/>
      <c r="KC23" s="44"/>
      <c r="KD23" s="44"/>
      <c r="KE23" s="44"/>
      <c r="KF23" s="44"/>
      <c r="KG23" s="44"/>
      <c r="KH23" s="44"/>
      <c r="KI23" s="44"/>
      <c r="KJ23" s="44"/>
      <c r="KK23" s="44"/>
      <c r="KL23" s="44"/>
      <c r="KM23" s="44"/>
      <c r="KN23" s="44"/>
      <c r="KO23" s="44"/>
      <c r="KP23" s="44"/>
      <c r="KQ23" s="44"/>
      <c r="KR23" s="44"/>
      <c r="KS23" s="44"/>
      <c r="KT23" s="44"/>
      <c r="KU23" s="44"/>
      <c r="KV23" s="44"/>
      <c r="KW23" s="44"/>
      <c r="KX23" s="44"/>
      <c r="KY23" s="44"/>
      <c r="KZ23" s="44"/>
      <c r="LA23" s="44"/>
      <c r="LB23" s="44"/>
      <c r="LC23" s="44"/>
      <c r="LD23" s="44"/>
      <c r="LE23" s="44"/>
      <c r="LF23" s="44"/>
      <c r="LG23" s="44"/>
      <c r="LH23" s="44"/>
      <c r="LI23" s="44"/>
      <c r="LJ23" s="44"/>
      <c r="LK23" s="44"/>
      <c r="LL23" s="44"/>
      <c r="LM23" s="44"/>
      <c r="LN23" s="44"/>
      <c r="LO23" s="44"/>
      <c r="LP23" s="44"/>
      <c r="LQ23" s="44"/>
      <c r="LR23" s="44"/>
      <c r="LS23" s="44"/>
      <c r="LT23" s="44"/>
      <c r="LU23" s="44"/>
      <c r="LV23" s="44"/>
      <c r="LW23" s="44"/>
      <c r="LX23" s="44"/>
      <c r="LY23" s="44"/>
      <c r="LZ23" s="44"/>
      <c r="MA23" s="44"/>
    </row>
    <row r="24" spans="1:339" ht="162.75" customHeight="1" thickBot="1" x14ac:dyDescent="0.3">
      <c r="A24" s="896"/>
      <c r="B24" s="36">
        <v>1</v>
      </c>
      <c r="C24" s="37">
        <v>0</v>
      </c>
      <c r="D24" s="38" t="s">
        <v>1717</v>
      </c>
      <c r="E24" s="433" t="s">
        <v>1781</v>
      </c>
      <c r="F24" s="884"/>
      <c r="G24" s="437" t="s">
        <v>841</v>
      </c>
      <c r="H24" s="437" t="s">
        <v>844</v>
      </c>
      <c r="I24" s="486">
        <v>0</v>
      </c>
      <c r="J24" s="62">
        <v>0</v>
      </c>
      <c r="K24" s="62">
        <v>0.1</v>
      </c>
      <c r="L24" s="62">
        <v>0.08</v>
      </c>
      <c r="M24" s="40">
        <f>'Plan de Acción 2022'!R191</f>
        <v>0.2</v>
      </c>
      <c r="N24" s="62">
        <v>1</v>
      </c>
      <c r="O24" s="62">
        <f>'Plan de Acción 2022'!W191</f>
        <v>0.25</v>
      </c>
      <c r="P24" s="377">
        <f>(O24*12%)/(M24-L24)</f>
        <v>0.24999999999999997</v>
      </c>
      <c r="Q24" s="62" t="s">
        <v>1782</v>
      </c>
      <c r="R24" s="62">
        <f>'Plan de Acción 2022'!AA191</f>
        <v>0.5</v>
      </c>
      <c r="S24" s="40">
        <f>(R24*12%)/(M24-L24)</f>
        <v>0.49999999999999994</v>
      </c>
      <c r="T24" s="437" t="s">
        <v>848</v>
      </c>
      <c r="U24" s="62">
        <f>'Plan de Acción 2022'!AE191</f>
        <v>75</v>
      </c>
      <c r="V24" s="40">
        <f>(U24*12%)/(M24-L24)</f>
        <v>75</v>
      </c>
      <c r="W24" s="67"/>
      <c r="X24" s="62">
        <f>'Plan de Acción 2022'!AH191</f>
        <v>0</v>
      </c>
      <c r="Y24" s="40">
        <f>(X24*12%)/(M24-L24)</f>
        <v>0</v>
      </c>
      <c r="Z24" s="6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75"/>
      <c r="JQ24" s="75"/>
      <c r="JR24" s="75"/>
      <c r="JS24" s="75"/>
      <c r="JT24" s="75"/>
      <c r="JU24" s="75"/>
      <c r="JV24" s="75"/>
      <c r="JW24" s="75"/>
      <c r="JX24" s="75"/>
      <c r="JY24" s="75"/>
      <c r="JZ24" s="75"/>
      <c r="KA24" s="75"/>
      <c r="KB24" s="75"/>
      <c r="KC24" s="75"/>
      <c r="KD24" s="75"/>
      <c r="KE24" s="75"/>
      <c r="KF24" s="75"/>
      <c r="KG24" s="75"/>
      <c r="KH24" s="75"/>
      <c r="KI24" s="75"/>
      <c r="KJ24" s="75"/>
      <c r="KK24" s="75"/>
      <c r="KL24" s="75"/>
      <c r="KM24" s="75"/>
      <c r="KN24" s="75"/>
      <c r="KO24" s="75"/>
      <c r="KP24" s="75"/>
      <c r="KQ24" s="75"/>
      <c r="KR24" s="75"/>
      <c r="KS24" s="75"/>
      <c r="KT24" s="75"/>
      <c r="KU24" s="75"/>
      <c r="KV24" s="75"/>
      <c r="KW24" s="75"/>
      <c r="KX24" s="75"/>
      <c r="KY24" s="75"/>
      <c r="KZ24" s="75"/>
      <c r="LA24" s="75"/>
      <c r="LB24" s="75"/>
      <c r="LC24" s="75"/>
      <c r="LD24" s="75"/>
      <c r="LE24" s="75"/>
      <c r="LF24" s="75"/>
      <c r="LG24" s="75"/>
      <c r="LH24" s="75"/>
      <c r="LI24" s="75"/>
      <c r="LJ24" s="75"/>
      <c r="LK24" s="75"/>
      <c r="LL24" s="75"/>
      <c r="LM24" s="75"/>
      <c r="LN24" s="75"/>
      <c r="LO24" s="75"/>
      <c r="LP24" s="75"/>
      <c r="LQ24" s="75"/>
      <c r="LR24" s="75"/>
      <c r="LS24" s="75"/>
      <c r="LT24" s="75"/>
      <c r="LU24" s="75"/>
      <c r="LV24" s="75"/>
      <c r="LW24" s="75"/>
      <c r="LX24" s="75"/>
      <c r="LY24" s="75"/>
      <c r="LZ24" s="75"/>
      <c r="MA24" s="75"/>
    </row>
    <row r="25" spans="1:339" s="18" customFormat="1" ht="112.5" customHeight="1" x14ac:dyDescent="0.25">
      <c r="A25" s="887">
        <v>9</v>
      </c>
      <c r="B25" s="36">
        <v>1</v>
      </c>
      <c r="C25" s="37">
        <v>0</v>
      </c>
      <c r="D25" s="38" t="s">
        <v>1715</v>
      </c>
      <c r="E25" s="39" t="s">
        <v>1783</v>
      </c>
      <c r="F25" s="884" t="s">
        <v>760</v>
      </c>
      <c r="G25" s="433" t="s">
        <v>427</v>
      </c>
      <c r="H25" s="433" t="s">
        <v>430</v>
      </c>
      <c r="I25" s="483">
        <v>38</v>
      </c>
      <c r="J25" s="40">
        <v>0.4</v>
      </c>
      <c r="K25" s="40">
        <v>0.5</v>
      </c>
      <c r="L25" s="62">
        <v>0.4</v>
      </c>
      <c r="M25" s="40">
        <f>'Plan de Acción 2022'!R187</f>
        <v>0.6</v>
      </c>
      <c r="N25" s="40">
        <v>0.8</v>
      </c>
      <c r="O25" s="40" t="e">
        <f>('Plan de Acción 2022'!W91+'Plan de Acción 2022'!W92+'Plan de Acción 2022'!W93+'Plan de Acción 2022'!W94+'Plan de Acción 2022'!W95+'Plan de Acción 2022'!W96+'Plan de Acción 2022'!W97+'Plan de Acción 2022'!W98+'Plan de Acción 2022'!W99+'Plan de Acción 2022'!W100+'Plan de Acción 2022'!W101+'Plan de Acción 2022'!W102+'Plan de Acción 2022'!#REF!+'Plan de Acción 2022'!#REF!+'Plan de Acción 2022'!#REF!+'Plan de Acción 2022'!#REF!+'Plan de Acción 2022'!W184+'Plan de Acción 2022'!W185+'Plan de Acción 2022'!W186+'Plan de Acción 2022'!W187+'Plan de Acción 2022'!W239+'Plan de Acción 2022'!W301+'Plan de Acción 2022'!W302+'Plan de Acción 2022'!#REF!+'Plan de Acción 2022'!W315+'Plan de Acción 2022'!W316+'Plan de Acción 2022'!W317+'Plan de Acción 2022'!W318+'Plan de Acción 2022'!W319+'Plan de Acción 2022'!W320+'Plan de Acción 2022'!W321+'Plan de Acción 2022'!W322+'Plan de Acción 2022'!W323+'Plan de Acción 2022'!W324+'Plan de Acción 2022'!W325+'Plan de Acción 2022'!W326+'Plan de Acción 2022'!W327+'Plan de Acción 2022'!W328+'Plan de Acción 2022'!W308+'Plan de Acción 2022'!W330+'Plan de Acción 2022'!W331+'Plan de Acción 2022'!#REF!)/43</f>
        <v>#REF!</v>
      </c>
      <c r="P25" s="40" t="e">
        <f>(O25*20%)/(M25-L25)</f>
        <v>#REF!</v>
      </c>
      <c r="Q25" s="40" t="s">
        <v>1784</v>
      </c>
      <c r="R25" s="40" t="e">
        <f>('Plan de Acción 2022'!AA91+'Plan de Acción 2022'!AA92+'Plan de Acción 2022'!AA93+'Plan de Acción 2022'!AA94+'Plan de Acción 2022'!AA95+'Plan de Acción 2022'!AA96+'Plan de Acción 2022'!AA97+'Plan de Acción 2022'!AA98+'Plan de Acción 2022'!AA99+'Plan de Acción 2022'!AA100+'Plan de Acción 2022'!AA101+'Plan de Acción 2022'!AA102+'Plan de Acción 2022'!#REF!+'Plan de Acción 2022'!#REF!+'Plan de Acción 2022'!#REF!+'Plan de Acción 2022'!#REF!+'Plan de Acción 2022'!AA184+'Plan de Acción 2022'!AA185+'Plan de Acción 2022'!AA186+'Plan de Acción 2022'!AA187+'Plan de Acción 2022'!AA239+'Plan de Acción 2022'!AA301+'Plan de Acción 2022'!AA302+'Plan de Acción 2022'!#REF!+'Plan de Acción 2022'!AA315+'Plan de Acción 2022'!AA316+'Plan de Acción 2022'!AA317+'Plan de Acción 2022'!AA318+'Plan de Acción 2022'!AA319+'Plan de Acción 2022'!AA320+'Plan de Acción 2022'!AA321+'Plan de Acción 2022'!AA322+'Plan de Acción 2022'!AA323+'Plan de Acción 2022'!AA324+'Plan de Acción 2022'!AA325+'Plan de Acción 2022'!AA326+'Plan de Acción 2022'!AA327+'Plan de Acción 2022'!AA328+'Plan de Acción 2022'!AA308+'Plan de Acción 2022'!AA330+'Plan de Acción 2022'!AA331+'Plan de Acción 2022'!#REF!)/43</f>
        <v>#REF!</v>
      </c>
      <c r="S25" s="40" t="e">
        <f>(R25*20%)/(M25-L25)</f>
        <v>#REF!</v>
      </c>
      <c r="T25" s="476" t="s">
        <v>2059</v>
      </c>
      <c r="U25" s="40" t="e">
        <f>('Plan de Acción 2022'!AE91+'Plan de Acción 2022'!AE92+'Plan de Acción 2022'!AE93+'Plan de Acción 2022'!AE94+'Plan de Acción 2022'!AE95+'Plan de Acción 2022'!AE96+'Plan de Acción 2022'!AE97+'Plan de Acción 2022'!AE98+'Plan de Acción 2022'!AE99+'Plan de Acción 2022'!AE100+'Plan de Acción 2022'!AE101+'Plan de Acción 2022'!AE102+'Plan de Acción 2022'!#REF!+'Plan de Acción 2022'!#REF!+'Plan de Acción 2022'!#REF!+'Plan de Acción 2022'!#REF!+'Plan de Acción 2022'!AE184+'Plan de Acción 2022'!AE185+'Plan de Acción 2022'!AE186+'Plan de Acción 2022'!AE187+'Plan de Acción 2022'!AE239+'Plan de Acción 2022'!AE301+'Plan de Acción 2022'!AE302+'Plan de Acción 2022'!#REF!+'Plan de Acción 2022'!AE315+'Plan de Acción 2022'!AE316+'Plan de Acción 2022'!AE317+'Plan de Acción 2022'!AE318+'Plan de Acción 2022'!AE319+'Plan de Acción 2022'!AE320+'Plan de Acción 2022'!AE321+'Plan de Acción 2022'!AE322+'Plan de Acción 2022'!AE323+'Plan de Acción 2022'!AE324+'Plan de Acción 2022'!AE325+'Plan de Acción 2022'!AE326+'Plan de Acción 2022'!AE327+'Plan de Acción 2022'!AE328+'Plan de Acción 2022'!AE308+'Plan de Acción 2022'!AE330+'Plan de Acción 2022'!AE331)/41</f>
        <v>#REF!</v>
      </c>
      <c r="V25" s="40" t="e">
        <f>(U25*20%)/(M25-L25)</f>
        <v>#REF!</v>
      </c>
      <c r="W25" s="67"/>
      <c r="X25" s="40" t="e">
        <f>('Plan de Acción 2022'!AH91+'Plan de Acción 2022'!AH92+'Plan de Acción 2022'!AH93+'Plan de Acción 2022'!AH94+'Plan de Acción 2022'!AH95+'Plan de Acción 2022'!AH96+'Plan de Acción 2022'!AH97+'Plan de Acción 2022'!AH98+'Plan de Acción 2022'!AH99+'Plan de Acción 2022'!AH100+'Plan de Acción 2022'!AH101+'Plan de Acción 2022'!AH102+'Plan de Acción 2022'!#REF!+'Plan de Acción 2022'!#REF!+'Plan de Acción 2022'!#REF!+'Plan de Acción 2022'!#REF!+'Plan de Acción 2022'!AH184+'Plan de Acción 2022'!AH185+'Plan de Acción 2022'!AH186+'Plan de Acción 2022'!AH187+'Plan de Acción 2022'!AH239+'Plan de Acción 2022'!AH301+'Plan de Acción 2022'!AH302+'Plan de Acción 2022'!#REF!+'Plan de Acción 2022'!AH315+'Plan de Acción 2022'!AH316+'Plan de Acción 2022'!AH317+'Plan de Acción 2022'!AH318+'Plan de Acción 2022'!AH319+'Plan de Acción 2022'!AH320+'Plan de Acción 2022'!AH321+'Plan de Acción 2022'!AH322+'Plan de Acción 2022'!AH323+'Plan de Acción 2022'!AH324+'Plan de Acción 2022'!AH325+'Plan de Acción 2022'!AH326+'Plan de Acción 2022'!AH327+'Plan de Acción 2022'!AH328+'Plan de Acción 2022'!AH308+'Plan de Acción 2022'!AH330+'Plan de Acción 2022'!AH331)/41</f>
        <v>#REF!</v>
      </c>
      <c r="Y25" s="40" t="e">
        <f>(X25*42%)/(M25-L25)</f>
        <v>#REF!</v>
      </c>
      <c r="Z25" s="6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15"/>
      <c r="BA25" s="15"/>
      <c r="BB25" s="44"/>
      <c r="BC25" s="44"/>
      <c r="BD25" s="44"/>
      <c r="BE25" s="44"/>
      <c r="BF25" s="44"/>
      <c r="BG25" s="44"/>
      <c r="BH25" s="44"/>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c r="EK25" s="44"/>
      <c r="EL25" s="44"/>
      <c r="EM25" s="44"/>
      <c r="EN25" s="44"/>
      <c r="EO25" s="44"/>
      <c r="EP25" s="44"/>
      <c r="EQ25" s="44"/>
      <c r="ER25" s="44"/>
      <c r="ES25" s="44"/>
      <c r="ET25" s="44"/>
      <c r="EU25" s="44"/>
      <c r="EV25" s="44"/>
      <c r="EW25" s="44"/>
      <c r="EX25" s="44"/>
      <c r="EY25" s="44"/>
      <c r="EZ25" s="44"/>
      <c r="FA25" s="44"/>
      <c r="FB25" s="44"/>
      <c r="FC25" s="44"/>
      <c r="FD25" s="44"/>
      <c r="FE25" s="44"/>
      <c r="FF25" s="44"/>
      <c r="FG25" s="44"/>
      <c r="FH25" s="44"/>
      <c r="FI25" s="44"/>
      <c r="FJ25" s="44"/>
      <c r="FK25" s="44"/>
      <c r="FL25" s="44"/>
      <c r="FM25" s="44"/>
      <c r="FN25" s="44"/>
      <c r="FO25" s="44"/>
      <c r="FP25" s="44"/>
      <c r="FQ25" s="44"/>
      <c r="FR25" s="44"/>
      <c r="FS25" s="44"/>
      <c r="FT25" s="44"/>
      <c r="FU25" s="44"/>
      <c r="FV25" s="44"/>
      <c r="FW25" s="44"/>
      <c r="FX25" s="44"/>
      <c r="FY25" s="44"/>
      <c r="FZ25" s="44"/>
      <c r="GA25" s="44"/>
      <c r="GB25" s="44"/>
      <c r="GC25" s="44"/>
      <c r="GD25" s="44"/>
      <c r="GE25" s="44"/>
      <c r="GF25" s="44"/>
      <c r="GG25" s="44"/>
      <c r="GH25" s="44"/>
      <c r="GI25" s="44"/>
      <c r="GJ25" s="44"/>
      <c r="GK25" s="44"/>
      <c r="GL25" s="44"/>
      <c r="GM25" s="44"/>
      <c r="GN25" s="44"/>
      <c r="GO25" s="44"/>
      <c r="GP25" s="44"/>
      <c r="GQ25" s="44"/>
      <c r="GR25" s="44"/>
      <c r="GS25" s="44"/>
      <c r="GT25" s="44"/>
      <c r="GU25" s="44"/>
      <c r="GV25" s="44"/>
      <c r="GW25" s="44"/>
      <c r="GX25" s="44"/>
      <c r="GY25" s="44"/>
      <c r="GZ25" s="44"/>
      <c r="HA25" s="44"/>
      <c r="HB25" s="44"/>
      <c r="HC25" s="44"/>
      <c r="HD25" s="44"/>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H25" s="44"/>
      <c r="JI25" s="44"/>
      <c r="JJ25" s="44"/>
      <c r="JK25" s="44"/>
      <c r="JL25" s="44"/>
      <c r="JM25" s="44"/>
      <c r="JN25" s="44"/>
      <c r="JO25" s="44"/>
      <c r="JP25" s="44"/>
      <c r="JQ25" s="44"/>
      <c r="JR25" s="44"/>
      <c r="JS25" s="44"/>
      <c r="JT25" s="44"/>
      <c r="JU25" s="44"/>
      <c r="JV25" s="44"/>
      <c r="JW25" s="44"/>
      <c r="JX25" s="44"/>
      <c r="JY25" s="44"/>
      <c r="JZ25" s="44"/>
      <c r="KA25" s="44"/>
      <c r="KB25" s="44"/>
      <c r="KC25" s="44"/>
      <c r="KD25" s="44"/>
      <c r="KE25" s="44"/>
      <c r="KF25" s="44"/>
      <c r="KG25" s="44"/>
      <c r="KH25" s="44"/>
      <c r="KI25" s="44"/>
      <c r="KJ25" s="44"/>
      <c r="KK25" s="44"/>
      <c r="KL25" s="44"/>
      <c r="KM25" s="44"/>
      <c r="KN25" s="44"/>
      <c r="KO25" s="44"/>
      <c r="KP25" s="44"/>
      <c r="KQ25" s="44"/>
      <c r="KR25" s="44"/>
      <c r="KS25" s="44"/>
      <c r="KT25" s="44"/>
      <c r="KU25" s="44"/>
      <c r="KV25" s="44"/>
      <c r="KW25" s="44"/>
      <c r="KX25" s="44"/>
      <c r="KY25" s="44"/>
      <c r="KZ25" s="44"/>
      <c r="LA25" s="44"/>
      <c r="LB25" s="44"/>
      <c r="LC25" s="44"/>
      <c r="LD25" s="44"/>
      <c r="LE25" s="44"/>
      <c r="LF25" s="44"/>
      <c r="LG25" s="44"/>
      <c r="LH25" s="44"/>
      <c r="LI25" s="44"/>
      <c r="LJ25" s="44"/>
      <c r="LK25" s="44"/>
      <c r="LL25" s="44"/>
      <c r="LM25" s="44"/>
      <c r="LN25" s="44"/>
      <c r="LO25" s="44"/>
      <c r="LP25" s="44"/>
      <c r="LQ25" s="44"/>
      <c r="LR25" s="44"/>
      <c r="LS25" s="44"/>
      <c r="LT25" s="44"/>
      <c r="LU25" s="44"/>
      <c r="LV25" s="44"/>
      <c r="LW25" s="44"/>
      <c r="LX25" s="44"/>
      <c r="LY25" s="44"/>
      <c r="LZ25" s="44"/>
      <c r="MA25" s="44"/>
    </row>
    <row r="26" spans="1:339" s="60" customFormat="1" ht="123" customHeight="1" x14ac:dyDescent="0.25">
      <c r="A26" s="888"/>
      <c r="B26" s="36">
        <v>0</v>
      </c>
      <c r="C26" s="37">
        <v>1</v>
      </c>
      <c r="D26" s="38" t="s">
        <v>1715</v>
      </c>
      <c r="E26" s="433" t="s">
        <v>1785</v>
      </c>
      <c r="F26" s="884"/>
      <c r="G26" s="437" t="s">
        <v>761</v>
      </c>
      <c r="H26" s="433" t="s">
        <v>763</v>
      </c>
      <c r="I26" s="483">
        <v>28</v>
      </c>
      <c r="J26" s="40">
        <v>0.2</v>
      </c>
      <c r="K26" s="40">
        <v>0.3</v>
      </c>
      <c r="L26" s="40">
        <v>0.3</v>
      </c>
      <c r="M26" s="40">
        <f>'Plan de Acción 2022'!R237</f>
        <v>0.5</v>
      </c>
      <c r="N26" s="40">
        <v>0.8</v>
      </c>
      <c r="O26" s="40" t="e">
        <f>('Plan de Acción 2022'!W167+'Plan de Acción 2022'!W168+'Plan de Acción 2022'!W169+'Plan de Acción 2022'!W170+'Plan de Acción 2022'!W171+'Plan de Acción 2022'!W172+'Plan de Acción 2022'!W173+'Plan de Acción 2022'!W174+'Plan de Acción 2022'!W175+'Plan de Acción 2022'!W176+'Plan de Acción 2022'!W177+'Plan de Acción 2022'!W178+'Plan de Acción 2022'!W179+'Plan de Acción 2022'!W180+'Plan de Acción 2022'!#REF!+'Plan de Acción 2022'!W181+'Plan de Acción 2022'!#REF!+'Plan de Acción 2022'!W183+'Plan de Acción 2022'!W237+'Plan de Acción 2022'!W238+'Plan de Acción 2022'!W275+'Plan de Acción 2022'!W276)/22</f>
        <v>#REF!</v>
      </c>
      <c r="P26" s="371" t="e">
        <f>(O26*20%)/(M26-L26)</f>
        <v>#REF!</v>
      </c>
      <c r="Q26" s="40" t="s">
        <v>1786</v>
      </c>
      <c r="R26" s="40" t="e">
        <f>('Plan de Acción 2022'!AA167+'Plan de Acción 2022'!AA168+'Plan de Acción 2022'!AA169+'Plan de Acción 2022'!AA170+'Plan de Acción 2022'!AA171+'Plan de Acción 2022'!AA172+'Plan de Acción 2022'!AA173+'Plan de Acción 2022'!AA174+'Plan de Acción 2022'!AA175+'Plan de Acción 2022'!AA176+'Plan de Acción 2022'!AA177+'Plan de Acción 2022'!AA178+'Plan de Acción 2022'!AA179+'Plan de Acción 2022'!AA180+'Plan de Acción 2022'!#REF!+'Plan de Acción 2022'!AA181+'Plan de Acción 2022'!#REF!+'Plan de Acción 2022'!AA183+'Plan de Acción 2022'!AA237+'Plan de Acción 2022'!AA238+'Plan de Acción 2022'!AA275+'Plan de Acción 2022'!AA276)/22</f>
        <v>#REF!</v>
      </c>
      <c r="S26" s="40" t="e">
        <f>(R26*20%)/(M26-L26)</f>
        <v>#REF!</v>
      </c>
      <c r="T26" s="433" t="s">
        <v>2060</v>
      </c>
      <c r="U26" s="40" t="e">
        <f>('Plan de Acción 2022'!AE167+'Plan de Acción 2022'!AE168+'Plan de Acción 2022'!AE169+'Plan de Acción 2022'!AE170+'Plan de Acción 2022'!AE171+'Plan de Acción 2022'!AE172+'Plan de Acción 2022'!AE173+'Plan de Acción 2022'!AE174+'Plan de Acción 2022'!AE175+'Plan de Acción 2022'!AE176+'Plan de Acción 2022'!AE177+'Plan de Acción 2022'!AE178+'Plan de Acción 2022'!AE179+'Plan de Acción 2022'!AE180+'Plan de Acción 2022'!#REF!+'Plan de Acción 2022'!AE181+'Plan de Acción 2022'!#REF!+'Plan de Acción 2022'!AE183+'Plan de Acción 2022'!AE237+'Plan de Acción 2022'!AE238+'Plan de Acción 2022'!AE275+'Plan de Acción 2022'!AE276)/22</f>
        <v>#REF!</v>
      </c>
      <c r="V26" s="40" t="e">
        <f>(U26*20%)/(M26-L26)</f>
        <v>#REF!</v>
      </c>
      <c r="W26" s="50"/>
      <c r="X26" s="40" t="e">
        <f>('Plan de Acción 2022'!AH167+'Plan de Acción 2022'!AH168+'Plan de Acción 2022'!AH169+'Plan de Acción 2022'!AH170+'Plan de Acción 2022'!AH171+'Plan de Acción 2022'!AH172+'Plan de Acción 2022'!AH173+'Plan de Acción 2022'!AH174+'Plan de Acción 2022'!AH175+'Plan de Acción 2022'!AH176+'Plan de Acción 2022'!AH177+'Plan de Acción 2022'!AH178+'Plan de Acción 2022'!AH179+'Plan de Acción 2022'!AH180+'Plan de Acción 2022'!#REF!+'Plan de Acción 2022'!AH181+'Plan de Acción 2022'!#REF!+'Plan de Acción 2022'!AH183+'Plan de Acción 2022'!AH237+'Plan de Acción 2022'!AH238+'Plan de Acción 2022'!AH275+'Plan de Acción 2022'!AH276)/22</f>
        <v>#REF!</v>
      </c>
      <c r="Y26" s="40" t="e">
        <f>(X26*20%)/(M26-L26)</f>
        <v>#REF!</v>
      </c>
      <c r="Z26" s="51"/>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15"/>
      <c r="BA26" s="15"/>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4"/>
      <c r="FJ26" s="44"/>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4"/>
      <c r="GK26" s="44"/>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4"/>
      <c r="HL26" s="44"/>
      <c r="HM26" s="44"/>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4"/>
      <c r="IM26" s="44"/>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4"/>
      <c r="JM26" s="44"/>
      <c r="JN26" s="44"/>
      <c r="JO26" s="44"/>
      <c r="JP26" s="44"/>
      <c r="JQ26" s="44"/>
      <c r="JR26" s="44"/>
      <c r="JS26" s="44"/>
      <c r="JT26" s="44"/>
      <c r="JU26" s="44"/>
      <c r="JV26" s="44"/>
      <c r="JW26" s="44"/>
      <c r="JX26" s="44"/>
      <c r="JY26" s="44"/>
      <c r="JZ26" s="44"/>
      <c r="KA26" s="44"/>
      <c r="KB26" s="44"/>
      <c r="KC26" s="44"/>
      <c r="KD26" s="44"/>
      <c r="KE26" s="44"/>
      <c r="KF26" s="44"/>
      <c r="KG26" s="44"/>
      <c r="KH26" s="44"/>
      <c r="KI26" s="44"/>
      <c r="KJ26" s="44"/>
      <c r="KK26" s="44"/>
      <c r="KL26" s="44"/>
      <c r="KM26" s="44"/>
      <c r="KN26" s="44"/>
      <c r="KO26" s="44"/>
      <c r="KP26" s="44"/>
      <c r="KQ26" s="44"/>
      <c r="KR26" s="44"/>
      <c r="KS26" s="44"/>
      <c r="KT26" s="44"/>
      <c r="KU26" s="44"/>
      <c r="KV26" s="44"/>
      <c r="KW26" s="44"/>
      <c r="KX26" s="44"/>
      <c r="KY26" s="44"/>
      <c r="KZ26" s="44"/>
      <c r="LA26" s="44"/>
      <c r="LB26" s="44"/>
      <c r="LC26" s="44"/>
      <c r="LD26" s="44"/>
      <c r="LE26" s="44"/>
      <c r="LF26" s="44"/>
      <c r="LG26" s="44"/>
      <c r="LH26" s="44"/>
      <c r="LI26" s="44"/>
      <c r="LJ26" s="44"/>
      <c r="LK26" s="44"/>
      <c r="LL26" s="44"/>
      <c r="LM26" s="44"/>
      <c r="LN26" s="44"/>
      <c r="LO26" s="44"/>
      <c r="LP26" s="44"/>
      <c r="LQ26" s="44"/>
      <c r="LR26" s="44"/>
      <c r="LS26" s="44"/>
      <c r="LT26" s="44"/>
      <c r="LU26" s="44"/>
      <c r="LV26" s="44"/>
      <c r="LW26" s="44"/>
      <c r="LX26" s="44"/>
      <c r="LY26" s="44"/>
      <c r="LZ26" s="44"/>
      <c r="MA26" s="44"/>
    </row>
    <row r="27" spans="1:339" s="18" customFormat="1" ht="50.25" customHeight="1" x14ac:dyDescent="0.25">
      <c r="A27" s="889">
        <v>10</v>
      </c>
      <c r="B27" s="36">
        <v>1</v>
      </c>
      <c r="C27" s="37">
        <v>0</v>
      </c>
      <c r="D27" s="38" t="s">
        <v>1715</v>
      </c>
      <c r="E27" s="39" t="s">
        <v>1783</v>
      </c>
      <c r="F27" s="884" t="s">
        <v>426</v>
      </c>
      <c r="G27" s="433" t="s">
        <v>825</v>
      </c>
      <c r="H27" s="433" t="s">
        <v>827</v>
      </c>
      <c r="I27" s="483">
        <v>35</v>
      </c>
      <c r="J27" s="40">
        <v>0.8</v>
      </c>
      <c r="K27" s="40">
        <v>0.85</v>
      </c>
      <c r="L27" s="40">
        <v>0.8</v>
      </c>
      <c r="M27" s="40">
        <f>'Plan de Acción 2022'!R188</f>
        <v>0.9</v>
      </c>
      <c r="N27" s="40">
        <v>1</v>
      </c>
      <c r="O27" s="40">
        <f>'Plan de Acción 2022'!W188</f>
        <v>0.25</v>
      </c>
      <c r="P27" s="40">
        <f>(O27*10%)/(M27-L27)</f>
        <v>0.25000000000000006</v>
      </c>
      <c r="Q27" s="40" t="s">
        <v>1787</v>
      </c>
      <c r="R27" s="40">
        <f>'Plan de Acción 2022'!AA188</f>
        <v>0.35</v>
      </c>
      <c r="S27" s="40">
        <f>(R27*10%)/(M27-L27)</f>
        <v>0.35000000000000003</v>
      </c>
      <c r="T27" s="433" t="s">
        <v>830</v>
      </c>
      <c r="U27" s="40">
        <f>('Plan de Acción 2022'!AE188+'Plan de Acción 2022'!AE15+'Plan de Acción 2022'!AE16)/3</f>
        <v>71.666666666666671</v>
      </c>
      <c r="V27" s="40">
        <f>(U27*10%)/(M27-L27)</f>
        <v>71.6666666666667</v>
      </c>
      <c r="W27" s="67"/>
      <c r="X27" s="40">
        <f>('Plan de Acción 2022'!AH188+'Plan de Acción 2022'!AH15+'Plan de Acción 2022'!AH16)/3</f>
        <v>0</v>
      </c>
      <c r="Y27" s="40">
        <f>(X27*10%)/(M27-L27)</f>
        <v>0</v>
      </c>
      <c r="Z27" s="6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15"/>
      <c r="BA27" s="15"/>
      <c r="BB27" s="44"/>
      <c r="BC27" s="44"/>
      <c r="BD27" s="44"/>
      <c r="BE27" s="44"/>
      <c r="BF27" s="44"/>
      <c r="BG27" s="44"/>
      <c r="BH27" s="44"/>
      <c r="BI27" s="44"/>
      <c r="BJ27" s="44"/>
      <c r="BK27" s="44"/>
      <c r="BL27" s="44"/>
      <c r="BM27" s="44"/>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c r="DP27" s="44"/>
      <c r="DQ27" s="44"/>
      <c r="DR27" s="44"/>
      <c r="DS27" s="44"/>
      <c r="DT27" s="44"/>
      <c r="DU27" s="44"/>
      <c r="DV27" s="44"/>
      <c r="DW27" s="44"/>
      <c r="DX27" s="44"/>
      <c r="DY27" s="44"/>
      <c r="DZ27" s="44"/>
      <c r="EA27" s="44"/>
      <c r="EB27" s="44"/>
      <c r="EC27" s="44"/>
      <c r="ED27" s="44"/>
      <c r="EE27" s="44"/>
      <c r="EF27" s="44"/>
      <c r="EG27" s="44"/>
      <c r="EH27" s="44"/>
      <c r="EI27" s="44"/>
      <c r="EJ27" s="44"/>
      <c r="EK27" s="44"/>
      <c r="EL27" s="44"/>
      <c r="EM27" s="44"/>
      <c r="EN27" s="44"/>
      <c r="EO27" s="44"/>
      <c r="EP27" s="44"/>
      <c r="EQ27" s="44"/>
      <c r="ER27" s="44"/>
      <c r="ES27" s="44"/>
      <c r="ET27" s="44"/>
      <c r="EU27" s="44"/>
      <c r="EV27" s="44"/>
      <c r="EW27" s="44"/>
      <c r="EX27" s="44"/>
      <c r="EY27" s="44"/>
      <c r="EZ27" s="44"/>
      <c r="FA27" s="44"/>
      <c r="FB27" s="44"/>
      <c r="FC27" s="44"/>
      <c r="FD27" s="44"/>
      <c r="FE27" s="44"/>
      <c r="FF27" s="44"/>
      <c r="FG27" s="44"/>
      <c r="FH27" s="44"/>
      <c r="FI27" s="44"/>
      <c r="FJ27" s="44"/>
      <c r="FK27" s="44"/>
      <c r="FL27" s="44"/>
      <c r="FM27" s="44"/>
      <c r="FN27" s="44"/>
      <c r="FO27" s="44"/>
      <c r="FP27" s="44"/>
      <c r="FQ27" s="44"/>
      <c r="FR27" s="44"/>
      <c r="FS27" s="44"/>
      <c r="FT27" s="44"/>
      <c r="FU27" s="44"/>
      <c r="FV27" s="44"/>
      <c r="FW27" s="44"/>
      <c r="FX27" s="44"/>
      <c r="FY27" s="44"/>
      <c r="FZ27" s="44"/>
      <c r="GA27" s="44"/>
      <c r="GB27" s="44"/>
      <c r="GC27" s="44"/>
      <c r="GD27" s="44"/>
      <c r="GE27" s="44"/>
      <c r="GF27" s="44"/>
      <c r="GG27" s="44"/>
      <c r="GH27" s="44"/>
      <c r="GI27" s="44"/>
      <c r="GJ27" s="44"/>
      <c r="GK27" s="44"/>
      <c r="GL27" s="44"/>
      <c r="GM27" s="44"/>
      <c r="GN27" s="44"/>
      <c r="GO27" s="44"/>
      <c r="GP27" s="44"/>
      <c r="GQ27" s="44"/>
      <c r="GR27" s="44"/>
      <c r="GS27" s="44"/>
      <c r="GT27" s="44"/>
      <c r="GU27" s="44"/>
      <c r="GV27" s="44"/>
      <c r="GW27" s="44"/>
      <c r="GX27" s="44"/>
      <c r="GY27" s="44"/>
      <c r="GZ27" s="44"/>
      <c r="HA27" s="44"/>
      <c r="HB27" s="44"/>
      <c r="HC27" s="44"/>
      <c r="HD27" s="44"/>
      <c r="HE27" s="44"/>
      <c r="HF27" s="44"/>
      <c r="HG27" s="44"/>
      <c r="HH27" s="44"/>
      <c r="HI27" s="44"/>
      <c r="HJ27" s="44"/>
      <c r="HK27" s="44"/>
      <c r="HL27" s="44"/>
      <c r="HM27" s="44"/>
      <c r="HN27" s="44"/>
      <c r="HO27" s="44"/>
      <c r="HP27" s="44"/>
      <c r="HQ27" s="44"/>
      <c r="HR27" s="44"/>
      <c r="HS27" s="44"/>
      <c r="HT27" s="44"/>
      <c r="HU27" s="44"/>
      <c r="HV27" s="44"/>
      <c r="HW27" s="44"/>
      <c r="HX27" s="44"/>
      <c r="HY27" s="44"/>
      <c r="HZ27" s="44"/>
      <c r="IA27" s="44"/>
      <c r="IB27" s="44"/>
      <c r="IC27" s="44"/>
      <c r="ID27" s="44"/>
      <c r="IE27" s="44"/>
      <c r="IF27" s="44"/>
      <c r="IG27" s="44"/>
      <c r="IH27" s="44"/>
      <c r="II27" s="44"/>
      <c r="IJ27" s="44"/>
      <c r="IK27" s="44"/>
      <c r="IL27" s="44"/>
      <c r="IM27" s="44"/>
      <c r="IN27" s="44"/>
      <c r="IO27" s="44"/>
      <c r="IP27" s="44"/>
      <c r="IQ27" s="44"/>
      <c r="IR27" s="44"/>
      <c r="IS27" s="44"/>
      <c r="IT27" s="44"/>
      <c r="IU27" s="44"/>
      <c r="IV27" s="44"/>
      <c r="IW27" s="44"/>
      <c r="IX27" s="44"/>
      <c r="IY27" s="44"/>
      <c r="IZ27" s="44"/>
      <c r="JA27" s="44"/>
      <c r="JB27" s="44"/>
      <c r="JC27" s="44"/>
      <c r="JD27" s="44"/>
      <c r="JE27" s="44"/>
      <c r="JF27" s="44"/>
      <c r="JG27" s="44"/>
      <c r="JH27" s="44"/>
      <c r="JI27" s="44"/>
      <c r="JJ27" s="44"/>
      <c r="JK27" s="44"/>
      <c r="JL27" s="44"/>
      <c r="JM27" s="44"/>
      <c r="JN27" s="44"/>
      <c r="JO27" s="44"/>
      <c r="JP27" s="44"/>
      <c r="JQ27" s="44"/>
      <c r="JR27" s="44"/>
      <c r="JS27" s="44"/>
      <c r="JT27" s="44"/>
      <c r="JU27" s="44"/>
      <c r="JV27" s="44"/>
      <c r="JW27" s="44"/>
      <c r="JX27" s="44"/>
      <c r="JY27" s="44"/>
      <c r="JZ27" s="44"/>
      <c r="KA27" s="44"/>
      <c r="KB27" s="44"/>
      <c r="KC27" s="44"/>
      <c r="KD27" s="44"/>
      <c r="KE27" s="44"/>
      <c r="KF27" s="44"/>
      <c r="KG27" s="44"/>
      <c r="KH27" s="44"/>
      <c r="KI27" s="44"/>
      <c r="KJ27" s="44"/>
      <c r="KK27" s="44"/>
      <c r="KL27" s="44"/>
      <c r="KM27" s="44"/>
      <c r="KN27" s="44"/>
      <c r="KO27" s="44"/>
      <c r="KP27" s="44"/>
      <c r="KQ27" s="44"/>
      <c r="KR27" s="44"/>
      <c r="KS27" s="44"/>
      <c r="KT27" s="44"/>
      <c r="KU27" s="44"/>
      <c r="KV27" s="44"/>
      <c r="KW27" s="44"/>
      <c r="KX27" s="44"/>
      <c r="KY27" s="44"/>
      <c r="KZ27" s="44"/>
      <c r="LA27" s="44"/>
      <c r="LB27" s="44"/>
      <c r="LC27" s="44"/>
      <c r="LD27" s="44"/>
      <c r="LE27" s="44"/>
      <c r="LF27" s="44"/>
      <c r="LG27" s="44"/>
      <c r="LH27" s="44"/>
      <c r="LI27" s="44"/>
      <c r="LJ27" s="44"/>
      <c r="LK27" s="44"/>
      <c r="LL27" s="44"/>
      <c r="LM27" s="44"/>
      <c r="LN27" s="44"/>
      <c r="LO27" s="44"/>
      <c r="LP27" s="44"/>
      <c r="LQ27" s="44"/>
      <c r="LR27" s="44"/>
      <c r="LS27" s="44"/>
      <c r="LT27" s="44"/>
      <c r="LU27" s="44"/>
      <c r="LV27" s="44"/>
      <c r="LW27" s="44"/>
      <c r="LX27" s="44"/>
      <c r="LY27" s="44"/>
      <c r="LZ27" s="44"/>
      <c r="MA27" s="44"/>
    </row>
    <row r="28" spans="1:339" s="60" customFormat="1" ht="75" customHeight="1" x14ac:dyDescent="0.25">
      <c r="A28" s="889"/>
      <c r="B28" s="36">
        <v>0</v>
      </c>
      <c r="C28" s="37">
        <v>1</v>
      </c>
      <c r="D28" s="38" t="s">
        <v>1715</v>
      </c>
      <c r="E28" s="39" t="s">
        <v>1783</v>
      </c>
      <c r="F28" s="884"/>
      <c r="G28" s="39" t="s">
        <v>832</v>
      </c>
      <c r="H28" s="433" t="s">
        <v>834</v>
      </c>
      <c r="I28" s="483">
        <v>30</v>
      </c>
      <c r="J28" s="57">
        <v>0.86099999999999999</v>
      </c>
      <c r="K28" s="40">
        <v>1</v>
      </c>
      <c r="L28" s="76">
        <v>0.98099999999999998</v>
      </c>
      <c r="M28" s="40">
        <f>'Plan de Acción 2022'!R189</f>
        <v>1</v>
      </c>
      <c r="N28" s="40">
        <v>1</v>
      </c>
      <c r="O28" s="40">
        <f>'Plan de Acción 2022'!W189</f>
        <v>0.25</v>
      </c>
      <c r="P28" s="40">
        <f>O28</f>
        <v>0.25</v>
      </c>
      <c r="Q28" s="40" t="s">
        <v>1788</v>
      </c>
      <c r="R28" s="40">
        <f>'Plan de Acción 2022'!AA189</f>
        <v>0.3</v>
      </c>
      <c r="S28" s="40">
        <f>R28</f>
        <v>0.3</v>
      </c>
      <c r="T28" s="433" t="s">
        <v>838</v>
      </c>
      <c r="U28" s="40">
        <f>'Plan de Acción 2022'!AE189</f>
        <v>75</v>
      </c>
      <c r="V28" s="40">
        <f>U28</f>
        <v>75</v>
      </c>
      <c r="W28" s="41"/>
      <c r="X28" s="40">
        <f>'Plan de Acción 2022'!AH189</f>
        <v>0</v>
      </c>
      <c r="Y28" s="40">
        <f>X28</f>
        <v>0</v>
      </c>
      <c r="Z28" s="42"/>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15"/>
      <c r="BA28" s="15"/>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4"/>
      <c r="GM28" s="44"/>
      <c r="GN28" s="44"/>
      <c r="GO28" s="44"/>
      <c r="GP28" s="44"/>
      <c r="GQ28" s="44"/>
      <c r="GR28" s="44"/>
      <c r="GS28" s="44"/>
      <c r="GT28" s="44"/>
      <c r="GU28" s="44"/>
      <c r="GV28" s="44"/>
      <c r="GW28" s="44"/>
      <c r="GX28" s="44"/>
      <c r="GY28" s="44"/>
      <c r="GZ28" s="44"/>
      <c r="HA28" s="44"/>
      <c r="HB28" s="44"/>
      <c r="HC28" s="44"/>
      <c r="HD28" s="44"/>
      <c r="HE28" s="44"/>
      <c r="HF28" s="44"/>
      <c r="HG28" s="44"/>
      <c r="HH28" s="44"/>
      <c r="HI28" s="44"/>
      <c r="HJ28" s="44"/>
      <c r="HK28" s="44"/>
      <c r="HL28" s="44"/>
      <c r="HM28" s="44"/>
      <c r="HN28" s="44"/>
      <c r="HO28" s="44"/>
      <c r="HP28" s="44"/>
      <c r="HQ28" s="44"/>
      <c r="HR28" s="44"/>
      <c r="HS28" s="44"/>
      <c r="HT28" s="44"/>
      <c r="HU28" s="44"/>
      <c r="HV28" s="44"/>
      <c r="HW28" s="44"/>
      <c r="HX28" s="44"/>
      <c r="HY28" s="44"/>
      <c r="HZ28" s="44"/>
      <c r="IA28" s="44"/>
      <c r="IB28" s="44"/>
      <c r="IC28" s="44"/>
      <c r="ID28" s="44"/>
      <c r="IE28" s="44"/>
      <c r="IF28" s="44"/>
      <c r="IG28" s="44"/>
      <c r="IH28" s="44"/>
      <c r="II28" s="44"/>
      <c r="IJ28" s="44"/>
      <c r="IK28" s="44"/>
      <c r="IL28" s="44"/>
      <c r="IM28" s="44"/>
      <c r="IN28" s="44"/>
      <c r="IO28" s="44"/>
      <c r="IP28" s="44"/>
      <c r="IQ28" s="44"/>
      <c r="IR28" s="44"/>
      <c r="IS28" s="44"/>
      <c r="IT28" s="44"/>
      <c r="IU28" s="44"/>
      <c r="IV28" s="44"/>
      <c r="IW28" s="44"/>
      <c r="IX28" s="44"/>
      <c r="IY28" s="44"/>
      <c r="IZ28" s="44"/>
      <c r="JA28" s="44"/>
      <c r="JB28" s="44"/>
      <c r="JC28" s="44"/>
      <c r="JD28" s="44"/>
      <c r="JE28" s="44"/>
      <c r="JF28" s="44"/>
      <c r="JG28" s="44"/>
      <c r="JH28" s="44"/>
      <c r="JI28" s="44"/>
      <c r="JJ28" s="44"/>
      <c r="JK28" s="44"/>
      <c r="JL28" s="44"/>
      <c r="JM28" s="44"/>
      <c r="JN28" s="44"/>
      <c r="JO28" s="44"/>
      <c r="JP28" s="44"/>
      <c r="JQ28" s="44"/>
      <c r="JR28" s="44"/>
      <c r="JS28" s="44"/>
      <c r="JT28" s="44"/>
      <c r="JU28" s="44"/>
      <c r="JV28" s="44"/>
      <c r="JW28" s="44"/>
      <c r="JX28" s="44"/>
      <c r="JY28" s="44"/>
      <c r="JZ28" s="44"/>
      <c r="KA28" s="44"/>
      <c r="KB28" s="44"/>
      <c r="KC28" s="44"/>
      <c r="KD28" s="44"/>
      <c r="KE28" s="44"/>
      <c r="KF28" s="44"/>
      <c r="KG28" s="44"/>
      <c r="KH28" s="44"/>
      <c r="KI28" s="44"/>
      <c r="KJ28" s="44"/>
      <c r="KK28" s="44"/>
      <c r="KL28" s="44"/>
      <c r="KM28" s="44"/>
      <c r="KN28" s="44"/>
      <c r="KO28" s="44"/>
      <c r="KP28" s="44"/>
      <c r="KQ28" s="44"/>
      <c r="KR28" s="44"/>
      <c r="KS28" s="44"/>
      <c r="KT28" s="44"/>
      <c r="KU28" s="44"/>
      <c r="KV28" s="44"/>
      <c r="KW28" s="44"/>
      <c r="KX28" s="44"/>
      <c r="KY28" s="44"/>
      <c r="KZ28" s="44"/>
      <c r="LA28" s="44"/>
      <c r="LB28" s="44"/>
      <c r="LC28" s="44"/>
      <c r="LD28" s="44"/>
      <c r="LE28" s="44"/>
      <c r="LF28" s="44"/>
      <c r="LG28" s="44"/>
      <c r="LH28" s="44"/>
      <c r="LI28" s="44"/>
      <c r="LJ28" s="44"/>
      <c r="LK28" s="44"/>
      <c r="LL28" s="44"/>
      <c r="LM28" s="44"/>
      <c r="LN28" s="44"/>
      <c r="LO28" s="44"/>
      <c r="LP28" s="44"/>
      <c r="LQ28" s="44"/>
      <c r="LR28" s="44"/>
      <c r="LS28" s="44"/>
      <c r="LT28" s="44"/>
      <c r="LU28" s="44"/>
      <c r="LV28" s="44"/>
      <c r="LW28" s="44"/>
      <c r="LX28" s="44"/>
      <c r="LY28" s="44"/>
      <c r="LZ28" s="44"/>
      <c r="MA28" s="44"/>
    </row>
    <row r="29" spans="1:339" s="18" customFormat="1" ht="69" customHeight="1" x14ac:dyDescent="0.25">
      <c r="A29" s="890">
        <v>11</v>
      </c>
      <c r="B29" s="36">
        <v>1</v>
      </c>
      <c r="C29" s="37">
        <v>0</v>
      </c>
      <c r="D29" s="38" t="s">
        <v>1709</v>
      </c>
      <c r="E29" s="39" t="s">
        <v>1764</v>
      </c>
      <c r="F29" s="892" t="s">
        <v>1789</v>
      </c>
      <c r="G29" s="433" t="s">
        <v>408</v>
      </c>
      <c r="H29" s="433" t="s">
        <v>411</v>
      </c>
      <c r="I29" s="483">
        <v>10</v>
      </c>
      <c r="J29" s="40">
        <v>0</v>
      </c>
      <c r="K29" s="40">
        <v>0.25</v>
      </c>
      <c r="L29" s="40">
        <v>0.25</v>
      </c>
      <c r="M29" s="40">
        <f>'Plan de Acción 2022'!R87</f>
        <v>0.5</v>
      </c>
      <c r="N29" s="40">
        <v>1</v>
      </c>
      <c r="O29" s="40">
        <f>('Plan de Acción 2022'!W87+'Plan de Acción 2022'!W88+'Plan de Acción 2022'!W89)/3</f>
        <v>0.25</v>
      </c>
      <c r="P29" s="377">
        <f>(O29*25%)/(M29-L29)</f>
        <v>0.25</v>
      </c>
      <c r="Q29" s="40" t="s">
        <v>1790</v>
      </c>
      <c r="R29" s="40">
        <f>('Plan de Acción 2022'!AA87+'Plan de Acción 2022'!AA88+'Plan de Acción 2022'!AA89)/3</f>
        <v>0.66666666666666663</v>
      </c>
      <c r="S29" s="40">
        <f>(R29*25%)/(M29-L29)</f>
        <v>0.66666666666666663</v>
      </c>
      <c r="T29" s="483" t="s">
        <v>2116</v>
      </c>
      <c r="U29" s="40">
        <f>('Plan de Acción 2022'!AE87+'Plan de Acción 2022'!AE88+'Plan de Acción 2022'!AE89+'Plan de Acción 2022'!AE149)/4</f>
        <v>77.5</v>
      </c>
      <c r="V29" s="40">
        <f>(U29*25%)/(M29-L29)</f>
        <v>77.5</v>
      </c>
      <c r="W29" s="41"/>
      <c r="X29" s="40">
        <f>('Plan de Acción 2022'!AH87+'Plan de Acción 2022'!AH88+'Plan de Acción 2022'!AH89+'Plan de Acción 2022'!AH149)/4</f>
        <v>0</v>
      </c>
      <c r="Y29" s="40">
        <f>(X29*100%)/(M29-L29)</f>
        <v>0</v>
      </c>
      <c r="Z29" s="42"/>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15"/>
      <c r="BA29" s="15"/>
      <c r="BB29" s="44"/>
      <c r="BC29" s="44"/>
      <c r="BD29" s="44"/>
      <c r="BE29" s="44"/>
      <c r="BF29" s="44"/>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4"/>
      <c r="CG29" s="44"/>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4"/>
      <c r="DH29" s="44"/>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4"/>
      <c r="EI29" s="44"/>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4"/>
      <c r="FJ29" s="44"/>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4"/>
      <c r="GK29" s="44"/>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4"/>
      <c r="HK29" s="44"/>
      <c r="HL29" s="44"/>
      <c r="HM29" s="44"/>
      <c r="HN29" s="44"/>
      <c r="HO29" s="44"/>
      <c r="HP29" s="44"/>
      <c r="HQ29" s="44"/>
      <c r="HR29" s="44"/>
      <c r="HS29" s="44"/>
      <c r="HT29" s="44"/>
      <c r="HU29" s="44"/>
      <c r="HV29" s="44"/>
      <c r="HW29" s="44"/>
      <c r="HX29" s="44"/>
      <c r="HY29" s="44"/>
      <c r="HZ29" s="44"/>
      <c r="IA29" s="44"/>
      <c r="IB29" s="44"/>
      <c r="IC29" s="44"/>
      <c r="ID29" s="44"/>
      <c r="IE29" s="44"/>
      <c r="IF29" s="44"/>
      <c r="IG29" s="44"/>
      <c r="IH29" s="44"/>
      <c r="II29" s="44"/>
      <c r="IJ29" s="44"/>
      <c r="IK29" s="44"/>
      <c r="IL29" s="44"/>
      <c r="IM29" s="44"/>
      <c r="IN29" s="44"/>
      <c r="IO29" s="44"/>
      <c r="IP29" s="44"/>
      <c r="IQ29" s="44"/>
      <c r="IR29" s="44"/>
      <c r="IS29" s="44"/>
      <c r="IT29" s="44"/>
      <c r="IU29" s="44"/>
      <c r="IV29" s="44"/>
      <c r="IW29" s="44"/>
      <c r="IX29" s="44"/>
      <c r="IY29" s="44"/>
      <c r="IZ29" s="44"/>
      <c r="JA29" s="44"/>
      <c r="JB29" s="44"/>
      <c r="JC29" s="44"/>
      <c r="JD29" s="44"/>
      <c r="JE29" s="44"/>
      <c r="JF29" s="44"/>
      <c r="JG29" s="44"/>
      <c r="JH29" s="44"/>
      <c r="JI29" s="44"/>
      <c r="JJ29" s="44"/>
      <c r="JK29" s="44"/>
      <c r="JL29" s="44"/>
      <c r="JM29" s="44"/>
      <c r="JN29" s="44"/>
      <c r="JO29" s="44"/>
      <c r="JP29" s="44"/>
      <c r="JQ29" s="44"/>
      <c r="JR29" s="44"/>
      <c r="JS29" s="44"/>
      <c r="JT29" s="44"/>
      <c r="JU29" s="44"/>
      <c r="JV29" s="44"/>
      <c r="JW29" s="44"/>
      <c r="JX29" s="44"/>
      <c r="JY29" s="44"/>
      <c r="JZ29" s="44"/>
      <c r="KA29" s="44"/>
      <c r="KB29" s="44"/>
      <c r="KC29" s="44"/>
      <c r="KD29" s="44"/>
      <c r="KE29" s="44"/>
      <c r="KF29" s="44"/>
      <c r="KG29" s="44"/>
      <c r="KH29" s="44"/>
      <c r="KI29" s="44"/>
      <c r="KJ29" s="44"/>
      <c r="KK29" s="44"/>
      <c r="KL29" s="44"/>
      <c r="KM29" s="44"/>
      <c r="KN29" s="44"/>
      <c r="KO29" s="44"/>
      <c r="KP29" s="44"/>
      <c r="KQ29" s="44"/>
      <c r="KR29" s="44"/>
      <c r="KS29" s="44"/>
      <c r="KT29" s="44"/>
      <c r="KU29" s="44"/>
      <c r="KV29" s="44"/>
      <c r="KW29" s="44"/>
      <c r="KX29" s="44"/>
      <c r="KY29" s="44"/>
      <c r="KZ29" s="44"/>
      <c r="LA29" s="44"/>
      <c r="LB29" s="44"/>
      <c r="LC29" s="44"/>
      <c r="LD29" s="44"/>
      <c r="LE29" s="44"/>
      <c r="LF29" s="44"/>
      <c r="LG29" s="44"/>
      <c r="LH29" s="44"/>
      <c r="LI29" s="44"/>
      <c r="LJ29" s="44"/>
      <c r="LK29" s="44"/>
      <c r="LL29" s="44"/>
      <c r="LM29" s="44"/>
      <c r="LN29" s="44"/>
      <c r="LO29" s="44"/>
      <c r="LP29" s="44"/>
      <c r="LQ29" s="44"/>
      <c r="LR29" s="44"/>
      <c r="LS29" s="44"/>
      <c r="LT29" s="44"/>
      <c r="LU29" s="44"/>
      <c r="LV29" s="44"/>
      <c r="LW29" s="44"/>
      <c r="LX29" s="44"/>
      <c r="LY29" s="44"/>
      <c r="LZ29" s="44"/>
      <c r="MA29" s="44"/>
    </row>
    <row r="30" spans="1:339" s="60" customFormat="1" ht="63.75" customHeight="1" thickBot="1" x14ac:dyDescent="0.3">
      <c r="A30" s="891"/>
      <c r="B30" s="36">
        <v>0</v>
      </c>
      <c r="C30" s="37">
        <v>1</v>
      </c>
      <c r="D30" s="38" t="s">
        <v>1774</v>
      </c>
      <c r="E30" s="433" t="s">
        <v>1791</v>
      </c>
      <c r="F30" s="892"/>
      <c r="G30" s="433" t="s">
        <v>636</v>
      </c>
      <c r="H30" s="433" t="s">
        <v>639</v>
      </c>
      <c r="I30" s="483">
        <v>29</v>
      </c>
      <c r="J30" s="433">
        <v>0</v>
      </c>
      <c r="K30" s="40">
        <v>0.05</v>
      </c>
      <c r="L30" s="40">
        <v>4.8000000000000001E-2</v>
      </c>
      <c r="M30" s="40">
        <f>'Plan de Acción 2022'!R143</f>
        <v>0.09</v>
      </c>
      <c r="N30" s="40">
        <v>0.13</v>
      </c>
      <c r="O30" s="40">
        <f>('Plan de Acción 2022'!W143+'Plan de Acción 2022'!W144+'Plan de Acción 2022'!W145+'Plan de Acción 2022'!W146+'Plan de Acción 2022'!W147)/5</f>
        <v>0.15</v>
      </c>
      <c r="P30" s="40">
        <f>(O30*4.1%)/(M30-L30)</f>
        <v>0.14642857142857144</v>
      </c>
      <c r="Q30" s="40" t="s">
        <v>1792</v>
      </c>
      <c r="R30" s="40">
        <f>('Plan de Acción 2022'!AA143+'Plan de Acción 2022'!AA144+'Plan de Acción 2022'!AA145+'Plan de Acción 2022'!AA146+'Plan de Acción 2022'!AA147)/5</f>
        <v>0.30199999999999999</v>
      </c>
      <c r="S30" s="40">
        <f>(R30*4%)/(M30-L30)</f>
        <v>0.28761904761904766</v>
      </c>
      <c r="T30" s="483" t="s">
        <v>2061</v>
      </c>
      <c r="U30" s="40">
        <f>('Plan de Acción 2022'!AE143+'Plan de Acción 2022'!AE144+'Plan de Acción 2022'!AE145+'Plan de Acción 2022'!AE146+'Plan de Acción 2022'!AE147)/5</f>
        <v>40</v>
      </c>
      <c r="V30" s="40">
        <f>(U30*4.1%)/(M30-L30)</f>
        <v>39.047619047619044</v>
      </c>
      <c r="W30" s="41"/>
      <c r="X30" s="40">
        <f>('Plan de Acción 2022'!AH143+'Plan de Acción 2022'!AH144+'Plan de Acción 2022'!AH145+'Plan de Acción 2022'!AH146+'Plan de Acción 2022'!AH147)/5</f>
        <v>0</v>
      </c>
      <c r="Y30" s="40">
        <f>(X30*4.1%)/(M30-L30)</f>
        <v>0</v>
      </c>
      <c r="Z30" s="441"/>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15"/>
      <c r="BA30" s="15"/>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c r="DP30" s="44"/>
      <c r="DQ30" s="44"/>
      <c r="DR30" s="44"/>
      <c r="DS30" s="44"/>
      <c r="DT30" s="44"/>
      <c r="DU30" s="44"/>
      <c r="DV30" s="44"/>
      <c r="DW30" s="44"/>
      <c r="DX30" s="44"/>
      <c r="DY30" s="44"/>
      <c r="DZ30" s="44"/>
      <c r="EA30" s="44"/>
      <c r="EB30" s="44"/>
      <c r="EC30" s="44"/>
      <c r="ED30" s="44"/>
      <c r="EE30" s="44"/>
      <c r="EF30" s="44"/>
      <c r="EG30" s="44"/>
      <c r="EH30" s="44"/>
      <c r="EI30" s="44"/>
      <c r="EJ30" s="44"/>
      <c r="EK30" s="44"/>
      <c r="EL30" s="44"/>
      <c r="EM30" s="44"/>
      <c r="EN30" s="44"/>
      <c r="EO30" s="44"/>
      <c r="EP30" s="44"/>
      <c r="EQ30" s="44"/>
      <c r="ER30" s="44"/>
      <c r="ES30" s="44"/>
      <c r="ET30" s="44"/>
      <c r="EU30" s="44"/>
      <c r="EV30" s="44"/>
      <c r="EW30" s="44"/>
      <c r="EX30" s="44"/>
      <c r="EY30" s="44"/>
      <c r="EZ30" s="44"/>
      <c r="FA30" s="44"/>
      <c r="FB30" s="44"/>
      <c r="FC30" s="44"/>
      <c r="FD30" s="44"/>
      <c r="FE30" s="44"/>
      <c r="FF30" s="44"/>
      <c r="FG30" s="44"/>
      <c r="FH30" s="44"/>
      <c r="FI30" s="44"/>
      <c r="FJ30" s="44"/>
      <c r="FK30" s="44"/>
      <c r="FL30" s="44"/>
      <c r="FM30" s="44"/>
      <c r="FN30" s="44"/>
      <c r="FO30" s="44"/>
      <c r="FP30" s="44"/>
      <c r="FQ30" s="44"/>
      <c r="FR30" s="44"/>
      <c r="FS30" s="44"/>
      <c r="FT30" s="44"/>
      <c r="FU30" s="44"/>
      <c r="FV30" s="44"/>
      <c r="FW30" s="44"/>
      <c r="FX30" s="44"/>
      <c r="FY30" s="44"/>
      <c r="FZ30" s="44"/>
      <c r="GA30" s="44"/>
      <c r="GB30" s="44"/>
      <c r="GC30" s="44"/>
      <c r="GD30" s="44"/>
      <c r="GE30" s="44"/>
      <c r="GF30" s="44"/>
      <c r="GG30" s="44"/>
      <c r="GH30" s="44"/>
      <c r="GI30" s="44"/>
      <c r="GJ30" s="44"/>
      <c r="GK30" s="44"/>
      <c r="GL30" s="44"/>
      <c r="GM30" s="44"/>
      <c r="GN30" s="44"/>
      <c r="GO30" s="44"/>
      <c r="GP30" s="44"/>
      <c r="GQ30" s="44"/>
      <c r="GR30" s="44"/>
      <c r="GS30" s="44"/>
      <c r="GT30" s="44"/>
      <c r="GU30" s="44"/>
      <c r="GV30" s="44"/>
      <c r="GW30" s="44"/>
      <c r="GX30" s="44"/>
      <c r="GY30" s="44"/>
      <c r="GZ30" s="44"/>
      <c r="HA30" s="44"/>
      <c r="HB30" s="44"/>
      <c r="HC30" s="44"/>
      <c r="HD30" s="44"/>
      <c r="HE30" s="44"/>
      <c r="HF30" s="44"/>
      <c r="HG30" s="44"/>
      <c r="HH30" s="44"/>
      <c r="HI30" s="44"/>
      <c r="HJ30" s="44"/>
      <c r="HK30" s="44"/>
      <c r="HL30" s="44"/>
      <c r="HM30" s="44"/>
      <c r="HN30" s="44"/>
      <c r="HO30" s="44"/>
      <c r="HP30" s="44"/>
      <c r="HQ30" s="44"/>
      <c r="HR30" s="44"/>
      <c r="HS30" s="44"/>
      <c r="HT30" s="44"/>
      <c r="HU30" s="44"/>
      <c r="HV30" s="44"/>
      <c r="HW30" s="44"/>
      <c r="HX30" s="44"/>
      <c r="HY30" s="44"/>
      <c r="HZ30" s="44"/>
      <c r="IA30" s="44"/>
      <c r="IB30" s="44"/>
      <c r="IC30" s="44"/>
      <c r="ID30" s="44"/>
      <c r="IE30" s="44"/>
      <c r="IF30" s="44"/>
      <c r="IG30" s="44"/>
      <c r="IH30" s="44"/>
      <c r="II30" s="44"/>
      <c r="IJ30" s="44"/>
      <c r="IK30" s="44"/>
      <c r="IL30" s="44"/>
      <c r="IM30" s="44"/>
      <c r="IN30" s="44"/>
      <c r="IO30" s="44"/>
      <c r="IP30" s="44"/>
      <c r="IQ30" s="44"/>
      <c r="IR30" s="44"/>
      <c r="IS30" s="44"/>
      <c r="IT30" s="44"/>
      <c r="IU30" s="44"/>
      <c r="IV30" s="44"/>
      <c r="IW30" s="44"/>
      <c r="IX30" s="44"/>
      <c r="IY30" s="44"/>
      <c r="IZ30" s="44"/>
      <c r="JA30" s="44"/>
      <c r="JB30" s="44"/>
      <c r="JC30" s="44"/>
      <c r="JD30" s="44"/>
      <c r="JE30" s="44"/>
      <c r="JF30" s="44"/>
      <c r="JG30" s="44"/>
      <c r="JH30" s="44"/>
      <c r="JI30" s="44"/>
      <c r="JJ30" s="44"/>
      <c r="JK30" s="44"/>
      <c r="JL30" s="44"/>
      <c r="JM30" s="44"/>
      <c r="JN30" s="44"/>
      <c r="JO30" s="44"/>
      <c r="JP30" s="44"/>
      <c r="JQ30" s="44"/>
      <c r="JR30" s="44"/>
      <c r="JS30" s="44"/>
      <c r="JT30" s="44"/>
      <c r="JU30" s="44"/>
      <c r="JV30" s="44"/>
      <c r="JW30" s="44"/>
      <c r="JX30" s="44"/>
      <c r="JY30" s="44"/>
      <c r="JZ30" s="44"/>
      <c r="KA30" s="44"/>
      <c r="KB30" s="44"/>
      <c r="KC30" s="44"/>
      <c r="KD30" s="44"/>
      <c r="KE30" s="44"/>
      <c r="KF30" s="44"/>
      <c r="KG30" s="44"/>
      <c r="KH30" s="44"/>
      <c r="KI30" s="44"/>
      <c r="KJ30" s="44"/>
      <c r="KK30" s="44"/>
      <c r="KL30" s="44"/>
      <c r="KM30" s="44"/>
      <c r="KN30" s="44"/>
      <c r="KO30" s="44"/>
      <c r="KP30" s="44"/>
      <c r="KQ30" s="44"/>
      <c r="KR30" s="44"/>
      <c r="KS30" s="44"/>
      <c r="KT30" s="44"/>
      <c r="KU30" s="44"/>
      <c r="KV30" s="44"/>
      <c r="KW30" s="44"/>
      <c r="KX30" s="44"/>
      <c r="KY30" s="44"/>
      <c r="KZ30" s="44"/>
      <c r="LA30" s="44"/>
      <c r="LB30" s="44"/>
      <c r="LC30" s="44"/>
      <c r="LD30" s="44"/>
      <c r="LE30" s="44"/>
      <c r="LF30" s="44"/>
      <c r="LG30" s="44"/>
      <c r="LH30" s="44"/>
      <c r="LI30" s="44"/>
      <c r="LJ30" s="44"/>
      <c r="LK30" s="44"/>
      <c r="LL30" s="44"/>
      <c r="LM30" s="44"/>
      <c r="LN30" s="44"/>
      <c r="LO30" s="44"/>
      <c r="LP30" s="44"/>
      <c r="LQ30" s="44"/>
      <c r="LR30" s="44"/>
      <c r="LS30" s="44"/>
      <c r="LT30" s="44"/>
      <c r="LU30" s="44"/>
      <c r="LV30" s="44"/>
      <c r="LW30" s="44"/>
      <c r="LX30" s="44"/>
      <c r="LY30" s="44"/>
      <c r="LZ30" s="44"/>
      <c r="MA30" s="44"/>
    </row>
    <row r="31" spans="1:339" s="60" customFormat="1" ht="111" customHeight="1" thickBot="1" x14ac:dyDescent="0.3">
      <c r="A31" s="78">
        <v>12</v>
      </c>
      <c r="B31" s="36">
        <v>0</v>
      </c>
      <c r="C31" s="37">
        <v>1</v>
      </c>
      <c r="D31" s="38" t="s">
        <v>1709</v>
      </c>
      <c r="E31" s="433" t="s">
        <v>1793</v>
      </c>
      <c r="F31" s="433" t="s">
        <v>1794</v>
      </c>
      <c r="G31" s="437" t="s">
        <v>99</v>
      </c>
      <c r="H31" s="433" t="s">
        <v>101</v>
      </c>
      <c r="I31" s="483">
        <v>38</v>
      </c>
      <c r="J31" s="62">
        <v>0.2</v>
      </c>
      <c r="K31" s="62">
        <v>0.4</v>
      </c>
      <c r="L31" s="62">
        <v>0.5</v>
      </c>
      <c r="M31" s="40">
        <f>'Plan de Acción 2022'!R19</f>
        <v>0.6</v>
      </c>
      <c r="N31" s="62">
        <v>1</v>
      </c>
      <c r="O31" s="62">
        <f>('Plan de Acción 2022'!W19+'Plan de Acción 2022'!W246+'Plan de Acción 2022'!W247+'Plan de Acción 2022'!W251+'Plan de Acción 2022'!W252+'Plan de Acción 2022'!W253+'Plan de Acción 2022'!W254+'Plan de Acción 2022'!W255+'Plan de Acción 2022'!W256+'Plan de Acción 2022'!W264+'Plan de Acción 2022'!W264+'Plan de Acción 2022'!W265+'Plan de Acción 2022'!W266+'Plan de Acción 2022'!W267+'Plan de Acción 2022'!W268+'Plan de Acción 2022'!W269+'Plan de Acción 2022'!W270+'Plan de Acción 2022'!W271)/21</f>
        <v>0.15952380952380954</v>
      </c>
      <c r="P31" s="40">
        <f>(O31*10%)/(M31-L31)</f>
        <v>0.15952380952380957</v>
      </c>
      <c r="Q31" s="62" t="s">
        <v>1795</v>
      </c>
      <c r="R31" s="62">
        <f>('Plan de Acción 2022'!AA19+'Plan de Acción 2022'!AA246+'Plan de Acción 2022'!AA247+'Plan de Acción 2022'!AA251+'Plan de Acción 2022'!AA252+'Plan de Acción 2022'!AA253+'Plan de Acción 2022'!AA254+'Plan de Acción 2022'!AA255+'Plan de Acción 2022'!AA256+'Plan de Acción 2022'!AA264+'Plan de Acción 2022'!AA264+'Plan de Acción 2022'!AA265+'Plan de Acción 2022'!AA266+'Plan de Acción 2022'!AA267+'Plan de Acción 2022'!AA268+'Plan de Acción 2022'!AA269+'Plan de Acción 2022'!AA270+'Plan de Acción 2022'!AA271)/21</f>
        <v>0.37619047619047619</v>
      </c>
      <c r="S31" s="40">
        <f>(R31*10%)/(M31-L31)</f>
        <v>0.3761904761904763</v>
      </c>
      <c r="T31" s="476" t="s">
        <v>2062</v>
      </c>
      <c r="U31" s="62" t="e">
        <f>('Plan de Acción 2022'!AE19+'Plan de Acción 2022'!AE246+'Plan de Acción 2022'!AE247+'Plan de Acción 2022'!AE251+'Plan de Acción 2022'!AE252+'Plan de Acción 2022'!AE253+'Plan de Acción 2022'!AE254+'Plan de Acción 2022'!AE255+'Plan de Acción 2022'!AE256+'Plan de Acción 2022'!AF264+'Plan de Acción 2022'!AF264+'Plan de Acción 2022'!AE267+'Plan de Acción 2022'!AE266+'Plan de Acción 2022'!#REF!+'Plan de Acción 2022'!AE268+'Plan de Acción 2022'!AE269+'Plan de Acción 2022'!AE270+'Plan de Acción 2022'!AE271)/21</f>
        <v>#VALUE!</v>
      </c>
      <c r="V31" s="40" t="e">
        <f>(U31*10%)/(M31-L31)</f>
        <v>#VALUE!</v>
      </c>
      <c r="W31" s="79"/>
      <c r="X31" s="62">
        <f>('Plan de Acción 2022'!AH19+'Plan de Acción 2022'!AH246+'Plan de Acción 2022'!AH247+'Plan de Acción 2022'!AH251+'Plan de Acción 2022'!AH252+'Plan de Acción 2022'!AH253+'Plan de Acción 2022'!AH254+'Plan de Acción 2022'!AH255+'Plan de Acción 2022'!AH256+'Plan de Acción 2022'!AH264+'Plan de Acción 2022'!AH264+'Plan de Acción 2022'!AH265+'Plan de Acción 2022'!AH266+'Plan de Acción 2022'!AH267+'Plan de Acción 2022'!AH268+'Plan de Acción 2022'!AH269+'Plan de Acción 2022'!AH270+'Plan de Acción 2022'!AH271)/21</f>
        <v>0</v>
      </c>
      <c r="Y31" s="40">
        <f>(X31*10%)/(M31-L31)</f>
        <v>0</v>
      </c>
      <c r="Z31" s="203"/>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15"/>
      <c r="BA31" s="15"/>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c r="EH31" s="44"/>
      <c r="EI31" s="44"/>
      <c r="EJ31" s="44"/>
      <c r="EK31" s="44"/>
      <c r="EL31" s="44"/>
      <c r="EM31" s="44"/>
      <c r="EN31" s="44"/>
      <c r="EO31" s="44"/>
      <c r="EP31" s="44"/>
      <c r="EQ31" s="44"/>
      <c r="ER31" s="44"/>
      <c r="ES31" s="44"/>
      <c r="ET31" s="44"/>
      <c r="EU31" s="44"/>
      <c r="EV31" s="44"/>
      <c r="EW31" s="44"/>
      <c r="EX31" s="44"/>
      <c r="EY31" s="44"/>
      <c r="EZ31" s="44"/>
      <c r="FA31" s="44"/>
      <c r="FB31" s="44"/>
      <c r="FC31" s="44"/>
      <c r="FD31" s="44"/>
      <c r="FE31" s="44"/>
      <c r="FF31" s="44"/>
      <c r="FG31" s="44"/>
      <c r="FH31" s="44"/>
      <c r="FI31" s="44"/>
      <c r="FJ31" s="44"/>
      <c r="FK31" s="44"/>
      <c r="FL31" s="44"/>
      <c r="FM31" s="44"/>
      <c r="FN31" s="44"/>
      <c r="FO31" s="44"/>
      <c r="FP31" s="44"/>
      <c r="FQ31" s="44"/>
      <c r="FR31" s="44"/>
      <c r="FS31" s="44"/>
      <c r="FT31" s="44"/>
      <c r="FU31" s="44"/>
      <c r="FV31" s="44"/>
      <c r="FW31" s="44"/>
      <c r="FX31" s="44"/>
      <c r="FY31" s="44"/>
      <c r="FZ31" s="44"/>
      <c r="GA31" s="44"/>
      <c r="GB31" s="44"/>
      <c r="GC31" s="44"/>
      <c r="GD31" s="44"/>
      <c r="GE31" s="44"/>
      <c r="GF31" s="44"/>
      <c r="GG31" s="44"/>
      <c r="GH31" s="44"/>
      <c r="GI31" s="44"/>
      <c r="GJ31" s="44"/>
      <c r="GK31" s="44"/>
      <c r="GL31" s="44"/>
      <c r="GM31" s="44"/>
      <c r="GN31" s="44"/>
      <c r="GO31" s="44"/>
      <c r="GP31" s="44"/>
      <c r="GQ31" s="44"/>
      <c r="GR31" s="44"/>
      <c r="GS31" s="44"/>
      <c r="GT31" s="44"/>
      <c r="GU31" s="44"/>
      <c r="GV31" s="44"/>
      <c r="GW31" s="44"/>
      <c r="GX31" s="44"/>
      <c r="GY31" s="44"/>
      <c r="GZ31" s="44"/>
      <c r="HA31" s="44"/>
      <c r="HB31" s="44"/>
      <c r="HC31" s="44"/>
      <c r="HD31" s="44"/>
      <c r="HE31" s="44"/>
      <c r="HF31" s="44"/>
      <c r="HG31" s="44"/>
      <c r="HH31" s="44"/>
      <c r="HI31" s="44"/>
      <c r="HJ31" s="44"/>
      <c r="HK31" s="44"/>
      <c r="HL31" s="44"/>
      <c r="HM31" s="44"/>
      <c r="HN31" s="44"/>
      <c r="HO31" s="44"/>
      <c r="HP31" s="44"/>
      <c r="HQ31" s="44"/>
      <c r="HR31" s="44"/>
      <c r="HS31" s="44"/>
      <c r="HT31" s="44"/>
      <c r="HU31" s="44"/>
      <c r="HV31" s="44"/>
      <c r="HW31" s="44"/>
      <c r="HX31" s="44"/>
      <c r="HY31" s="44"/>
      <c r="HZ31" s="44"/>
      <c r="IA31" s="44"/>
      <c r="IB31" s="44"/>
      <c r="IC31" s="44"/>
      <c r="ID31" s="44"/>
      <c r="IE31" s="44"/>
      <c r="IF31" s="44"/>
      <c r="IG31" s="44"/>
      <c r="IH31" s="44"/>
      <c r="II31" s="44"/>
      <c r="IJ31" s="44"/>
      <c r="IK31" s="44"/>
      <c r="IL31" s="44"/>
      <c r="IM31" s="44"/>
      <c r="IN31" s="44"/>
      <c r="IO31" s="44"/>
      <c r="IP31" s="44"/>
      <c r="IQ31" s="44"/>
      <c r="IR31" s="44"/>
      <c r="IS31" s="44"/>
      <c r="IT31" s="44"/>
      <c r="IU31" s="44"/>
      <c r="IV31" s="44"/>
      <c r="IW31" s="44"/>
      <c r="IX31" s="44"/>
      <c r="IY31" s="44"/>
      <c r="IZ31" s="44"/>
      <c r="JA31" s="44"/>
      <c r="JB31" s="44"/>
      <c r="JC31" s="44"/>
      <c r="JD31" s="44"/>
      <c r="JE31" s="44"/>
      <c r="JF31" s="44"/>
      <c r="JG31" s="44"/>
      <c r="JH31" s="44"/>
      <c r="JI31" s="44"/>
      <c r="JJ31" s="44"/>
      <c r="JK31" s="44"/>
      <c r="JL31" s="44"/>
      <c r="JM31" s="44"/>
      <c r="JN31" s="44"/>
      <c r="JO31" s="44"/>
      <c r="JP31" s="44"/>
      <c r="JQ31" s="44"/>
      <c r="JR31" s="44"/>
      <c r="JS31" s="44"/>
      <c r="JT31" s="44"/>
      <c r="JU31" s="44"/>
      <c r="JV31" s="44"/>
      <c r="JW31" s="44"/>
      <c r="JX31" s="44"/>
      <c r="JY31" s="44"/>
      <c r="JZ31" s="44"/>
      <c r="KA31" s="44"/>
      <c r="KB31" s="44"/>
      <c r="KC31" s="44"/>
      <c r="KD31" s="44"/>
      <c r="KE31" s="44"/>
      <c r="KF31" s="44"/>
      <c r="KG31" s="44"/>
      <c r="KH31" s="44"/>
      <c r="KI31" s="44"/>
      <c r="KJ31" s="44"/>
      <c r="KK31" s="44"/>
      <c r="KL31" s="44"/>
      <c r="KM31" s="44"/>
      <c r="KN31" s="44"/>
      <c r="KO31" s="44"/>
      <c r="KP31" s="44"/>
      <c r="KQ31" s="44"/>
      <c r="KR31" s="44"/>
      <c r="KS31" s="44"/>
      <c r="KT31" s="44"/>
      <c r="KU31" s="44"/>
      <c r="KV31" s="44"/>
      <c r="KW31" s="44"/>
      <c r="KX31" s="44"/>
      <c r="KY31" s="44"/>
      <c r="KZ31" s="44"/>
      <c r="LA31" s="44"/>
      <c r="LB31" s="44"/>
      <c r="LC31" s="44"/>
      <c r="LD31" s="44"/>
      <c r="LE31" s="44"/>
      <c r="LF31" s="44"/>
      <c r="LG31" s="44"/>
      <c r="LH31" s="44"/>
      <c r="LI31" s="44"/>
      <c r="LJ31" s="44"/>
      <c r="LK31" s="44"/>
      <c r="LL31" s="44"/>
      <c r="LM31" s="44"/>
      <c r="LN31" s="44"/>
      <c r="LO31" s="44"/>
      <c r="LP31" s="44"/>
      <c r="LQ31" s="44"/>
      <c r="LR31" s="44"/>
      <c r="LS31" s="44"/>
      <c r="LT31" s="44"/>
      <c r="LU31" s="44"/>
      <c r="LV31" s="44"/>
      <c r="LW31" s="44"/>
      <c r="LX31" s="44"/>
      <c r="LY31" s="44"/>
      <c r="LZ31" s="44"/>
      <c r="MA31" s="44"/>
    </row>
    <row r="32" spans="1:339" s="18" customFormat="1" ht="80.25" customHeight="1" x14ac:dyDescent="0.25">
      <c r="A32" s="887">
        <v>13</v>
      </c>
      <c r="B32" s="36">
        <v>1</v>
      </c>
      <c r="C32" s="37">
        <v>0</v>
      </c>
      <c r="D32" s="38" t="s">
        <v>1715</v>
      </c>
      <c r="E32" s="49" t="s">
        <v>1715</v>
      </c>
      <c r="F32" s="884" t="s">
        <v>1796</v>
      </c>
      <c r="G32" s="433" t="s">
        <v>1797</v>
      </c>
      <c r="H32" s="433" t="s">
        <v>1798</v>
      </c>
      <c r="I32" s="483">
        <v>0</v>
      </c>
      <c r="J32" s="40">
        <v>0.2</v>
      </c>
      <c r="K32" s="40">
        <v>0.5</v>
      </c>
      <c r="L32" s="40">
        <v>0.5</v>
      </c>
      <c r="M32" s="40">
        <f>'Plan de Acción 2022'!R104</f>
        <v>0.65</v>
      </c>
      <c r="N32" s="40">
        <v>1</v>
      </c>
      <c r="O32" s="40">
        <f>'Plan de Acción 2022'!W105</f>
        <v>0</v>
      </c>
      <c r="P32" s="371">
        <f>(O32*15%)/(M32-L32)</f>
        <v>0</v>
      </c>
      <c r="Q32" s="40" t="s">
        <v>1799</v>
      </c>
      <c r="R32" s="40">
        <f>'Plan de Acción 2022'!AA105</f>
        <v>0</v>
      </c>
      <c r="S32" s="371">
        <f>(R32*15%)/(M32-L32)</f>
        <v>0</v>
      </c>
      <c r="T32" s="433" t="s">
        <v>2065</v>
      </c>
      <c r="U32" s="40">
        <f>'Plan de Acción 2022'!AE104</f>
        <v>90</v>
      </c>
      <c r="V32" s="40">
        <f>(U32*15%)/(M32-L32)</f>
        <v>89.999999999999986</v>
      </c>
      <c r="W32" s="41"/>
      <c r="X32" s="40">
        <f>'Plan de Acción 2022'!AH104</f>
        <v>0</v>
      </c>
      <c r="Y32" s="40">
        <f>(X32*15%)/(M32-L32)</f>
        <v>0</v>
      </c>
      <c r="Z32" s="42"/>
      <c r="AA32" s="61"/>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15"/>
      <c r="BA32" s="15"/>
    </row>
    <row r="33" spans="1:53" s="18" customFormat="1" ht="77.25" customHeight="1" x14ac:dyDescent="0.25">
      <c r="A33" s="893"/>
      <c r="B33" s="36">
        <v>1</v>
      </c>
      <c r="C33" s="37">
        <v>0</v>
      </c>
      <c r="D33" s="38" t="s">
        <v>1715</v>
      </c>
      <c r="E33" s="39" t="s">
        <v>1715</v>
      </c>
      <c r="F33" s="884"/>
      <c r="G33" s="892" t="s">
        <v>1800</v>
      </c>
      <c r="H33" s="433" t="s">
        <v>1801</v>
      </c>
      <c r="I33" s="483">
        <v>50</v>
      </c>
      <c r="J33" s="40">
        <v>0.5</v>
      </c>
      <c r="K33" s="40">
        <v>0.7</v>
      </c>
      <c r="L33" s="40">
        <v>0.55000000000000004</v>
      </c>
      <c r="M33" s="40">
        <f>'Plan de Acción 2022'!R106</f>
        <v>0.8</v>
      </c>
      <c r="N33" s="40">
        <v>1</v>
      </c>
      <c r="O33" s="40">
        <f>'Plan de Acción 2022'!W106</f>
        <v>0.25</v>
      </c>
      <c r="P33" s="40">
        <f>(O33*25%)/(M33-L33)</f>
        <v>0.25</v>
      </c>
      <c r="Q33" s="40" t="s">
        <v>1802</v>
      </c>
      <c r="R33" s="40">
        <f>'Plan de Acción 2022'!AA106</f>
        <v>0.5</v>
      </c>
      <c r="S33" s="40">
        <f>(R33*25%)/(M33-L33)</f>
        <v>0.5</v>
      </c>
      <c r="T33" s="433" t="str">
        <f>CONCATENATE('Plan de Acción 2022'!AB106)</f>
        <v>Se han realizado las siguientes actividades de mantenimiento locativo:
1. Organización de los contenedores de basura, según el tipo de residuo generado en la sede.
2. Mantenimiento de la puerta de ingreso de la casona. 
3. Mantenimiento de los baños del 1° piso.</v>
      </c>
      <c r="U33" s="40">
        <f>'Plan de Acción 2022'!AE106</f>
        <v>75</v>
      </c>
      <c r="V33" s="40">
        <f>(U33*25%)/(M33-L33)</f>
        <v>75</v>
      </c>
      <c r="W33" s="291"/>
      <c r="X33" s="40">
        <f>'Plan de Acción 2022'!AH106</f>
        <v>0</v>
      </c>
      <c r="Y33" s="40">
        <f>(X33*25%)/(M33-L33)</f>
        <v>0</v>
      </c>
      <c r="Z33" s="42"/>
      <c r="AA33" s="80"/>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15"/>
      <c r="BA33" s="15"/>
    </row>
    <row r="34" spans="1:53" s="18" customFormat="1" ht="43.5" customHeight="1" x14ac:dyDescent="0.25">
      <c r="A34" s="893"/>
      <c r="B34" s="36">
        <v>1</v>
      </c>
      <c r="C34" s="37">
        <v>0</v>
      </c>
      <c r="D34" s="38" t="s">
        <v>1715</v>
      </c>
      <c r="E34" s="39" t="s">
        <v>1715</v>
      </c>
      <c r="F34" s="884"/>
      <c r="G34" s="892"/>
      <c r="H34" s="433" t="s">
        <v>486</v>
      </c>
      <c r="I34" s="483">
        <v>40</v>
      </c>
      <c r="J34" s="40">
        <v>0.4</v>
      </c>
      <c r="K34" s="40">
        <v>0.6</v>
      </c>
      <c r="L34" s="40">
        <v>0.42</v>
      </c>
      <c r="M34" s="40">
        <v>0.75</v>
      </c>
      <c r="N34" s="40">
        <f>'Plan de Acción 2022'!R107</f>
        <v>0.75</v>
      </c>
      <c r="O34" s="40">
        <f>'Plan de Acción 2022'!W107</f>
        <v>0.02</v>
      </c>
      <c r="P34" s="371">
        <f>(O34*33%)/(M34-L34)</f>
        <v>0.02</v>
      </c>
      <c r="Q34" s="40" t="s">
        <v>1803</v>
      </c>
      <c r="R34" s="40">
        <f>'Plan de Acción 2022'!AA107</f>
        <v>0.4</v>
      </c>
      <c r="S34" s="40">
        <f>(R34*33%)/(M34-L34)</f>
        <v>0.4</v>
      </c>
      <c r="T34" s="433" t="str">
        <f>CONCATENATE('Plan de Acción 2022'!AB107)</f>
        <v xml:space="preserve">Se lanzó el proceso CMA 003 de 2022 (26 de mayo), sin embargo se declaro desierto. 
El CDP se adiciono. </v>
      </c>
      <c r="U34" s="40">
        <f>'Plan de Acción 2022'!AE107</f>
        <v>40</v>
      </c>
      <c r="V34" s="40">
        <f>(U34*33%)/(M34-L34)</f>
        <v>40</v>
      </c>
      <c r="W34" s="290"/>
      <c r="X34" s="40">
        <f>'Plan de Acción 2022'!AH107</f>
        <v>0</v>
      </c>
      <c r="Y34" s="40">
        <f>(X34*33%)/(M34-L34)</f>
        <v>0</v>
      </c>
      <c r="Z34" s="42"/>
      <c r="AA34" s="80"/>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15"/>
      <c r="BA34" s="15"/>
    </row>
    <row r="35" spans="1:53" s="18" customFormat="1" ht="127.5" customHeight="1" x14ac:dyDescent="0.25">
      <c r="A35" s="893"/>
      <c r="B35" s="36">
        <v>1</v>
      </c>
      <c r="C35" s="37">
        <v>0</v>
      </c>
      <c r="D35" s="38" t="s">
        <v>1715</v>
      </c>
      <c r="E35" s="38" t="s">
        <v>1715</v>
      </c>
      <c r="F35" s="884"/>
      <c r="G35" s="884" t="s">
        <v>1804</v>
      </c>
      <c r="H35" s="433" t="s">
        <v>1462</v>
      </c>
      <c r="I35" s="483">
        <v>60</v>
      </c>
      <c r="J35" s="40">
        <v>0</v>
      </c>
      <c r="K35" s="40">
        <v>0.9</v>
      </c>
      <c r="L35" s="40">
        <v>0.9</v>
      </c>
      <c r="M35" s="40">
        <f>'Plan de Acción 2022'!R108</f>
        <v>1</v>
      </c>
      <c r="N35" s="40">
        <v>1</v>
      </c>
      <c r="O35" s="40" t="e">
        <f>('Plan de Acción 2022'!W108+'Plan de Acción 2022'!W332+'Plan de Acción 2022'!W333+'Plan de Acción 2022'!W334+'Plan de Acción 2022'!#REF!+'Plan de Acción 2022'!W335+'Plan de Acción 2022'!W337)/7</f>
        <v>#REF!</v>
      </c>
      <c r="P35" s="40" t="e">
        <f>(O35*10%)/(M35-L35)</f>
        <v>#REF!</v>
      </c>
      <c r="Q35" s="40" t="s">
        <v>1805</v>
      </c>
      <c r="R35" s="40" t="e">
        <f>('Plan de Acción 2022'!AA108+'Plan de Acción 2022'!AA332+'Plan de Acción 2022'!AA334+'Plan de Acción 2022'!#REF!+'Plan de Acción 2022'!AA337)/5</f>
        <v>#REF!</v>
      </c>
      <c r="S35" s="40" t="e">
        <f>(R35*10%)/(M35-L35)</f>
        <v>#REF!</v>
      </c>
      <c r="T35" s="433" t="str">
        <f>CONCATENATE('Plan de Acción 2022'!AB106)</f>
        <v>Se han realizado las siguientes actividades de mantenimiento locativo:
1. Organización de los contenedores de basura, según el tipo de residuo generado en la sede.
2. Mantenimiento de la puerta de ingreso de la casona. 
3. Mantenimiento de los baños del 1° piso.</v>
      </c>
      <c r="U35" s="40" t="e">
        <f>('Plan de Acción 2022'!AE108+'Plan de Acción 2022'!AE332+'Plan de Acción 2022'!AE334+'Plan de Acción 2022'!#REF!+'Plan de Acción 2022'!AE337)/5</f>
        <v>#REF!</v>
      </c>
      <c r="V35" s="40" t="e">
        <f>(U35*20%)/(M35-L35)</f>
        <v>#REF!</v>
      </c>
      <c r="W35" s="41"/>
      <c r="X35" s="40" t="e">
        <f>('Plan de Acción 2022'!AH108+'Plan de Acción 2022'!AH332+'Plan de Acción 2022'!AH334+'Plan de Acción 2022'!#REF!+'Plan de Acción 2022'!AH337)/5</f>
        <v>#REF!</v>
      </c>
      <c r="Y35" s="40" t="e">
        <f>(X35*20%)/(M35-L35)</f>
        <v>#REF!</v>
      </c>
      <c r="Z35" s="42"/>
      <c r="AA35" s="61"/>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15"/>
      <c r="BA35" s="15"/>
    </row>
    <row r="36" spans="1:53" s="18" customFormat="1" ht="75" customHeight="1" x14ac:dyDescent="0.25">
      <c r="A36" s="893"/>
      <c r="B36" s="36">
        <v>1</v>
      </c>
      <c r="C36" s="37">
        <v>0</v>
      </c>
      <c r="D36" s="38" t="s">
        <v>1715</v>
      </c>
      <c r="E36" s="39" t="s">
        <v>1715</v>
      </c>
      <c r="F36" s="884"/>
      <c r="G36" s="884"/>
      <c r="H36" s="433" t="s">
        <v>1470</v>
      </c>
      <c r="I36" s="483">
        <v>40</v>
      </c>
      <c r="J36" s="40">
        <v>0</v>
      </c>
      <c r="K36" s="40">
        <v>0.2</v>
      </c>
      <c r="L36" s="40">
        <v>0.2</v>
      </c>
      <c r="M36" s="40">
        <f>'Plan de Acción 2022'!R109</f>
        <v>0.5</v>
      </c>
      <c r="N36" s="40">
        <v>1</v>
      </c>
      <c r="O36" s="40">
        <f>('Plan de Acción 2022'!W109+'Plan de Acción 2022'!W333+'Plan de Acción 2022'!W335)/3</f>
        <v>0.16666666666666666</v>
      </c>
      <c r="P36" s="40">
        <f>(O36*30%)/(M36-L36)</f>
        <v>0.16666666666666666</v>
      </c>
      <c r="Q36" s="40" t="s">
        <v>1806</v>
      </c>
      <c r="R36" s="40">
        <f>('Plan de Acción 2022'!AA109+'Plan de Acción 2022'!AA333+'Plan de Acción 2022'!AA335)/3</f>
        <v>0.39999999999999997</v>
      </c>
      <c r="S36" s="40">
        <f>(R36*30%)/(M36-L36)</f>
        <v>0.39999999999999997</v>
      </c>
      <c r="T36" s="433" t="str">
        <f>CONCATENATE('Plan de Acción 2022'!AB107)</f>
        <v xml:space="preserve">Se lanzó el proceso CMA 003 de 2022 (26 de mayo), sin embargo se declaro desierto. 
El CDP se adiciono. </v>
      </c>
      <c r="U36" s="40">
        <f>('Plan de Acción 2022'!AE109+'Plan de Acción 2022'!AE333+'Plan de Acción 2022'!AE335)/3</f>
        <v>68.333333333333329</v>
      </c>
      <c r="V36" s="40">
        <f>(U36*30%)/(M36-L36)</f>
        <v>68.333333333333329</v>
      </c>
      <c r="W36" s="41"/>
      <c r="X36" s="40">
        <f>('Plan de Acción 2022'!AH109+'Plan de Acción 2022'!AH333+'Plan de Acción 2022'!AH335)/3</f>
        <v>0</v>
      </c>
      <c r="Y36" s="40">
        <f>(X36*30%)/(M36-L36)</f>
        <v>0</v>
      </c>
      <c r="Z36" s="42"/>
      <c r="AA36" s="61"/>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15"/>
      <c r="BA36" s="15"/>
    </row>
    <row r="37" spans="1:53" s="18" customFormat="1" ht="77.25" customHeight="1" x14ac:dyDescent="0.25">
      <c r="A37" s="893"/>
      <c r="B37" s="36">
        <v>1</v>
      </c>
      <c r="C37" s="37">
        <v>0</v>
      </c>
      <c r="D37" s="38" t="s">
        <v>1715</v>
      </c>
      <c r="E37" s="39" t="s">
        <v>1715</v>
      </c>
      <c r="F37" s="884"/>
      <c r="G37" s="433" t="s">
        <v>1807</v>
      </c>
      <c r="H37" s="433" t="s">
        <v>502</v>
      </c>
      <c r="I37" s="483">
        <v>60</v>
      </c>
      <c r="J37" s="40">
        <v>0.1</v>
      </c>
      <c r="K37" s="40">
        <v>0.5</v>
      </c>
      <c r="L37" s="72">
        <v>0.5</v>
      </c>
      <c r="M37" s="40">
        <f>'Plan de Acción 2022'!R110</f>
        <v>1</v>
      </c>
      <c r="N37" s="40">
        <v>1</v>
      </c>
      <c r="O37" s="40">
        <f>('Plan de Acción 2022'!W110+'Plan de Acción 2022'!W140)/2</f>
        <v>0.5</v>
      </c>
      <c r="P37" s="40">
        <f>(O37*50%)/(M37-L37)</f>
        <v>0.5</v>
      </c>
      <c r="Q37" s="40" t="s">
        <v>495</v>
      </c>
      <c r="R37" s="40">
        <f>('Plan de Acción 2022'!AA110+'Plan de Acción 2022'!AA140)/2</f>
        <v>0.6</v>
      </c>
      <c r="S37" s="40">
        <f>(R37*50%)/(M37-L37)</f>
        <v>0.6</v>
      </c>
      <c r="T37" s="433" t="s">
        <v>2066</v>
      </c>
      <c r="U37" s="40">
        <f>('Plan de Acción 2022'!AE110+'Plan de Acción 2022'!AE140)/2</f>
        <v>82.5</v>
      </c>
      <c r="V37" s="40">
        <f>(U37*50%)/(M37-L37)</f>
        <v>82.5</v>
      </c>
      <c r="W37" s="50"/>
      <c r="X37" s="40">
        <f>('Plan de Acción 2022'!AH110+'Plan de Acción 2022'!AH140)/2</f>
        <v>0</v>
      </c>
      <c r="Y37" s="40">
        <f>(X37*50%)/(M37-L37)</f>
        <v>0</v>
      </c>
      <c r="Z37" s="51"/>
      <c r="AA37" s="59"/>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15"/>
      <c r="BA37" s="15"/>
    </row>
    <row r="38" spans="1:53" s="18" customFormat="1" ht="83.25" customHeight="1" thickBot="1" x14ac:dyDescent="0.3">
      <c r="A38" s="891"/>
      <c r="B38" s="36">
        <v>1</v>
      </c>
      <c r="C38" s="37">
        <v>0</v>
      </c>
      <c r="D38" s="81" t="s">
        <v>1715</v>
      </c>
      <c r="E38" s="82" t="s">
        <v>1715</v>
      </c>
      <c r="F38" s="894"/>
      <c r="G38" s="83" t="s">
        <v>1808</v>
      </c>
      <c r="H38" s="83" t="s">
        <v>510</v>
      </c>
      <c r="I38" s="83">
        <v>0</v>
      </c>
      <c r="J38" s="84">
        <v>0</v>
      </c>
      <c r="K38" s="84">
        <v>0.25</v>
      </c>
      <c r="L38" s="84">
        <v>0.2</v>
      </c>
      <c r="M38" s="40">
        <f>'Plan de Acción 2022'!R112</f>
        <v>0.5</v>
      </c>
      <c r="N38" s="84">
        <v>1</v>
      </c>
      <c r="O38" s="84">
        <f>'Plan de Acción 2022'!W112</f>
        <v>0</v>
      </c>
      <c r="P38" s="372">
        <f>(O38*30%)/(M38-L38)</f>
        <v>0</v>
      </c>
      <c r="Q38" s="84" t="s">
        <v>1809</v>
      </c>
      <c r="R38" s="40">
        <f>'Plan de Acción 2022'!AA112</f>
        <v>0</v>
      </c>
      <c r="S38" s="372">
        <f>(R38*30%)/(M38-L38)</f>
        <v>0</v>
      </c>
      <c r="T38" s="471" t="s">
        <v>2065</v>
      </c>
      <c r="U38" s="40">
        <f>'Plan de Acción 2022'!AE112</f>
        <v>10</v>
      </c>
      <c r="V38" s="372">
        <f>(O38*30%)/(M38-L38)</f>
        <v>0</v>
      </c>
      <c r="W38" s="85"/>
      <c r="X38" s="84">
        <f>'Plan de Acción 2022'!AH112</f>
        <v>0</v>
      </c>
      <c r="Y38" s="84">
        <f>(X38*30%)/(M38-L38)</f>
        <v>0</v>
      </c>
      <c r="Z38" s="86"/>
      <c r="AA38" s="61"/>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15"/>
      <c r="BA38" s="15"/>
    </row>
    <row r="39" spans="1:53" ht="43.5" customHeight="1" thickBot="1" x14ac:dyDescent="0.3">
      <c r="A39" s="87">
        <v>13</v>
      </c>
      <c r="B39" s="87"/>
      <c r="C39" s="87"/>
      <c r="D39" s="885"/>
      <c r="E39" s="886"/>
      <c r="F39" s="886"/>
      <c r="G39" s="886"/>
      <c r="H39" s="886"/>
      <c r="I39" s="886"/>
      <c r="J39" s="886"/>
      <c r="K39" s="886"/>
      <c r="L39" s="434"/>
      <c r="M39" s="434"/>
      <c r="N39" s="434"/>
      <c r="O39" s="219"/>
      <c r="P39" s="220"/>
      <c r="Q39" s="219"/>
      <c r="R39" s="219"/>
      <c r="S39" s="220"/>
      <c r="T39" s="221"/>
      <c r="U39" s="219"/>
      <c r="V39" s="220"/>
      <c r="W39" s="221"/>
      <c r="X39" s="219"/>
      <c r="Y39" s="220"/>
      <c r="Z39" s="223" t="e">
        <f>AVERAGE(Z40:Z42)/4</f>
        <v>#VALUE!</v>
      </c>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row>
    <row r="40" spans="1:53" ht="28.5" customHeight="1" x14ac:dyDescent="0.2">
      <c r="E40" s="14"/>
      <c r="G40" s="255"/>
      <c r="J40" s="14"/>
      <c r="K40" s="14"/>
      <c r="L40" s="14"/>
      <c r="M40" s="14"/>
      <c r="N40" s="14"/>
      <c r="O40" s="217" t="s">
        <v>1709</v>
      </c>
      <c r="P40" s="224">
        <f>AVERAGE(P9+P13+P14+P15+P17+P20+P29+P31)/8</f>
        <v>0.25119047619047619</v>
      </c>
      <c r="Q40" s="224"/>
      <c r="R40" s="224"/>
      <c r="S40" s="224">
        <f>AVERAGE(S9,S13,S14,S15,S17,S20,S29,S31)/8</f>
        <v>5.5513392857142858E-2</v>
      </c>
      <c r="T40" s="224"/>
      <c r="U40" s="224"/>
      <c r="V40" s="224" t="e">
        <f>AVERAGE(V9+V13+V14+V15+V17+V20+V29+V31)/8</f>
        <v>#VALUE!</v>
      </c>
      <c r="W40" s="224"/>
      <c r="X40" s="224"/>
      <c r="Y40" s="224" t="e">
        <f>AVERAGE(Y9+Y13+Y14+Y15+Y17+Y20+Y29+Y31)/8</f>
        <v>#VALUE!</v>
      </c>
      <c r="Z40" s="213" t="e">
        <f>AVERAGE(P40+S40+V40+Y40)</f>
        <v>#VALUE!</v>
      </c>
    </row>
    <row r="41" spans="1:53" ht="41.25" customHeight="1" x14ac:dyDescent="0.2">
      <c r="E41" s="14"/>
      <c r="G41" s="255"/>
      <c r="J41" s="14"/>
      <c r="K41" s="14"/>
      <c r="L41" s="14"/>
      <c r="M41" s="14"/>
      <c r="N41" s="14"/>
      <c r="O41" s="212" t="s">
        <v>1717</v>
      </c>
      <c r="P41" s="213" t="e">
        <f>AVERAGE(P11+P12+P22+P23+P24)/5</f>
        <v>#REF!</v>
      </c>
      <c r="Q41" s="213"/>
      <c r="R41" s="213"/>
      <c r="S41" s="213">
        <f>AVERAGE(S11+S12+S22+S23+S24)/5</f>
        <v>0.49300000000000005</v>
      </c>
      <c r="T41" s="213"/>
      <c r="U41" s="213"/>
      <c r="V41" s="213" t="e">
        <f>AVERAGE(V11+V12+V22+V23+V24)/5</f>
        <v>#REF!</v>
      </c>
      <c r="W41" s="213"/>
      <c r="X41" s="213"/>
      <c r="Y41" s="213" t="e">
        <f>AVERAGE(Y11+Y12+Y22+Y23+Y24)/5</f>
        <v>#REF!</v>
      </c>
      <c r="Z41" s="213" t="e">
        <f>AVERAGE(P41+S41+V41+Y41)</f>
        <v>#REF!</v>
      </c>
    </row>
    <row r="42" spans="1:53" ht="54.75" customHeight="1" x14ac:dyDescent="0.2">
      <c r="E42" s="14"/>
      <c r="G42" s="255"/>
      <c r="J42" s="14"/>
      <c r="K42" s="14"/>
      <c r="L42" s="14"/>
      <c r="M42" s="14"/>
      <c r="N42" s="14"/>
      <c r="O42" s="212" t="s">
        <v>1715</v>
      </c>
      <c r="P42" s="213" t="e">
        <f>AVERAGE(P16+P10+P21+P25+P26+P27+P28+P30+P32+P33+P34+P35+P36+P37+P38)/15</f>
        <v>#REF!</v>
      </c>
      <c r="Q42" s="213"/>
      <c r="R42" s="213"/>
      <c r="S42" s="213" t="e">
        <f>AVERAGE(S16+S10+S21+S25+S26+S27+S28+S30+S32+S33+S34+S35+S36+S37+S38)/15</f>
        <v>#REF!</v>
      </c>
      <c r="T42" s="213"/>
      <c r="U42" s="213"/>
      <c r="V42" s="213" t="e">
        <f>AVERAGE(V16+V10+V21+V25+V26+V27+V28+V30+V32+V33+V34+V35+V36+V37+V38)/15</f>
        <v>#REF!</v>
      </c>
      <c r="W42" s="213"/>
      <c r="X42" s="213"/>
      <c r="Y42" s="213" t="e">
        <f>AVERAGE(Y16+Y10+Y21+Y25+Y26+Y27+Y28+Y30+Y32+Y33+Y34+Y35+Y36+Y37+Y38)/15</f>
        <v>#REF!</v>
      </c>
      <c r="Z42" s="213" t="e">
        <f>AVERAGE(P42+S42+V42+Y42)</f>
        <v>#REF!</v>
      </c>
    </row>
    <row r="43" spans="1:53" ht="43.5" customHeight="1" thickBot="1" x14ac:dyDescent="0.25">
      <c r="R43" s="89"/>
      <c r="S43" s="88"/>
      <c r="X43" s="16"/>
      <c r="Y43" s="16"/>
      <c r="Z43" s="14"/>
    </row>
    <row r="44" spans="1:53" s="326" customFormat="1" ht="10.5" customHeight="1" thickTop="1" x14ac:dyDescent="0.2">
      <c r="A44" s="868" t="s">
        <v>1695</v>
      </c>
      <c r="B44" s="869"/>
      <c r="C44" s="869"/>
      <c r="D44" s="869"/>
      <c r="E44" s="869"/>
      <c r="F44" s="869"/>
      <c r="G44" s="869"/>
      <c r="H44" s="869"/>
      <c r="I44" s="869"/>
      <c r="J44" s="870"/>
      <c r="K44" s="874" t="s">
        <v>1696</v>
      </c>
      <c r="L44" s="875"/>
      <c r="M44" s="875"/>
      <c r="N44" s="875"/>
      <c r="O44" s="875"/>
      <c r="P44" s="875"/>
      <c r="Q44" s="876"/>
      <c r="R44" s="874" t="s">
        <v>1697</v>
      </c>
      <c r="S44" s="880"/>
      <c r="T44" s="868" t="s">
        <v>1698</v>
      </c>
      <c r="U44" s="869"/>
      <c r="V44" s="869"/>
      <c r="W44" s="869"/>
      <c r="X44" s="882"/>
      <c r="Y44" s="863">
        <v>1</v>
      </c>
      <c r="Z44" s="325"/>
      <c r="AC44" s="325"/>
      <c r="AF44" s="325"/>
    </row>
    <row r="45" spans="1:53" s="326" customFormat="1" ht="13.15" customHeight="1" thickBot="1" x14ac:dyDescent="0.25">
      <c r="A45" s="871"/>
      <c r="B45" s="872"/>
      <c r="C45" s="872"/>
      <c r="D45" s="872"/>
      <c r="E45" s="872"/>
      <c r="F45" s="872"/>
      <c r="G45" s="872"/>
      <c r="H45" s="872"/>
      <c r="I45" s="872"/>
      <c r="J45" s="873"/>
      <c r="K45" s="877"/>
      <c r="L45" s="878"/>
      <c r="M45" s="878"/>
      <c r="N45" s="878"/>
      <c r="O45" s="878"/>
      <c r="P45" s="878"/>
      <c r="Q45" s="879"/>
      <c r="R45" s="877"/>
      <c r="S45" s="881"/>
      <c r="T45" s="871"/>
      <c r="U45" s="872"/>
      <c r="V45" s="872"/>
      <c r="W45" s="872"/>
      <c r="X45" s="883"/>
      <c r="Y45" s="864"/>
      <c r="Z45" s="325"/>
      <c r="AC45" s="325"/>
      <c r="AF45" s="325"/>
    </row>
    <row r="46" spans="1:53" ht="43.5" customHeight="1" x14ac:dyDescent="0.2">
      <c r="X46" s="16"/>
      <c r="Y46" s="16"/>
      <c r="Z46" s="15"/>
    </row>
    <row r="47" spans="1:53" ht="43.5" customHeight="1" x14ac:dyDescent="0.2">
      <c r="X47" s="16"/>
      <c r="Y47" s="16"/>
      <c r="Z47" s="15"/>
    </row>
    <row r="48" spans="1:53" ht="43.5" customHeight="1" x14ac:dyDescent="0.2">
      <c r="X48" s="16"/>
      <c r="Y48" s="16"/>
      <c r="Z48" s="15"/>
    </row>
    <row r="49" spans="24:26" ht="43.5" customHeight="1" x14ac:dyDescent="0.2">
      <c r="X49" s="16"/>
      <c r="Y49" s="16"/>
      <c r="Z49" s="15"/>
    </row>
    <row r="50" spans="24:26" ht="43.5" customHeight="1" x14ac:dyDescent="0.2">
      <c r="X50" s="16"/>
      <c r="Y50" s="16"/>
      <c r="Z50" s="15"/>
    </row>
    <row r="51" spans="24:26" ht="43.5" customHeight="1" x14ac:dyDescent="0.2">
      <c r="X51" s="16"/>
      <c r="Y51" s="16"/>
      <c r="Z51" s="15"/>
    </row>
    <row r="52" spans="24:26" ht="43.5" customHeight="1" x14ac:dyDescent="0.2">
      <c r="X52" s="16"/>
      <c r="Y52" s="16"/>
      <c r="Z52" s="15"/>
    </row>
    <row r="53" spans="24:26" ht="43.5" customHeight="1" x14ac:dyDescent="0.2">
      <c r="X53" s="16"/>
      <c r="Y53" s="16"/>
      <c r="Z53" s="15"/>
    </row>
    <row r="54" spans="24:26" ht="43.5" customHeight="1" x14ac:dyDescent="0.2">
      <c r="X54" s="16"/>
      <c r="Y54" s="16"/>
      <c r="Z54" s="15"/>
    </row>
    <row r="55" spans="24:26" ht="43.5" customHeight="1" x14ac:dyDescent="0.2">
      <c r="X55" s="16"/>
      <c r="Y55" s="16"/>
      <c r="Z55" s="15"/>
    </row>
    <row r="56" spans="24:26" ht="43.5" customHeight="1" x14ac:dyDescent="0.2">
      <c r="X56" s="16"/>
      <c r="Y56" s="16"/>
      <c r="Z56" s="15"/>
    </row>
    <row r="57" spans="24:26" ht="43.5" customHeight="1" x14ac:dyDescent="0.2">
      <c r="X57" s="16"/>
      <c r="Y57" s="16"/>
      <c r="Z57" s="15"/>
    </row>
    <row r="58" spans="24:26" ht="43.5" customHeight="1" x14ac:dyDescent="0.2">
      <c r="X58" s="16"/>
      <c r="Y58" s="16"/>
      <c r="Z58" s="15"/>
    </row>
    <row r="59" spans="24:26" ht="43.5" customHeight="1" x14ac:dyDescent="0.2">
      <c r="X59" s="16"/>
      <c r="Y59" s="16"/>
      <c r="Z59" s="15"/>
    </row>
    <row r="60" spans="24:26" ht="43.5" customHeight="1" x14ac:dyDescent="0.2">
      <c r="X60" s="16"/>
      <c r="Y60" s="16"/>
      <c r="Z60" s="15"/>
    </row>
    <row r="61" spans="24:26" ht="43.5" customHeight="1" x14ac:dyDescent="0.2">
      <c r="X61" s="16"/>
      <c r="Y61" s="16"/>
      <c r="Z61" s="15"/>
    </row>
    <row r="62" spans="24:26" ht="43.5" customHeight="1" x14ac:dyDescent="0.2">
      <c r="X62" s="16"/>
      <c r="Y62" s="16"/>
      <c r="Z62" s="15"/>
    </row>
    <row r="63" spans="24:26" ht="43.5" customHeight="1" x14ac:dyDescent="0.2">
      <c r="X63" s="16"/>
      <c r="Y63" s="16"/>
      <c r="Z63" s="15"/>
    </row>
    <row r="64" spans="24:26" ht="43.5" customHeight="1" x14ac:dyDescent="0.2">
      <c r="X64" s="16"/>
      <c r="Y64" s="16"/>
      <c r="Z64" s="15"/>
    </row>
    <row r="65" spans="24:26" ht="43.5" customHeight="1" x14ac:dyDescent="0.2">
      <c r="X65" s="16"/>
      <c r="Y65" s="16"/>
      <c r="Z65" s="15"/>
    </row>
    <row r="66" spans="24:26" ht="43.5" customHeight="1" x14ac:dyDescent="0.2">
      <c r="X66" s="16"/>
      <c r="Y66" s="16"/>
      <c r="Z66" s="15"/>
    </row>
    <row r="67" spans="24:26" ht="43.5" customHeight="1" x14ac:dyDescent="0.2">
      <c r="X67" s="16"/>
      <c r="Y67" s="16"/>
      <c r="Z67" s="15"/>
    </row>
    <row r="68" spans="24:26" ht="43.5" customHeight="1" x14ac:dyDescent="0.2">
      <c r="X68" s="16"/>
      <c r="Y68" s="16"/>
      <c r="Z68" s="15"/>
    </row>
    <row r="69" spans="24:26" ht="43.5" customHeight="1" x14ac:dyDescent="0.2">
      <c r="X69" s="16"/>
      <c r="Y69" s="16"/>
      <c r="Z69" s="15"/>
    </row>
    <row r="70" spans="24:26" ht="43.5" customHeight="1" x14ac:dyDescent="0.2">
      <c r="X70" s="16"/>
      <c r="Y70" s="16"/>
      <c r="Z70" s="15"/>
    </row>
    <row r="71" spans="24:26" ht="43.5" customHeight="1" x14ac:dyDescent="0.2">
      <c r="X71" s="16"/>
      <c r="Y71" s="16"/>
      <c r="Z71" s="15"/>
    </row>
    <row r="72" spans="24:26" ht="43.5" customHeight="1" x14ac:dyDescent="0.2">
      <c r="X72" s="16"/>
      <c r="Y72" s="16"/>
      <c r="Z72" s="15"/>
    </row>
    <row r="73" spans="24:26" ht="43.5" customHeight="1" x14ac:dyDescent="0.2">
      <c r="X73" s="16"/>
      <c r="Y73" s="16"/>
      <c r="Z73" s="15"/>
    </row>
    <row r="74" spans="24:26" ht="43.5" customHeight="1" x14ac:dyDescent="0.2">
      <c r="X74" s="16"/>
      <c r="Y74" s="16"/>
      <c r="Z74" s="15"/>
    </row>
    <row r="75" spans="24:26" ht="43.5" customHeight="1" x14ac:dyDescent="0.2">
      <c r="X75" s="16"/>
      <c r="Y75" s="16"/>
      <c r="Z75" s="15"/>
    </row>
    <row r="76" spans="24:26" ht="43.5" customHeight="1" x14ac:dyDescent="0.2">
      <c r="X76" s="16"/>
      <c r="Y76" s="16"/>
      <c r="Z76" s="15"/>
    </row>
    <row r="77" spans="24:26" ht="43.5" customHeight="1" x14ac:dyDescent="0.2">
      <c r="X77" s="16"/>
      <c r="Y77" s="16"/>
      <c r="Z77" s="15"/>
    </row>
    <row r="78" spans="24:26" ht="43.5" customHeight="1" x14ac:dyDescent="0.2">
      <c r="X78" s="16"/>
      <c r="Y78" s="16"/>
      <c r="Z78" s="15"/>
    </row>
    <row r="79" spans="24:26" ht="43.5" customHeight="1" x14ac:dyDescent="0.2">
      <c r="X79" s="16"/>
      <c r="Y79" s="16"/>
      <c r="Z79" s="15"/>
    </row>
    <row r="80" spans="24:26" ht="43.5" customHeight="1" x14ac:dyDescent="0.2">
      <c r="X80" s="16"/>
      <c r="Y80" s="16"/>
      <c r="Z80" s="15"/>
    </row>
    <row r="81" spans="24:26" ht="43.5" customHeight="1" x14ac:dyDescent="0.2">
      <c r="X81" s="16"/>
      <c r="Y81" s="16"/>
      <c r="Z81" s="15"/>
    </row>
    <row r="82" spans="24:26" ht="43.5" customHeight="1" x14ac:dyDescent="0.2">
      <c r="X82" s="16"/>
      <c r="Y82" s="16"/>
      <c r="Z82" s="15"/>
    </row>
    <row r="83" spans="24:26" ht="43.5" customHeight="1" x14ac:dyDescent="0.2">
      <c r="X83" s="16"/>
      <c r="Y83" s="16"/>
      <c r="Z83" s="15"/>
    </row>
    <row r="84" spans="24:26" ht="43.5" customHeight="1" x14ac:dyDescent="0.2">
      <c r="X84" s="16"/>
      <c r="Y84" s="16"/>
      <c r="Z84" s="15"/>
    </row>
    <row r="85" spans="24:26" ht="43.5" customHeight="1" x14ac:dyDescent="0.2">
      <c r="X85" s="16"/>
      <c r="Y85" s="16"/>
      <c r="Z85" s="15"/>
    </row>
    <row r="86" spans="24:26" ht="43.5" customHeight="1" x14ac:dyDescent="0.2">
      <c r="X86" s="16"/>
      <c r="Y86" s="16"/>
      <c r="Z86" s="15"/>
    </row>
    <row r="87" spans="24:26" ht="43.5" customHeight="1" x14ac:dyDescent="0.2">
      <c r="X87" s="16"/>
      <c r="Y87" s="16"/>
      <c r="Z87" s="15"/>
    </row>
    <row r="88" spans="24:26" ht="43.5" customHeight="1" x14ac:dyDescent="0.2">
      <c r="X88" s="16"/>
      <c r="Y88" s="16"/>
      <c r="Z88" s="15"/>
    </row>
    <row r="89" spans="24:26" ht="43.5" customHeight="1" x14ac:dyDescent="0.2">
      <c r="X89" s="16"/>
      <c r="Y89" s="16"/>
      <c r="Z89" s="15"/>
    </row>
    <row r="90" spans="24:26" ht="43.5" customHeight="1" x14ac:dyDescent="0.2">
      <c r="X90" s="16"/>
      <c r="Y90" s="16"/>
      <c r="Z90" s="15"/>
    </row>
    <row r="91" spans="24:26" ht="43.5" customHeight="1" x14ac:dyDescent="0.2">
      <c r="X91" s="16"/>
      <c r="Y91" s="16"/>
      <c r="Z91" s="15"/>
    </row>
    <row r="92" spans="24:26" ht="43.5" customHeight="1" x14ac:dyDescent="0.2">
      <c r="X92" s="16"/>
      <c r="Y92" s="16"/>
      <c r="Z92" s="15"/>
    </row>
    <row r="93" spans="24:26" ht="43.5" customHeight="1" x14ac:dyDescent="0.2">
      <c r="X93" s="16"/>
      <c r="Y93" s="16"/>
      <c r="Z93" s="15"/>
    </row>
    <row r="94" spans="24:26" ht="43.5" customHeight="1" x14ac:dyDescent="0.2">
      <c r="X94" s="16"/>
      <c r="Y94" s="16"/>
      <c r="Z94" s="15"/>
    </row>
    <row r="95" spans="24:26" ht="43.5" customHeight="1" x14ac:dyDescent="0.2">
      <c r="X95" s="16"/>
      <c r="Y95" s="16"/>
      <c r="Z95" s="15"/>
    </row>
    <row r="96" spans="24:26" ht="43.5" customHeight="1" x14ac:dyDescent="0.2">
      <c r="X96" s="16"/>
      <c r="Y96" s="16"/>
      <c r="Z96" s="15"/>
    </row>
    <row r="97" spans="24:26" ht="43.5" customHeight="1" x14ac:dyDescent="0.2">
      <c r="X97" s="16"/>
      <c r="Y97" s="16"/>
      <c r="Z97" s="15"/>
    </row>
    <row r="98" spans="24:26" ht="43.5" customHeight="1" x14ac:dyDescent="0.2">
      <c r="X98" s="16"/>
      <c r="Y98" s="16"/>
      <c r="Z98" s="15"/>
    </row>
    <row r="99" spans="24:26" ht="43.5" customHeight="1" x14ac:dyDescent="0.2">
      <c r="X99" s="16"/>
      <c r="Y99" s="16"/>
      <c r="Z99" s="15"/>
    </row>
    <row r="100" spans="24:26" ht="43.5" customHeight="1" x14ac:dyDescent="0.2">
      <c r="X100" s="16"/>
      <c r="Y100" s="16"/>
      <c r="Z100" s="15"/>
    </row>
    <row r="101" spans="24:26" ht="43.5" customHeight="1" x14ac:dyDescent="0.2">
      <c r="X101" s="16"/>
      <c r="Y101" s="16"/>
      <c r="Z101" s="15"/>
    </row>
    <row r="102" spans="24:26" ht="43.5" customHeight="1" x14ac:dyDescent="0.2">
      <c r="X102" s="16"/>
      <c r="Y102" s="16"/>
      <c r="Z102" s="15"/>
    </row>
    <row r="103" spans="24:26" ht="43.5" customHeight="1" x14ac:dyDescent="0.2">
      <c r="X103" s="16"/>
      <c r="Y103" s="16"/>
      <c r="Z103" s="15"/>
    </row>
    <row r="104" spans="24:26" ht="43.5" customHeight="1" x14ac:dyDescent="0.2">
      <c r="X104" s="16"/>
      <c r="Y104" s="16"/>
      <c r="Z104" s="15"/>
    </row>
    <row r="105" spans="24:26" ht="43.5" customHeight="1" x14ac:dyDescent="0.2">
      <c r="X105" s="16"/>
      <c r="Y105" s="16"/>
      <c r="Z105" s="15"/>
    </row>
    <row r="106" spans="24:26" ht="43.5" customHeight="1" x14ac:dyDescent="0.2">
      <c r="X106" s="16"/>
      <c r="Y106" s="16"/>
      <c r="Z106" s="15"/>
    </row>
    <row r="107" spans="24:26" ht="43.5" customHeight="1" x14ac:dyDescent="0.2">
      <c r="X107" s="16"/>
      <c r="Y107" s="16"/>
      <c r="Z107" s="15"/>
    </row>
    <row r="108" spans="24:26" ht="43.5" customHeight="1" x14ac:dyDescent="0.2">
      <c r="X108" s="16"/>
      <c r="Y108" s="16"/>
      <c r="Z108" s="15"/>
    </row>
    <row r="109" spans="24:26" ht="43.5" customHeight="1" x14ac:dyDescent="0.2">
      <c r="X109" s="16"/>
      <c r="Y109" s="16"/>
      <c r="Z109" s="15"/>
    </row>
    <row r="110" spans="24:26" ht="43.5" customHeight="1" x14ac:dyDescent="0.2">
      <c r="X110" s="16"/>
      <c r="Y110" s="16"/>
      <c r="Z110" s="15"/>
    </row>
    <row r="111" spans="24:26" ht="43.5" customHeight="1" x14ac:dyDescent="0.2">
      <c r="X111" s="16"/>
      <c r="Y111" s="16"/>
      <c r="Z111" s="15"/>
    </row>
    <row r="112" spans="24:26" ht="43.5" customHeight="1" x14ac:dyDescent="0.2">
      <c r="X112" s="16"/>
      <c r="Y112" s="16"/>
      <c r="Z112" s="15"/>
    </row>
    <row r="113" spans="24:26" ht="43.5" customHeight="1" x14ac:dyDescent="0.2">
      <c r="X113" s="16"/>
      <c r="Y113" s="16"/>
      <c r="Z113" s="15"/>
    </row>
    <row r="114" spans="24:26" ht="43.5" customHeight="1" x14ac:dyDescent="0.2">
      <c r="X114" s="16"/>
      <c r="Y114" s="16"/>
      <c r="Z114" s="15"/>
    </row>
    <row r="115" spans="24:26" ht="43.5" customHeight="1" x14ac:dyDescent="0.2">
      <c r="X115" s="16"/>
      <c r="Y115" s="16"/>
      <c r="Z115" s="15"/>
    </row>
    <row r="116" spans="24:26" ht="43.5" customHeight="1" x14ac:dyDescent="0.2">
      <c r="X116" s="16"/>
      <c r="Y116" s="16"/>
      <c r="Z116" s="15"/>
    </row>
    <row r="117" spans="24:26" ht="43.5" customHeight="1" x14ac:dyDescent="0.2">
      <c r="X117" s="16"/>
      <c r="Y117" s="16"/>
      <c r="Z117" s="15"/>
    </row>
    <row r="118" spans="24:26" ht="43.5" customHeight="1" x14ac:dyDescent="0.2">
      <c r="X118" s="16"/>
      <c r="Y118" s="16"/>
      <c r="Z118" s="15"/>
    </row>
    <row r="119" spans="24:26" ht="43.5" customHeight="1" x14ac:dyDescent="0.2">
      <c r="X119" s="16"/>
      <c r="Y119" s="16"/>
      <c r="Z119" s="15"/>
    </row>
    <row r="120" spans="24:26" ht="43.5" customHeight="1" x14ac:dyDescent="0.2">
      <c r="X120" s="16"/>
      <c r="Y120" s="16"/>
      <c r="Z120" s="15"/>
    </row>
    <row r="121" spans="24:26" ht="43.5" customHeight="1" x14ac:dyDescent="0.2">
      <c r="X121" s="16"/>
      <c r="Y121" s="16"/>
      <c r="Z121" s="15"/>
    </row>
    <row r="122" spans="24:26" ht="43.5" customHeight="1" x14ac:dyDescent="0.2">
      <c r="X122" s="16"/>
      <c r="Y122" s="16"/>
      <c r="Z122" s="15"/>
    </row>
    <row r="123" spans="24:26" ht="43.5" customHeight="1" x14ac:dyDescent="0.2">
      <c r="X123" s="16"/>
      <c r="Y123" s="16"/>
      <c r="Z123" s="15"/>
    </row>
    <row r="124" spans="24:26" ht="43.5" customHeight="1" x14ac:dyDescent="0.2">
      <c r="X124" s="16"/>
      <c r="Y124" s="16"/>
      <c r="Z124" s="15"/>
    </row>
    <row r="125" spans="24:26" ht="43.5" customHeight="1" x14ac:dyDescent="0.2">
      <c r="X125" s="16"/>
      <c r="Y125" s="16"/>
      <c r="Z125" s="15"/>
    </row>
    <row r="126" spans="24:26" ht="43.5" customHeight="1" x14ac:dyDescent="0.2">
      <c r="X126" s="16"/>
      <c r="Y126" s="16"/>
      <c r="Z126" s="15"/>
    </row>
    <row r="127" spans="24:26" ht="43.5" customHeight="1" x14ac:dyDescent="0.2">
      <c r="X127" s="16"/>
      <c r="Y127" s="16"/>
      <c r="Z127" s="15"/>
    </row>
    <row r="128" spans="24:26" ht="43.5" customHeight="1" x14ac:dyDescent="0.2">
      <c r="X128" s="16"/>
      <c r="Y128" s="16"/>
      <c r="Z128" s="15"/>
    </row>
    <row r="129" spans="24:26" ht="43.5" customHeight="1" x14ac:dyDescent="0.2">
      <c r="X129" s="16"/>
      <c r="Y129" s="16"/>
      <c r="Z129" s="15"/>
    </row>
    <row r="130" spans="24:26" ht="43.5" customHeight="1" x14ac:dyDescent="0.2">
      <c r="X130" s="16"/>
      <c r="Y130" s="16"/>
      <c r="Z130" s="15"/>
    </row>
    <row r="131" spans="24:26" ht="43.5" customHeight="1" x14ac:dyDescent="0.2">
      <c r="X131" s="16"/>
      <c r="Y131" s="16"/>
      <c r="Z131" s="15"/>
    </row>
    <row r="132" spans="24:26" ht="43.5" customHeight="1" x14ac:dyDescent="0.2">
      <c r="X132" s="16"/>
      <c r="Y132" s="16"/>
      <c r="Z132" s="15"/>
    </row>
    <row r="133" spans="24:26" ht="43.5" customHeight="1" x14ac:dyDescent="0.2">
      <c r="X133" s="16"/>
      <c r="Y133" s="16"/>
      <c r="Z133" s="15"/>
    </row>
    <row r="134" spans="24:26" ht="43.5" customHeight="1" x14ac:dyDescent="0.2">
      <c r="X134" s="16"/>
      <c r="Y134" s="16"/>
      <c r="Z134" s="15"/>
    </row>
    <row r="135" spans="24:26" ht="43.5" customHeight="1" x14ac:dyDescent="0.2">
      <c r="X135" s="16"/>
      <c r="Y135" s="16"/>
      <c r="Z135" s="15"/>
    </row>
    <row r="136" spans="24:26" ht="43.5" customHeight="1" x14ac:dyDescent="0.2">
      <c r="X136" s="16"/>
      <c r="Y136" s="16"/>
      <c r="Z136" s="15"/>
    </row>
    <row r="137" spans="24:26" ht="43.5" customHeight="1" x14ac:dyDescent="0.2">
      <c r="X137" s="16"/>
      <c r="Y137" s="16"/>
      <c r="Z137" s="15"/>
    </row>
    <row r="138" spans="24:26" ht="43.5" customHeight="1" x14ac:dyDescent="0.2">
      <c r="X138" s="16"/>
      <c r="Y138" s="16"/>
      <c r="Z138" s="15"/>
    </row>
    <row r="139" spans="24:26" ht="43.5" customHeight="1" x14ac:dyDescent="0.2">
      <c r="X139" s="16"/>
      <c r="Y139" s="16"/>
      <c r="Z139" s="15"/>
    </row>
    <row r="140" spans="24:26" ht="43.5" customHeight="1" x14ac:dyDescent="0.2">
      <c r="X140" s="16"/>
      <c r="Y140" s="16"/>
      <c r="Z140" s="15"/>
    </row>
    <row r="141" spans="24:26" ht="43.5" customHeight="1" x14ac:dyDescent="0.2">
      <c r="X141" s="16"/>
      <c r="Y141" s="16"/>
      <c r="Z141" s="15"/>
    </row>
    <row r="142" spans="24:26" ht="43.5" customHeight="1" x14ac:dyDescent="0.2">
      <c r="X142" s="16"/>
      <c r="Y142" s="16"/>
      <c r="Z142" s="15"/>
    </row>
    <row r="143" spans="24:26" ht="43.5" customHeight="1" x14ac:dyDescent="0.2">
      <c r="X143" s="16"/>
      <c r="Y143" s="16"/>
      <c r="Z143" s="15"/>
    </row>
    <row r="144" spans="24:26" ht="43.5" customHeight="1" x14ac:dyDescent="0.2">
      <c r="X144" s="16"/>
      <c r="Y144" s="16"/>
      <c r="Z144" s="15"/>
    </row>
    <row r="145" spans="24:26" ht="43.5" customHeight="1" x14ac:dyDescent="0.2">
      <c r="X145" s="16"/>
      <c r="Y145" s="16"/>
      <c r="Z145" s="15"/>
    </row>
    <row r="146" spans="24:26" ht="43.5" customHeight="1" x14ac:dyDescent="0.2">
      <c r="X146" s="16"/>
      <c r="Y146" s="16"/>
      <c r="Z146" s="15"/>
    </row>
    <row r="147" spans="24:26" ht="43.5" customHeight="1" x14ac:dyDescent="0.2">
      <c r="X147" s="16"/>
      <c r="Y147" s="16"/>
      <c r="Z147" s="15"/>
    </row>
    <row r="148" spans="24:26" ht="43.5" customHeight="1" x14ac:dyDescent="0.2">
      <c r="X148" s="16"/>
      <c r="Y148" s="16"/>
      <c r="Z148" s="15"/>
    </row>
    <row r="149" spans="24:26" ht="43.5" customHeight="1" x14ac:dyDescent="0.2">
      <c r="X149" s="16"/>
      <c r="Y149" s="16"/>
      <c r="Z149" s="15"/>
    </row>
    <row r="150" spans="24:26" ht="43.5" customHeight="1" x14ac:dyDescent="0.2">
      <c r="X150" s="16"/>
      <c r="Y150" s="16"/>
      <c r="Z150" s="15"/>
    </row>
    <row r="151" spans="24:26" ht="43.5" customHeight="1" x14ac:dyDescent="0.2">
      <c r="X151" s="16"/>
      <c r="Y151" s="16"/>
      <c r="Z151" s="15"/>
    </row>
    <row r="152" spans="24:26" ht="43.5" customHeight="1" x14ac:dyDescent="0.2">
      <c r="X152" s="16"/>
      <c r="Y152" s="16"/>
      <c r="Z152" s="15"/>
    </row>
    <row r="153" spans="24:26" ht="43.5" customHeight="1" x14ac:dyDescent="0.2">
      <c r="X153" s="16"/>
      <c r="Y153" s="16"/>
      <c r="Z153" s="15"/>
    </row>
    <row r="154" spans="24:26" ht="43.5" customHeight="1" x14ac:dyDescent="0.2">
      <c r="X154" s="16"/>
      <c r="Y154" s="16"/>
      <c r="Z154" s="15"/>
    </row>
    <row r="155" spans="24:26" ht="43.5" customHeight="1" x14ac:dyDescent="0.2">
      <c r="X155" s="16"/>
      <c r="Y155" s="16"/>
      <c r="Z155" s="15"/>
    </row>
    <row r="156" spans="24:26" ht="43.5" customHeight="1" x14ac:dyDescent="0.2">
      <c r="X156" s="16"/>
      <c r="Y156" s="16"/>
      <c r="Z156" s="15"/>
    </row>
    <row r="157" spans="24:26" ht="43.5" customHeight="1" x14ac:dyDescent="0.2">
      <c r="X157" s="16"/>
      <c r="Y157" s="16"/>
      <c r="Z157" s="15"/>
    </row>
    <row r="158" spans="24:26" ht="43.5" customHeight="1" x14ac:dyDescent="0.2">
      <c r="X158" s="16"/>
      <c r="Y158" s="16"/>
      <c r="Z158" s="15"/>
    </row>
    <row r="159" spans="24:26" ht="43.5" customHeight="1" x14ac:dyDescent="0.2">
      <c r="X159" s="16"/>
      <c r="Y159" s="16"/>
      <c r="Z159" s="15"/>
    </row>
    <row r="160" spans="24:26" ht="43.5" customHeight="1" x14ac:dyDescent="0.2">
      <c r="X160" s="16"/>
      <c r="Y160" s="16"/>
      <c r="Z160" s="15"/>
    </row>
    <row r="161" spans="24:26" ht="43.5" customHeight="1" x14ac:dyDescent="0.2">
      <c r="X161" s="16"/>
      <c r="Y161" s="16"/>
      <c r="Z161" s="15"/>
    </row>
    <row r="162" spans="24:26" ht="43.5" customHeight="1" x14ac:dyDescent="0.2">
      <c r="X162" s="16"/>
      <c r="Y162" s="16"/>
      <c r="Z162" s="15"/>
    </row>
    <row r="163" spans="24:26" ht="43.5" customHeight="1" x14ac:dyDescent="0.2">
      <c r="X163" s="16"/>
      <c r="Y163" s="16"/>
      <c r="Z163" s="15"/>
    </row>
    <row r="164" spans="24:26" ht="43.5" customHeight="1" x14ac:dyDescent="0.2">
      <c r="X164" s="16"/>
      <c r="Y164" s="16"/>
      <c r="Z164" s="15"/>
    </row>
    <row r="165" spans="24:26" ht="43.5" customHeight="1" x14ac:dyDescent="0.2">
      <c r="X165" s="16"/>
      <c r="Y165" s="16"/>
      <c r="Z165" s="15"/>
    </row>
    <row r="166" spans="24:26" ht="43.5" customHeight="1" x14ac:dyDescent="0.2">
      <c r="X166" s="16"/>
      <c r="Y166" s="16"/>
      <c r="Z166" s="15"/>
    </row>
    <row r="167" spans="24:26" ht="43.5" customHeight="1" x14ac:dyDescent="0.2">
      <c r="X167" s="16"/>
      <c r="Y167" s="16"/>
      <c r="Z167" s="15"/>
    </row>
    <row r="168" spans="24:26" ht="43.5" customHeight="1" x14ac:dyDescent="0.2">
      <c r="X168" s="16"/>
      <c r="Y168" s="16"/>
      <c r="Z168" s="15"/>
    </row>
    <row r="169" spans="24:26" ht="43.5" customHeight="1" x14ac:dyDescent="0.2">
      <c r="X169" s="16"/>
      <c r="Y169" s="16"/>
      <c r="Z169" s="15"/>
    </row>
    <row r="170" spans="24:26" ht="43.5" customHeight="1" x14ac:dyDescent="0.2">
      <c r="X170" s="16"/>
      <c r="Y170" s="16"/>
      <c r="Z170" s="15"/>
    </row>
    <row r="171" spans="24:26" ht="43.5" customHeight="1" x14ac:dyDescent="0.2">
      <c r="X171" s="16"/>
      <c r="Y171" s="16"/>
      <c r="Z171" s="15"/>
    </row>
    <row r="172" spans="24:26" ht="43.5" customHeight="1" x14ac:dyDescent="0.2">
      <c r="X172" s="16"/>
      <c r="Y172" s="16"/>
      <c r="Z172" s="15"/>
    </row>
    <row r="173" spans="24:26" ht="43.5" customHeight="1" x14ac:dyDescent="0.2">
      <c r="X173" s="16"/>
      <c r="Y173" s="16"/>
      <c r="Z173" s="15"/>
    </row>
    <row r="174" spans="24:26" ht="43.5" customHeight="1" x14ac:dyDescent="0.2">
      <c r="X174" s="16"/>
      <c r="Y174" s="16"/>
      <c r="Z174" s="15"/>
    </row>
    <row r="175" spans="24:26" ht="43.5" customHeight="1" x14ac:dyDescent="0.2">
      <c r="X175" s="16"/>
      <c r="Y175" s="16"/>
      <c r="Z175" s="15"/>
    </row>
    <row r="176" spans="24:26" ht="43.5" customHeight="1" x14ac:dyDescent="0.2">
      <c r="X176" s="16"/>
      <c r="Y176" s="16"/>
      <c r="Z176" s="15"/>
    </row>
    <row r="177" spans="24:26" ht="43.5" customHeight="1" x14ac:dyDescent="0.2">
      <c r="X177" s="16"/>
      <c r="Y177" s="16"/>
      <c r="Z177" s="15"/>
    </row>
    <row r="178" spans="24:26" ht="43.5" customHeight="1" x14ac:dyDescent="0.2">
      <c r="X178" s="16"/>
      <c r="Y178" s="16"/>
      <c r="Z178" s="15"/>
    </row>
    <row r="179" spans="24:26" ht="43.5" customHeight="1" x14ac:dyDescent="0.2">
      <c r="X179" s="16"/>
      <c r="Y179" s="16"/>
      <c r="Z179" s="15"/>
    </row>
    <row r="180" spans="24:26" ht="43.5" customHeight="1" x14ac:dyDescent="0.2">
      <c r="X180" s="16"/>
      <c r="Y180" s="16"/>
      <c r="Z180" s="15"/>
    </row>
    <row r="181" spans="24:26" ht="43.5" customHeight="1" x14ac:dyDescent="0.2">
      <c r="X181" s="16"/>
      <c r="Y181" s="16"/>
      <c r="Z181" s="15"/>
    </row>
    <row r="182" spans="24:26" ht="43.5" customHeight="1" x14ac:dyDescent="0.2">
      <c r="X182" s="16"/>
      <c r="Y182" s="16"/>
      <c r="Z182" s="15"/>
    </row>
    <row r="183" spans="24:26" ht="43.5" customHeight="1" x14ac:dyDescent="0.2">
      <c r="X183" s="16"/>
      <c r="Y183" s="16"/>
      <c r="Z183" s="15"/>
    </row>
    <row r="184" spans="24:26" ht="43.5" customHeight="1" x14ac:dyDescent="0.2">
      <c r="X184" s="16"/>
      <c r="Y184" s="16"/>
      <c r="Z184" s="15"/>
    </row>
    <row r="185" spans="24:26" ht="43.5" customHeight="1" x14ac:dyDescent="0.2">
      <c r="X185" s="16"/>
      <c r="Y185" s="16"/>
      <c r="Z185" s="15"/>
    </row>
    <row r="186" spans="24:26" ht="43.5" customHeight="1" x14ac:dyDescent="0.2">
      <c r="X186" s="16"/>
      <c r="Y186" s="16"/>
      <c r="Z186" s="15"/>
    </row>
    <row r="187" spans="24:26" ht="43.5" customHeight="1" x14ac:dyDescent="0.2">
      <c r="X187" s="16"/>
      <c r="Y187" s="16"/>
      <c r="Z187" s="15"/>
    </row>
    <row r="188" spans="24:26" ht="43.5" customHeight="1" x14ac:dyDescent="0.2">
      <c r="X188" s="16"/>
      <c r="Y188" s="16"/>
      <c r="Z188" s="15"/>
    </row>
    <row r="189" spans="24:26" ht="43.5" customHeight="1" x14ac:dyDescent="0.2">
      <c r="X189" s="16"/>
      <c r="Y189" s="16"/>
      <c r="Z189" s="15"/>
    </row>
    <row r="190" spans="24:26" ht="43.5" customHeight="1" x14ac:dyDescent="0.2">
      <c r="X190" s="16"/>
      <c r="Y190" s="16"/>
      <c r="Z190" s="15"/>
    </row>
    <row r="191" spans="24:26" ht="43.5" customHeight="1" x14ac:dyDescent="0.2">
      <c r="X191" s="16"/>
      <c r="Y191" s="16"/>
      <c r="Z191" s="15"/>
    </row>
    <row r="192" spans="24:26" ht="43.5" customHeight="1" x14ac:dyDescent="0.2">
      <c r="X192" s="16"/>
      <c r="Y192" s="16"/>
      <c r="Z192" s="15"/>
    </row>
    <row r="193" spans="24:26" ht="43.5" customHeight="1" x14ac:dyDescent="0.2">
      <c r="X193" s="16"/>
      <c r="Y193" s="16"/>
      <c r="Z193" s="15"/>
    </row>
    <row r="194" spans="24:26" ht="43.5" customHeight="1" x14ac:dyDescent="0.2">
      <c r="X194" s="16"/>
      <c r="Y194" s="16"/>
      <c r="Z194" s="15"/>
    </row>
    <row r="195" spans="24:26" ht="43.5" customHeight="1" x14ac:dyDescent="0.2">
      <c r="X195" s="16"/>
      <c r="Y195" s="16"/>
      <c r="Z195" s="15"/>
    </row>
    <row r="196" spans="24:26" ht="43.5" customHeight="1" x14ac:dyDescent="0.2">
      <c r="X196" s="16"/>
      <c r="Y196" s="16"/>
      <c r="Z196" s="15"/>
    </row>
    <row r="197" spans="24:26" ht="43.5" customHeight="1" x14ac:dyDescent="0.2">
      <c r="X197" s="16"/>
      <c r="Y197" s="16"/>
      <c r="Z197" s="15"/>
    </row>
    <row r="198" spans="24:26" ht="43.5" customHeight="1" x14ac:dyDescent="0.2">
      <c r="X198" s="16"/>
      <c r="Y198" s="16"/>
      <c r="Z198" s="15"/>
    </row>
    <row r="199" spans="24:26" ht="43.5" customHeight="1" x14ac:dyDescent="0.2">
      <c r="X199" s="16"/>
      <c r="Y199" s="16"/>
      <c r="Z199" s="15"/>
    </row>
    <row r="200" spans="24:26" ht="43.5" customHeight="1" x14ac:dyDescent="0.2">
      <c r="X200" s="16"/>
      <c r="Y200" s="16"/>
      <c r="Z200" s="15"/>
    </row>
    <row r="201" spans="24:26" ht="43.5" customHeight="1" x14ac:dyDescent="0.2">
      <c r="X201" s="16"/>
      <c r="Y201" s="16"/>
      <c r="Z201" s="15"/>
    </row>
    <row r="202" spans="24:26" ht="43.5" customHeight="1" x14ac:dyDescent="0.2">
      <c r="X202" s="16"/>
      <c r="Y202" s="16"/>
      <c r="Z202" s="15"/>
    </row>
    <row r="203" spans="24:26" ht="43.5" customHeight="1" x14ac:dyDescent="0.2">
      <c r="X203" s="16"/>
      <c r="Y203" s="16"/>
      <c r="Z203" s="15"/>
    </row>
    <row r="204" spans="24:26" ht="43.5" customHeight="1" x14ac:dyDescent="0.2">
      <c r="X204" s="16"/>
      <c r="Y204" s="16"/>
      <c r="Z204" s="15"/>
    </row>
    <row r="205" spans="24:26" ht="43.5" customHeight="1" x14ac:dyDescent="0.2">
      <c r="X205" s="16"/>
      <c r="Y205" s="16"/>
      <c r="Z205" s="15"/>
    </row>
    <row r="206" spans="24:26" ht="43.5" customHeight="1" x14ac:dyDescent="0.2">
      <c r="X206" s="16"/>
      <c r="Y206" s="16"/>
      <c r="Z206" s="15"/>
    </row>
    <row r="207" spans="24:26" ht="43.5" customHeight="1" x14ac:dyDescent="0.2">
      <c r="X207" s="16"/>
      <c r="Y207" s="16"/>
      <c r="Z207" s="15"/>
    </row>
    <row r="208" spans="24:26" ht="43.5" customHeight="1" x14ac:dyDescent="0.2">
      <c r="X208" s="16"/>
      <c r="Y208" s="16"/>
      <c r="Z208" s="15"/>
    </row>
    <row r="209" spans="24:26" ht="43.5" customHeight="1" x14ac:dyDescent="0.2">
      <c r="X209" s="16"/>
      <c r="Y209" s="16"/>
      <c r="Z209" s="15"/>
    </row>
    <row r="210" spans="24:26" ht="43.5" customHeight="1" x14ac:dyDescent="0.2">
      <c r="X210" s="16"/>
      <c r="Y210" s="16"/>
      <c r="Z210" s="15"/>
    </row>
    <row r="211" spans="24:26" ht="43.5" customHeight="1" x14ac:dyDescent="0.2">
      <c r="X211" s="16"/>
      <c r="Y211" s="16"/>
      <c r="Z211" s="15"/>
    </row>
    <row r="212" spans="24:26" ht="43.5" customHeight="1" x14ac:dyDescent="0.2">
      <c r="X212" s="16"/>
      <c r="Y212" s="16"/>
      <c r="Z212" s="15"/>
    </row>
    <row r="213" spans="24:26" ht="43.5" customHeight="1" x14ac:dyDescent="0.2">
      <c r="X213" s="16"/>
      <c r="Y213" s="16"/>
      <c r="Z213" s="15"/>
    </row>
    <row r="214" spans="24:26" ht="43.5" customHeight="1" x14ac:dyDescent="0.2">
      <c r="X214" s="16"/>
      <c r="Y214" s="16"/>
      <c r="Z214" s="15"/>
    </row>
    <row r="215" spans="24:26" ht="43.5" customHeight="1" x14ac:dyDescent="0.2">
      <c r="X215" s="16"/>
      <c r="Y215" s="16"/>
      <c r="Z215" s="15"/>
    </row>
    <row r="216" spans="24:26" ht="43.5" customHeight="1" x14ac:dyDescent="0.2">
      <c r="X216" s="16"/>
      <c r="Y216" s="16"/>
      <c r="Z216" s="15"/>
    </row>
    <row r="217" spans="24:26" ht="43.5" customHeight="1" x14ac:dyDescent="0.2">
      <c r="X217" s="16"/>
      <c r="Y217" s="16"/>
      <c r="Z217" s="15"/>
    </row>
    <row r="218" spans="24:26" ht="43.5" customHeight="1" x14ac:dyDescent="0.2">
      <c r="X218" s="16"/>
      <c r="Y218" s="16"/>
      <c r="Z218" s="15"/>
    </row>
    <row r="219" spans="24:26" ht="43.5" customHeight="1" x14ac:dyDescent="0.2">
      <c r="X219" s="16"/>
      <c r="Y219" s="16"/>
      <c r="Z219" s="15"/>
    </row>
    <row r="220" spans="24:26" ht="43.5" customHeight="1" x14ac:dyDescent="0.2">
      <c r="X220" s="16"/>
      <c r="Y220" s="16"/>
      <c r="Z220" s="15"/>
    </row>
    <row r="221" spans="24:26" ht="43.5" customHeight="1" x14ac:dyDescent="0.2">
      <c r="X221" s="16"/>
      <c r="Y221" s="16"/>
      <c r="Z221" s="15"/>
    </row>
    <row r="222" spans="24:26" ht="43.5" customHeight="1" x14ac:dyDescent="0.2">
      <c r="X222" s="16"/>
      <c r="Y222" s="16"/>
      <c r="Z222" s="15"/>
    </row>
    <row r="223" spans="24:26" ht="43.5" customHeight="1" x14ac:dyDescent="0.2">
      <c r="X223" s="16"/>
      <c r="Y223" s="16"/>
      <c r="Z223" s="15"/>
    </row>
    <row r="224" spans="24:26" ht="43.5" customHeight="1" x14ac:dyDescent="0.2">
      <c r="X224" s="16"/>
      <c r="Y224" s="16"/>
      <c r="Z224" s="15"/>
    </row>
    <row r="225" spans="24:26" ht="43.5" customHeight="1" x14ac:dyDescent="0.2">
      <c r="X225" s="16"/>
      <c r="Y225" s="16"/>
      <c r="Z225" s="15"/>
    </row>
    <row r="226" spans="24:26" ht="43.5" customHeight="1" x14ac:dyDescent="0.2">
      <c r="X226" s="16"/>
      <c r="Y226" s="16"/>
      <c r="Z226" s="15"/>
    </row>
    <row r="227" spans="24:26" ht="43.5" customHeight="1" x14ac:dyDescent="0.2">
      <c r="X227" s="16"/>
      <c r="Y227" s="16"/>
      <c r="Z227" s="15"/>
    </row>
    <row r="228" spans="24:26" ht="43.5" customHeight="1" x14ac:dyDescent="0.2">
      <c r="X228" s="16"/>
      <c r="Y228" s="16"/>
      <c r="Z228" s="15"/>
    </row>
    <row r="229" spans="24:26" ht="43.5" customHeight="1" x14ac:dyDescent="0.2">
      <c r="X229" s="16"/>
      <c r="Y229" s="16"/>
      <c r="Z229" s="15"/>
    </row>
    <row r="230" spans="24:26" ht="43.5" customHeight="1" x14ac:dyDescent="0.2">
      <c r="X230" s="16"/>
      <c r="Y230" s="16"/>
      <c r="Z230" s="15"/>
    </row>
    <row r="231" spans="24:26" ht="43.5" customHeight="1" x14ac:dyDescent="0.2">
      <c r="X231" s="16"/>
      <c r="Y231" s="16"/>
      <c r="Z231" s="15"/>
    </row>
    <row r="232" spans="24:26" ht="43.5" customHeight="1" x14ac:dyDescent="0.2">
      <c r="X232" s="16"/>
      <c r="Y232" s="16"/>
      <c r="Z232" s="15"/>
    </row>
    <row r="233" spans="24:26" ht="43.5" customHeight="1" x14ac:dyDescent="0.2">
      <c r="X233" s="16"/>
      <c r="Y233" s="16"/>
      <c r="Z233" s="15"/>
    </row>
    <row r="234" spans="24:26" ht="43.5" customHeight="1" x14ac:dyDescent="0.2">
      <c r="X234" s="16"/>
      <c r="Y234" s="16"/>
      <c r="Z234" s="15"/>
    </row>
    <row r="235" spans="24:26" ht="43.5" customHeight="1" x14ac:dyDescent="0.2">
      <c r="X235" s="16"/>
      <c r="Y235" s="16"/>
      <c r="Z235" s="15"/>
    </row>
    <row r="236" spans="24:26" ht="43.5" customHeight="1" x14ac:dyDescent="0.2">
      <c r="X236" s="16"/>
      <c r="Y236" s="16"/>
      <c r="Z236" s="15"/>
    </row>
    <row r="237" spans="24:26" ht="43.5" customHeight="1" x14ac:dyDescent="0.2">
      <c r="X237" s="16"/>
      <c r="Y237" s="16"/>
      <c r="Z237" s="15"/>
    </row>
    <row r="238" spans="24:26" ht="43.5" customHeight="1" x14ac:dyDescent="0.2">
      <c r="X238" s="16"/>
      <c r="Y238" s="16"/>
      <c r="Z238" s="15"/>
    </row>
    <row r="239" spans="24:26" ht="43.5" customHeight="1" x14ac:dyDescent="0.2">
      <c r="X239" s="16"/>
      <c r="Y239" s="16"/>
      <c r="Z239" s="15"/>
    </row>
    <row r="240" spans="24:26" ht="43.5" customHeight="1" x14ac:dyDescent="0.2">
      <c r="X240" s="16"/>
      <c r="Y240" s="16"/>
      <c r="Z240" s="15"/>
    </row>
    <row r="241" spans="24:26" ht="43.5" customHeight="1" x14ac:dyDescent="0.2">
      <c r="X241" s="16"/>
      <c r="Y241" s="16"/>
      <c r="Z241" s="15"/>
    </row>
    <row r="242" spans="24:26" ht="43.5" customHeight="1" x14ac:dyDescent="0.2">
      <c r="X242" s="16"/>
      <c r="Y242" s="16"/>
      <c r="Z242" s="15"/>
    </row>
    <row r="243" spans="24:26" ht="43.5" customHeight="1" x14ac:dyDescent="0.2">
      <c r="X243" s="16"/>
      <c r="Y243" s="16"/>
      <c r="Z243" s="15"/>
    </row>
    <row r="244" spans="24:26" ht="43.5" customHeight="1" x14ac:dyDescent="0.2">
      <c r="X244" s="16"/>
      <c r="Y244" s="16"/>
      <c r="Z244" s="15"/>
    </row>
    <row r="245" spans="24:26" ht="43.5" customHeight="1" x14ac:dyDescent="0.2">
      <c r="X245" s="16"/>
      <c r="Y245" s="16"/>
      <c r="Z245" s="15"/>
    </row>
    <row r="246" spans="24:26" ht="43.5" customHeight="1" x14ac:dyDescent="0.2">
      <c r="X246" s="16"/>
      <c r="Y246" s="16"/>
      <c r="Z246" s="15"/>
    </row>
    <row r="247" spans="24:26" ht="43.5" customHeight="1" x14ac:dyDescent="0.2">
      <c r="X247" s="16"/>
      <c r="Y247" s="16"/>
      <c r="Z247" s="15"/>
    </row>
    <row r="248" spans="24:26" ht="43.5" customHeight="1" x14ac:dyDescent="0.2">
      <c r="X248" s="16"/>
      <c r="Y248" s="16"/>
      <c r="Z248" s="15"/>
    </row>
    <row r="249" spans="24:26" ht="43.5" customHeight="1" x14ac:dyDescent="0.2">
      <c r="X249" s="16"/>
      <c r="Y249" s="16"/>
      <c r="Z249" s="15"/>
    </row>
    <row r="250" spans="24:26" ht="43.5" customHeight="1" x14ac:dyDescent="0.2">
      <c r="X250" s="16"/>
      <c r="Y250" s="16"/>
      <c r="Z250" s="15"/>
    </row>
    <row r="251" spans="24:26" ht="43.5" customHeight="1" x14ac:dyDescent="0.2">
      <c r="X251" s="16"/>
      <c r="Y251" s="16"/>
      <c r="Z251" s="15"/>
    </row>
    <row r="252" spans="24:26" ht="43.5" customHeight="1" x14ac:dyDescent="0.2">
      <c r="X252" s="16"/>
      <c r="Y252" s="16"/>
      <c r="Z252" s="15"/>
    </row>
    <row r="253" spans="24:26" ht="43.5" customHeight="1" x14ac:dyDescent="0.2">
      <c r="X253" s="16"/>
      <c r="Y253" s="16"/>
      <c r="Z253" s="15"/>
    </row>
    <row r="254" spans="24:26" ht="43.5" customHeight="1" x14ac:dyDescent="0.2">
      <c r="X254" s="16"/>
      <c r="Y254" s="16"/>
      <c r="Z254" s="15"/>
    </row>
    <row r="255" spans="24:26" ht="43.5" customHeight="1" x14ac:dyDescent="0.2">
      <c r="X255" s="16"/>
      <c r="Y255" s="16"/>
      <c r="Z255" s="15"/>
    </row>
    <row r="256" spans="24:26" ht="43.5" customHeight="1" x14ac:dyDescent="0.2">
      <c r="X256" s="16"/>
      <c r="Y256" s="16"/>
      <c r="Z256" s="15"/>
    </row>
    <row r="257" spans="24:26" ht="43.5" customHeight="1" x14ac:dyDescent="0.2">
      <c r="X257" s="16"/>
      <c r="Y257" s="16"/>
      <c r="Z257" s="15"/>
    </row>
    <row r="258" spans="24:26" ht="43.5" customHeight="1" x14ac:dyDescent="0.2">
      <c r="X258" s="16"/>
      <c r="Y258" s="16"/>
      <c r="Z258" s="15"/>
    </row>
    <row r="259" spans="24:26" ht="43.5" customHeight="1" x14ac:dyDescent="0.2">
      <c r="X259" s="16"/>
      <c r="Y259" s="16"/>
      <c r="Z259" s="15"/>
    </row>
    <row r="260" spans="24:26" ht="43.5" customHeight="1" x14ac:dyDescent="0.2">
      <c r="X260" s="16"/>
      <c r="Y260" s="16"/>
      <c r="Z260" s="15"/>
    </row>
    <row r="261" spans="24:26" ht="43.5" customHeight="1" x14ac:dyDescent="0.2">
      <c r="X261" s="16"/>
      <c r="Y261" s="16"/>
      <c r="Z261" s="15"/>
    </row>
    <row r="262" spans="24:26" ht="43.5" customHeight="1" x14ac:dyDescent="0.2">
      <c r="X262" s="16"/>
      <c r="Y262" s="16"/>
      <c r="Z262" s="15"/>
    </row>
    <row r="263" spans="24:26" ht="43.5" customHeight="1" x14ac:dyDescent="0.2">
      <c r="X263" s="16"/>
      <c r="Y263" s="16"/>
      <c r="Z263" s="15"/>
    </row>
    <row r="264" spans="24:26" ht="43.5" customHeight="1" x14ac:dyDescent="0.2">
      <c r="X264" s="16"/>
      <c r="Y264" s="16"/>
      <c r="Z264" s="15"/>
    </row>
    <row r="265" spans="24:26" ht="43.5" customHeight="1" x14ac:dyDescent="0.2">
      <c r="X265" s="16"/>
      <c r="Y265" s="16"/>
      <c r="Z265" s="15"/>
    </row>
    <row r="266" spans="24:26" ht="43.5" customHeight="1" x14ac:dyDescent="0.2">
      <c r="X266" s="16"/>
      <c r="Y266" s="16"/>
      <c r="Z266" s="15"/>
    </row>
    <row r="267" spans="24:26" ht="43.5" customHeight="1" x14ac:dyDescent="0.2">
      <c r="X267" s="16"/>
      <c r="Y267" s="16"/>
      <c r="Z267" s="15"/>
    </row>
    <row r="268" spans="24:26" ht="43.5" customHeight="1" x14ac:dyDescent="0.2">
      <c r="X268" s="16"/>
      <c r="Y268" s="16"/>
      <c r="Z268" s="15"/>
    </row>
    <row r="269" spans="24:26" ht="43.5" customHeight="1" x14ac:dyDescent="0.2">
      <c r="X269" s="16"/>
      <c r="Y269" s="16"/>
      <c r="Z269" s="15"/>
    </row>
    <row r="270" spans="24:26" ht="43.5" customHeight="1" x14ac:dyDescent="0.2">
      <c r="X270" s="16"/>
      <c r="Y270" s="16"/>
      <c r="Z270" s="15"/>
    </row>
    <row r="271" spans="24:26" ht="43.5" customHeight="1" x14ac:dyDescent="0.2">
      <c r="X271" s="16"/>
      <c r="Y271" s="16"/>
      <c r="Z271" s="15"/>
    </row>
    <row r="272" spans="24:26" ht="43.5" customHeight="1" x14ac:dyDescent="0.2">
      <c r="X272" s="16"/>
      <c r="Y272" s="16"/>
      <c r="Z272" s="15"/>
    </row>
    <row r="273" spans="24:26" ht="43.5" customHeight="1" x14ac:dyDescent="0.2">
      <c r="X273" s="16"/>
      <c r="Y273" s="16"/>
      <c r="Z273" s="15"/>
    </row>
    <row r="274" spans="24:26" ht="43.5" customHeight="1" x14ac:dyDescent="0.2">
      <c r="X274" s="16"/>
      <c r="Y274" s="16"/>
      <c r="Z274" s="15"/>
    </row>
    <row r="275" spans="24:26" ht="43.5" customHeight="1" x14ac:dyDescent="0.2">
      <c r="X275" s="16"/>
      <c r="Y275" s="16"/>
      <c r="Z275" s="15"/>
    </row>
    <row r="276" spans="24:26" ht="43.5" customHeight="1" x14ac:dyDescent="0.2">
      <c r="X276" s="16"/>
      <c r="Y276" s="16"/>
      <c r="Z276" s="15"/>
    </row>
    <row r="277" spans="24:26" ht="43.5" customHeight="1" x14ac:dyDescent="0.2">
      <c r="X277" s="16"/>
      <c r="Y277" s="16"/>
      <c r="Z277" s="15"/>
    </row>
    <row r="278" spans="24:26" ht="43.5" customHeight="1" x14ac:dyDescent="0.2">
      <c r="X278" s="16"/>
      <c r="Y278" s="16"/>
      <c r="Z278" s="15"/>
    </row>
    <row r="279" spans="24:26" ht="43.5" customHeight="1" x14ac:dyDescent="0.2">
      <c r="X279" s="16"/>
      <c r="Y279" s="16"/>
      <c r="Z279" s="15"/>
    </row>
    <row r="280" spans="24:26" ht="43.5" customHeight="1" x14ac:dyDescent="0.2">
      <c r="X280" s="16"/>
      <c r="Y280" s="16"/>
      <c r="Z280" s="15"/>
    </row>
    <row r="281" spans="24:26" ht="43.5" customHeight="1" x14ac:dyDescent="0.2">
      <c r="X281" s="16"/>
      <c r="Y281" s="16"/>
      <c r="Z281" s="15"/>
    </row>
    <row r="282" spans="24:26" ht="43.5" customHeight="1" x14ac:dyDescent="0.2">
      <c r="X282" s="16"/>
      <c r="Y282" s="16"/>
      <c r="Z282" s="15"/>
    </row>
    <row r="283" spans="24:26" ht="43.5" customHeight="1" x14ac:dyDescent="0.2">
      <c r="X283" s="16"/>
      <c r="Y283" s="16"/>
      <c r="Z283" s="15"/>
    </row>
    <row r="284" spans="24:26" ht="43.5" customHeight="1" x14ac:dyDescent="0.2">
      <c r="X284" s="16"/>
      <c r="Y284" s="16"/>
      <c r="Z284" s="15"/>
    </row>
    <row r="285" spans="24:26" ht="43.5" customHeight="1" x14ac:dyDescent="0.2">
      <c r="X285" s="16"/>
      <c r="Y285" s="16"/>
      <c r="Z285" s="15"/>
    </row>
    <row r="286" spans="24:26" ht="43.5" customHeight="1" x14ac:dyDescent="0.2">
      <c r="X286" s="16"/>
      <c r="Y286" s="16"/>
      <c r="Z286" s="15"/>
    </row>
    <row r="287" spans="24:26" ht="43.5" customHeight="1" x14ac:dyDescent="0.2">
      <c r="X287" s="16"/>
      <c r="Y287" s="16"/>
      <c r="Z287" s="15"/>
    </row>
    <row r="288" spans="24:26" ht="43.5" customHeight="1" x14ac:dyDescent="0.2">
      <c r="X288" s="16"/>
      <c r="Y288" s="16"/>
      <c r="Z288" s="15"/>
    </row>
    <row r="289" spans="24:26" ht="43.5" customHeight="1" x14ac:dyDescent="0.2">
      <c r="X289" s="16"/>
      <c r="Y289" s="16"/>
      <c r="Z289" s="15"/>
    </row>
    <row r="290" spans="24:26" ht="43.5" customHeight="1" x14ac:dyDescent="0.2">
      <c r="X290" s="16"/>
      <c r="Y290" s="16"/>
      <c r="Z290" s="15"/>
    </row>
    <row r="291" spans="24:26" ht="43.5" customHeight="1" x14ac:dyDescent="0.2">
      <c r="X291" s="16"/>
      <c r="Y291" s="16"/>
      <c r="Z291" s="15"/>
    </row>
    <row r="292" spans="24:26" ht="43.5" customHeight="1" x14ac:dyDescent="0.2">
      <c r="X292" s="16"/>
      <c r="Y292" s="16"/>
      <c r="Z292" s="15"/>
    </row>
    <row r="293" spans="24:26" ht="43.5" customHeight="1" x14ac:dyDescent="0.2">
      <c r="X293" s="16"/>
      <c r="Y293" s="16"/>
      <c r="Z293" s="15"/>
    </row>
    <row r="294" spans="24:26" ht="43.5" customHeight="1" x14ac:dyDescent="0.2">
      <c r="X294" s="16"/>
      <c r="Y294" s="16"/>
      <c r="Z294" s="15"/>
    </row>
    <row r="295" spans="24:26" ht="43.5" customHeight="1" x14ac:dyDescent="0.2">
      <c r="X295" s="16"/>
      <c r="Y295" s="16"/>
      <c r="Z295" s="15"/>
    </row>
    <row r="296" spans="24:26" ht="43.5" customHeight="1" x14ac:dyDescent="0.2">
      <c r="X296" s="16"/>
      <c r="Y296" s="16"/>
      <c r="Z296" s="15"/>
    </row>
    <row r="297" spans="24:26" ht="43.5" customHeight="1" x14ac:dyDescent="0.2">
      <c r="X297" s="16"/>
      <c r="Y297" s="16"/>
      <c r="Z297" s="15"/>
    </row>
    <row r="298" spans="24:26" ht="43.5" customHeight="1" x14ac:dyDescent="0.2">
      <c r="X298" s="16"/>
      <c r="Y298" s="16"/>
      <c r="Z298" s="15"/>
    </row>
    <row r="299" spans="24:26" ht="43.5" customHeight="1" x14ac:dyDescent="0.2">
      <c r="X299" s="16"/>
      <c r="Y299" s="16"/>
      <c r="Z299" s="15"/>
    </row>
    <row r="300" spans="24:26" ht="43.5" customHeight="1" x14ac:dyDescent="0.2">
      <c r="X300" s="16"/>
      <c r="Y300" s="16"/>
      <c r="Z300" s="15"/>
    </row>
    <row r="301" spans="24:26" ht="43.5" customHeight="1" x14ac:dyDescent="0.2">
      <c r="X301" s="16"/>
      <c r="Y301" s="16"/>
      <c r="Z301" s="15"/>
    </row>
    <row r="302" spans="24:26" ht="43.5" customHeight="1" x14ac:dyDescent="0.2">
      <c r="X302" s="16"/>
      <c r="Y302" s="16"/>
      <c r="Z302" s="15"/>
    </row>
    <row r="303" spans="24:26" ht="43.5" customHeight="1" x14ac:dyDescent="0.2">
      <c r="X303" s="16"/>
      <c r="Y303" s="16"/>
      <c r="Z303" s="15"/>
    </row>
    <row r="304" spans="24:26" ht="43.5" customHeight="1" x14ac:dyDescent="0.2">
      <c r="X304" s="16"/>
      <c r="Y304" s="16"/>
      <c r="Z304" s="15"/>
    </row>
    <row r="305" spans="24:26" ht="43.5" customHeight="1" x14ac:dyDescent="0.2">
      <c r="X305" s="16"/>
      <c r="Y305" s="16"/>
      <c r="Z305" s="15"/>
    </row>
    <row r="306" spans="24:26" ht="43.5" customHeight="1" x14ac:dyDescent="0.2">
      <c r="X306" s="16"/>
      <c r="Y306" s="16"/>
      <c r="Z306" s="15"/>
    </row>
    <row r="307" spans="24:26" ht="43.5" customHeight="1" x14ac:dyDescent="0.2">
      <c r="X307" s="16"/>
      <c r="Y307" s="16"/>
      <c r="Z307" s="15"/>
    </row>
    <row r="308" spans="24:26" ht="43.5" customHeight="1" x14ac:dyDescent="0.2">
      <c r="X308" s="16"/>
      <c r="Y308" s="16"/>
      <c r="Z308" s="15"/>
    </row>
    <row r="309" spans="24:26" ht="43.5" customHeight="1" x14ac:dyDescent="0.2">
      <c r="X309" s="16"/>
      <c r="Y309" s="16"/>
      <c r="Z309" s="15"/>
    </row>
    <row r="310" spans="24:26" ht="43.5" customHeight="1" x14ac:dyDescent="0.2">
      <c r="X310" s="16"/>
      <c r="Y310" s="16"/>
      <c r="Z310" s="15"/>
    </row>
    <row r="311" spans="24:26" ht="43.5" customHeight="1" x14ac:dyDescent="0.2">
      <c r="X311" s="16"/>
      <c r="Y311" s="16"/>
      <c r="Z311" s="15"/>
    </row>
    <row r="312" spans="24:26" ht="43.5" customHeight="1" x14ac:dyDescent="0.2">
      <c r="X312" s="16"/>
      <c r="Y312" s="16"/>
      <c r="Z312" s="15"/>
    </row>
    <row r="313" spans="24:26" ht="43.5" customHeight="1" x14ac:dyDescent="0.2">
      <c r="X313" s="16"/>
      <c r="Y313" s="16"/>
      <c r="Z313" s="15"/>
    </row>
    <row r="314" spans="24:26" ht="43.5" customHeight="1" x14ac:dyDescent="0.2">
      <c r="X314" s="16"/>
      <c r="Y314" s="16"/>
      <c r="Z314" s="15"/>
    </row>
    <row r="315" spans="24:26" ht="43.5" customHeight="1" x14ac:dyDescent="0.2">
      <c r="X315" s="16"/>
      <c r="Y315" s="16"/>
      <c r="Z315" s="15"/>
    </row>
    <row r="316" spans="24:26" ht="43.5" customHeight="1" x14ac:dyDescent="0.2">
      <c r="X316" s="16"/>
      <c r="Y316" s="16"/>
      <c r="Z316" s="15"/>
    </row>
    <row r="317" spans="24:26" ht="43.5" customHeight="1" x14ac:dyDescent="0.2">
      <c r="X317" s="16"/>
      <c r="Y317" s="16"/>
      <c r="Z317" s="15"/>
    </row>
    <row r="318" spans="24:26" ht="43.5" customHeight="1" x14ac:dyDescent="0.2">
      <c r="X318" s="16"/>
      <c r="Y318" s="16"/>
      <c r="Z318" s="15"/>
    </row>
    <row r="319" spans="24:26" ht="43.5" customHeight="1" x14ac:dyDescent="0.2">
      <c r="X319" s="16"/>
      <c r="Y319" s="16"/>
      <c r="Z319" s="15"/>
    </row>
    <row r="320" spans="24:26" ht="43.5" customHeight="1" x14ac:dyDescent="0.2">
      <c r="X320" s="16"/>
      <c r="Y320" s="16"/>
      <c r="Z320" s="15"/>
    </row>
    <row r="321" spans="24:26" ht="43.5" customHeight="1" x14ac:dyDescent="0.2">
      <c r="X321" s="16"/>
      <c r="Y321" s="16"/>
      <c r="Z321" s="15"/>
    </row>
    <row r="322" spans="24:26" ht="43.5" customHeight="1" x14ac:dyDescent="0.2">
      <c r="X322" s="16"/>
      <c r="Y322" s="16"/>
      <c r="Z322" s="15"/>
    </row>
    <row r="323" spans="24:26" ht="43.5" customHeight="1" x14ac:dyDescent="0.2">
      <c r="X323" s="16"/>
      <c r="Y323" s="16"/>
      <c r="Z323" s="15"/>
    </row>
    <row r="324" spans="24:26" ht="43.5" customHeight="1" x14ac:dyDescent="0.2">
      <c r="X324" s="16"/>
      <c r="Y324" s="16"/>
      <c r="Z324" s="15"/>
    </row>
    <row r="325" spans="24:26" ht="43.5" customHeight="1" x14ac:dyDescent="0.2">
      <c r="X325" s="16"/>
      <c r="Y325" s="16"/>
      <c r="Z325" s="15"/>
    </row>
    <row r="326" spans="24:26" ht="43.5" customHeight="1" x14ac:dyDescent="0.2">
      <c r="X326" s="16"/>
      <c r="Y326" s="16"/>
      <c r="Z326" s="15"/>
    </row>
    <row r="327" spans="24:26" ht="43.5" customHeight="1" x14ac:dyDescent="0.2">
      <c r="X327" s="16"/>
      <c r="Y327" s="16"/>
      <c r="Z327" s="15"/>
    </row>
    <row r="328" spans="24:26" ht="43.5" customHeight="1" x14ac:dyDescent="0.2">
      <c r="X328" s="16"/>
      <c r="Y328" s="16"/>
      <c r="Z328" s="15"/>
    </row>
    <row r="329" spans="24:26" ht="43.5" customHeight="1" x14ac:dyDescent="0.2">
      <c r="X329" s="16"/>
      <c r="Y329" s="16"/>
      <c r="Z329" s="15"/>
    </row>
    <row r="330" spans="24:26" ht="43.5" customHeight="1" x14ac:dyDescent="0.2">
      <c r="X330" s="16"/>
      <c r="Y330" s="16"/>
      <c r="Z330" s="15"/>
    </row>
    <row r="331" spans="24:26" ht="43.5" customHeight="1" x14ac:dyDescent="0.2">
      <c r="X331" s="16"/>
      <c r="Y331" s="16"/>
      <c r="Z331" s="15"/>
    </row>
    <row r="332" spans="24:26" ht="43.5" customHeight="1" x14ac:dyDescent="0.2">
      <c r="X332" s="16"/>
      <c r="Y332" s="16"/>
      <c r="Z332" s="15"/>
    </row>
    <row r="333" spans="24:26" ht="43.5" customHeight="1" x14ac:dyDescent="0.2">
      <c r="X333" s="16"/>
      <c r="Y333" s="16"/>
      <c r="Z333" s="15"/>
    </row>
    <row r="334" spans="24:26" ht="43.5" customHeight="1" x14ac:dyDescent="0.2">
      <c r="X334" s="16"/>
      <c r="Y334" s="16"/>
      <c r="Z334" s="15"/>
    </row>
    <row r="335" spans="24:26" ht="43.5" customHeight="1" x14ac:dyDescent="0.2">
      <c r="X335" s="16"/>
      <c r="Y335" s="16"/>
      <c r="Z335" s="15"/>
    </row>
    <row r="336" spans="24:26" ht="43.5" customHeight="1" x14ac:dyDescent="0.2">
      <c r="X336" s="16"/>
      <c r="Y336" s="16"/>
      <c r="Z336" s="15"/>
    </row>
    <row r="337" spans="24:26" ht="43.5" customHeight="1" x14ac:dyDescent="0.2">
      <c r="X337" s="16"/>
      <c r="Y337" s="16"/>
      <c r="Z337" s="15"/>
    </row>
    <row r="338" spans="24:26" ht="43.5" customHeight="1" x14ac:dyDescent="0.2">
      <c r="X338" s="16"/>
      <c r="Y338" s="16"/>
      <c r="Z338" s="15"/>
    </row>
    <row r="339" spans="24:26" ht="43.5" customHeight="1" x14ac:dyDescent="0.2">
      <c r="X339" s="16"/>
      <c r="Y339" s="16"/>
      <c r="Z339" s="15"/>
    </row>
    <row r="340" spans="24:26" ht="43.5" customHeight="1" x14ac:dyDescent="0.2">
      <c r="X340" s="16"/>
      <c r="Y340" s="16"/>
      <c r="Z340" s="15"/>
    </row>
    <row r="341" spans="24:26" ht="43.5" customHeight="1" x14ac:dyDescent="0.2">
      <c r="X341" s="16"/>
      <c r="Y341" s="16"/>
      <c r="Z341" s="15"/>
    </row>
    <row r="342" spans="24:26" ht="43.5" customHeight="1" x14ac:dyDescent="0.2">
      <c r="X342" s="16"/>
      <c r="Y342" s="16"/>
      <c r="Z342" s="15"/>
    </row>
    <row r="343" spans="24:26" ht="43.5" customHeight="1" x14ac:dyDescent="0.2">
      <c r="X343" s="16"/>
      <c r="Y343" s="16"/>
      <c r="Z343" s="15"/>
    </row>
    <row r="344" spans="24:26" ht="43.5" customHeight="1" x14ac:dyDescent="0.2">
      <c r="X344" s="16"/>
      <c r="Y344" s="16"/>
      <c r="Z344" s="15"/>
    </row>
    <row r="345" spans="24:26" ht="43.5" customHeight="1" x14ac:dyDescent="0.2">
      <c r="X345" s="16"/>
      <c r="Y345" s="16"/>
      <c r="Z345" s="15"/>
    </row>
    <row r="346" spans="24:26" ht="43.5" customHeight="1" x14ac:dyDescent="0.2">
      <c r="X346" s="16"/>
      <c r="Y346" s="16"/>
      <c r="Z346" s="15"/>
    </row>
    <row r="347" spans="24:26" ht="43.5" customHeight="1" x14ac:dyDescent="0.2">
      <c r="X347" s="16"/>
      <c r="Y347" s="16"/>
      <c r="Z347" s="15"/>
    </row>
    <row r="348" spans="24:26" ht="43.5" customHeight="1" x14ac:dyDescent="0.2">
      <c r="X348" s="16"/>
      <c r="Y348" s="16"/>
      <c r="Z348" s="15"/>
    </row>
    <row r="349" spans="24:26" ht="43.5" customHeight="1" x14ac:dyDescent="0.2">
      <c r="X349" s="16"/>
      <c r="Y349" s="16"/>
      <c r="Z349" s="15"/>
    </row>
    <row r="350" spans="24:26" ht="43.5" customHeight="1" x14ac:dyDescent="0.2">
      <c r="X350" s="16"/>
      <c r="Y350" s="16"/>
      <c r="Z350" s="15"/>
    </row>
    <row r="351" spans="24:26" ht="43.5" customHeight="1" x14ac:dyDescent="0.2">
      <c r="X351" s="16"/>
      <c r="Y351" s="16"/>
      <c r="Z351" s="15"/>
    </row>
    <row r="352" spans="24:26" ht="43.5" customHeight="1" x14ac:dyDescent="0.2">
      <c r="X352" s="16"/>
      <c r="Y352" s="16"/>
      <c r="Z352" s="15"/>
    </row>
    <row r="353" spans="24:26" ht="43.5" customHeight="1" x14ac:dyDescent="0.2">
      <c r="X353" s="16"/>
      <c r="Y353" s="16"/>
      <c r="Z353" s="15"/>
    </row>
    <row r="354" spans="24:26" ht="43.5" customHeight="1" x14ac:dyDescent="0.2">
      <c r="X354" s="16"/>
      <c r="Y354" s="16"/>
      <c r="Z354" s="15"/>
    </row>
    <row r="355" spans="24:26" ht="43.5" customHeight="1" x14ac:dyDescent="0.2">
      <c r="X355" s="16"/>
      <c r="Y355" s="16"/>
      <c r="Z355" s="15"/>
    </row>
    <row r="356" spans="24:26" ht="43.5" customHeight="1" x14ac:dyDescent="0.2">
      <c r="X356" s="16"/>
      <c r="Y356" s="16"/>
      <c r="Z356" s="15"/>
    </row>
    <row r="357" spans="24:26" ht="43.5" customHeight="1" x14ac:dyDescent="0.2">
      <c r="X357" s="16"/>
      <c r="Y357" s="16"/>
      <c r="Z357" s="15"/>
    </row>
    <row r="358" spans="24:26" ht="43.5" customHeight="1" x14ac:dyDescent="0.2">
      <c r="X358" s="16"/>
      <c r="Y358" s="16"/>
      <c r="Z358" s="15"/>
    </row>
    <row r="359" spans="24:26" ht="43.5" customHeight="1" x14ac:dyDescent="0.2">
      <c r="X359" s="16"/>
      <c r="Y359" s="16"/>
      <c r="Z359" s="15"/>
    </row>
    <row r="360" spans="24:26" ht="43.5" customHeight="1" x14ac:dyDescent="0.2">
      <c r="X360" s="16"/>
      <c r="Y360" s="16"/>
      <c r="Z360" s="15"/>
    </row>
    <row r="361" spans="24:26" ht="43.5" customHeight="1" x14ac:dyDescent="0.2">
      <c r="X361" s="16"/>
      <c r="Y361" s="16"/>
      <c r="Z361" s="15"/>
    </row>
    <row r="362" spans="24:26" ht="43.5" customHeight="1" x14ac:dyDescent="0.2">
      <c r="X362" s="16"/>
      <c r="Y362" s="16"/>
      <c r="Z362" s="15"/>
    </row>
    <row r="363" spans="24:26" ht="43.5" customHeight="1" x14ac:dyDescent="0.2">
      <c r="X363" s="16"/>
      <c r="Y363" s="16"/>
      <c r="Z363" s="15"/>
    </row>
    <row r="364" spans="24:26" ht="43.5" customHeight="1" x14ac:dyDescent="0.2">
      <c r="X364" s="16"/>
      <c r="Y364" s="16"/>
      <c r="Z364" s="15"/>
    </row>
    <row r="365" spans="24:26" ht="43.5" customHeight="1" x14ac:dyDescent="0.2">
      <c r="X365" s="16"/>
      <c r="Y365" s="16"/>
      <c r="Z365" s="15"/>
    </row>
    <row r="366" spans="24:26" ht="43.5" customHeight="1" x14ac:dyDescent="0.2">
      <c r="X366" s="16"/>
      <c r="Y366" s="16"/>
      <c r="Z366" s="15"/>
    </row>
    <row r="367" spans="24:26" ht="43.5" customHeight="1" x14ac:dyDescent="0.2">
      <c r="X367" s="16"/>
      <c r="Y367" s="16"/>
      <c r="Z367" s="15"/>
    </row>
    <row r="368" spans="24:26" ht="43.5" customHeight="1" x14ac:dyDescent="0.2">
      <c r="X368" s="16"/>
      <c r="Y368" s="16"/>
      <c r="Z368" s="15"/>
    </row>
    <row r="369" spans="24:26" ht="43.5" customHeight="1" x14ac:dyDescent="0.2">
      <c r="X369" s="16"/>
      <c r="Y369" s="16"/>
      <c r="Z369" s="15"/>
    </row>
    <row r="370" spans="24:26" ht="43.5" customHeight="1" x14ac:dyDescent="0.2">
      <c r="X370" s="16"/>
      <c r="Y370" s="16"/>
      <c r="Z370" s="15"/>
    </row>
    <row r="371" spans="24:26" ht="43.5" customHeight="1" x14ac:dyDescent="0.2">
      <c r="X371" s="16"/>
      <c r="Y371" s="16"/>
      <c r="Z371" s="15"/>
    </row>
    <row r="372" spans="24:26" ht="43.5" customHeight="1" x14ac:dyDescent="0.2">
      <c r="X372" s="16"/>
      <c r="Y372" s="16"/>
      <c r="Z372" s="15"/>
    </row>
    <row r="373" spans="24:26" ht="43.5" customHeight="1" x14ac:dyDescent="0.2">
      <c r="X373" s="16"/>
      <c r="Y373" s="16"/>
      <c r="Z373" s="15"/>
    </row>
    <row r="374" spans="24:26" ht="43.5" customHeight="1" x14ac:dyDescent="0.2">
      <c r="X374" s="16"/>
      <c r="Y374" s="16"/>
      <c r="Z374" s="15"/>
    </row>
    <row r="375" spans="24:26" ht="43.5" customHeight="1" x14ac:dyDescent="0.2">
      <c r="X375" s="16"/>
      <c r="Y375" s="16"/>
      <c r="Z375" s="15"/>
    </row>
    <row r="376" spans="24:26" ht="43.5" customHeight="1" x14ac:dyDescent="0.2">
      <c r="X376" s="16"/>
      <c r="Y376" s="16"/>
      <c r="Z376" s="15"/>
    </row>
    <row r="377" spans="24:26" ht="43.5" customHeight="1" x14ac:dyDescent="0.2">
      <c r="X377" s="16"/>
      <c r="Y377" s="16"/>
      <c r="Z377" s="15"/>
    </row>
    <row r="378" spans="24:26" ht="43.5" customHeight="1" x14ac:dyDescent="0.2">
      <c r="X378" s="16"/>
      <c r="Y378" s="16"/>
      <c r="Z378" s="15"/>
    </row>
    <row r="379" spans="24:26" ht="43.5" customHeight="1" x14ac:dyDescent="0.2">
      <c r="X379" s="16"/>
      <c r="Y379" s="16"/>
      <c r="Z379" s="15"/>
    </row>
    <row r="380" spans="24:26" ht="43.5" customHeight="1" x14ac:dyDescent="0.2">
      <c r="X380" s="16"/>
      <c r="Y380" s="16"/>
      <c r="Z380" s="15"/>
    </row>
    <row r="381" spans="24:26" ht="43.5" customHeight="1" x14ac:dyDescent="0.2">
      <c r="X381" s="16"/>
      <c r="Y381" s="16"/>
      <c r="Z381" s="15"/>
    </row>
    <row r="382" spans="24:26" ht="43.5" customHeight="1" x14ac:dyDescent="0.2">
      <c r="X382" s="16"/>
      <c r="Y382" s="16"/>
      <c r="Z382" s="15"/>
    </row>
    <row r="383" spans="24:26" ht="43.5" customHeight="1" x14ac:dyDescent="0.2">
      <c r="X383" s="16"/>
      <c r="Y383" s="16"/>
      <c r="Z383" s="15"/>
    </row>
    <row r="384" spans="24:26" ht="43.5" customHeight="1" x14ac:dyDescent="0.2">
      <c r="X384" s="16"/>
      <c r="Y384" s="16"/>
      <c r="Z384" s="15"/>
    </row>
    <row r="385" spans="24:26" ht="43.5" customHeight="1" x14ac:dyDescent="0.2">
      <c r="X385" s="16"/>
      <c r="Y385" s="16"/>
      <c r="Z385" s="15"/>
    </row>
    <row r="386" spans="24:26" ht="43.5" customHeight="1" x14ac:dyDescent="0.2">
      <c r="X386" s="16"/>
      <c r="Y386" s="16"/>
      <c r="Z386" s="15"/>
    </row>
    <row r="387" spans="24:26" ht="43.5" customHeight="1" x14ac:dyDescent="0.2">
      <c r="X387" s="16"/>
      <c r="Y387" s="16"/>
      <c r="Z387" s="15"/>
    </row>
    <row r="388" spans="24:26" ht="43.5" customHeight="1" x14ac:dyDescent="0.2">
      <c r="X388" s="16"/>
      <c r="Y388" s="16"/>
      <c r="Z388" s="15"/>
    </row>
    <row r="389" spans="24:26" ht="43.5" customHeight="1" x14ac:dyDescent="0.2">
      <c r="X389" s="16"/>
      <c r="Y389" s="16"/>
      <c r="Z389" s="15"/>
    </row>
    <row r="390" spans="24:26" ht="43.5" customHeight="1" x14ac:dyDescent="0.2">
      <c r="X390" s="16"/>
      <c r="Y390" s="16"/>
      <c r="Z390" s="15"/>
    </row>
    <row r="391" spans="24:26" ht="43.5" customHeight="1" x14ac:dyDescent="0.2">
      <c r="X391" s="16"/>
      <c r="Y391" s="16"/>
      <c r="Z391" s="15"/>
    </row>
    <row r="392" spans="24:26" ht="43.5" customHeight="1" x14ac:dyDescent="0.2">
      <c r="X392" s="16"/>
      <c r="Y392" s="16"/>
      <c r="Z392" s="15"/>
    </row>
    <row r="393" spans="24:26" ht="43.5" customHeight="1" x14ac:dyDescent="0.2">
      <c r="X393" s="16"/>
      <c r="Y393" s="16"/>
      <c r="Z393" s="15"/>
    </row>
    <row r="394" spans="24:26" ht="43.5" customHeight="1" x14ac:dyDescent="0.2">
      <c r="X394" s="16"/>
      <c r="Y394" s="16"/>
      <c r="Z394" s="15"/>
    </row>
    <row r="395" spans="24:26" ht="43.5" customHeight="1" x14ac:dyDescent="0.2">
      <c r="X395" s="16"/>
      <c r="Y395" s="16"/>
      <c r="Z395" s="15"/>
    </row>
    <row r="396" spans="24:26" ht="43.5" customHeight="1" x14ac:dyDescent="0.2">
      <c r="X396" s="16"/>
      <c r="Y396" s="16"/>
      <c r="Z396" s="15"/>
    </row>
    <row r="397" spans="24:26" ht="43.5" customHeight="1" x14ac:dyDescent="0.2">
      <c r="X397" s="16"/>
      <c r="Y397" s="16"/>
      <c r="Z397" s="15"/>
    </row>
    <row r="398" spans="24:26" ht="43.5" customHeight="1" x14ac:dyDescent="0.2">
      <c r="X398" s="16"/>
      <c r="Y398" s="16"/>
      <c r="Z398" s="15"/>
    </row>
    <row r="399" spans="24:26" ht="43.5" customHeight="1" x14ac:dyDescent="0.2">
      <c r="X399" s="16"/>
      <c r="Y399" s="16"/>
      <c r="Z399" s="15"/>
    </row>
    <row r="400" spans="24:26" ht="43.5" customHeight="1" x14ac:dyDescent="0.2">
      <c r="X400" s="16"/>
      <c r="Y400" s="16"/>
      <c r="Z400" s="15"/>
    </row>
    <row r="401" spans="24:26" ht="43.5" customHeight="1" x14ac:dyDescent="0.2">
      <c r="X401" s="16"/>
      <c r="Y401" s="16"/>
      <c r="Z401" s="15"/>
    </row>
    <row r="402" spans="24:26" ht="43.5" customHeight="1" x14ac:dyDescent="0.2">
      <c r="X402" s="16"/>
      <c r="Y402" s="16"/>
      <c r="Z402" s="15"/>
    </row>
    <row r="403" spans="24:26" ht="43.5" customHeight="1" x14ac:dyDescent="0.2">
      <c r="X403" s="16"/>
      <c r="Y403" s="16"/>
      <c r="Z403" s="15"/>
    </row>
    <row r="404" spans="24:26" ht="43.5" customHeight="1" x14ac:dyDescent="0.2">
      <c r="X404" s="16"/>
      <c r="Y404" s="16"/>
      <c r="Z404" s="15"/>
    </row>
    <row r="405" spans="24:26" ht="43.5" customHeight="1" x14ac:dyDescent="0.2">
      <c r="X405" s="16"/>
      <c r="Y405" s="16"/>
      <c r="Z405" s="15"/>
    </row>
    <row r="406" spans="24:26" ht="43.5" customHeight="1" x14ac:dyDescent="0.2">
      <c r="X406" s="16"/>
      <c r="Y406" s="16"/>
      <c r="Z406" s="15"/>
    </row>
    <row r="407" spans="24:26" ht="43.5" customHeight="1" x14ac:dyDescent="0.2">
      <c r="X407" s="16"/>
      <c r="Y407" s="16"/>
      <c r="Z407" s="15"/>
    </row>
    <row r="408" spans="24:26" ht="43.5" customHeight="1" x14ac:dyDescent="0.2">
      <c r="X408" s="16"/>
      <c r="Y408" s="16"/>
      <c r="Z408" s="15"/>
    </row>
    <row r="409" spans="24:26" ht="43.5" customHeight="1" x14ac:dyDescent="0.2">
      <c r="X409" s="16"/>
      <c r="Y409" s="16"/>
      <c r="Z409" s="15"/>
    </row>
    <row r="410" spans="24:26" ht="43.5" customHeight="1" x14ac:dyDescent="0.2">
      <c r="X410" s="16"/>
      <c r="Y410" s="16"/>
      <c r="Z410" s="15"/>
    </row>
    <row r="411" spans="24:26" ht="43.5" customHeight="1" x14ac:dyDescent="0.2">
      <c r="X411" s="16"/>
      <c r="Y411" s="16"/>
      <c r="Z411" s="15"/>
    </row>
    <row r="412" spans="24:26" ht="43.5" customHeight="1" x14ac:dyDescent="0.2">
      <c r="X412" s="16"/>
      <c r="Y412" s="16"/>
      <c r="Z412" s="15"/>
    </row>
    <row r="413" spans="24:26" ht="43.5" customHeight="1" x14ac:dyDescent="0.2">
      <c r="X413" s="16"/>
      <c r="Y413" s="16"/>
      <c r="Z413" s="15"/>
    </row>
    <row r="414" spans="24:26" ht="43.5" customHeight="1" x14ac:dyDescent="0.2">
      <c r="X414" s="16"/>
      <c r="Y414" s="16"/>
      <c r="Z414" s="15"/>
    </row>
    <row r="415" spans="24:26" ht="43.5" customHeight="1" x14ac:dyDescent="0.2">
      <c r="X415" s="16"/>
      <c r="Y415" s="16"/>
      <c r="Z415" s="15"/>
    </row>
    <row r="416" spans="24:26" ht="43.5" customHeight="1" x14ac:dyDescent="0.2">
      <c r="X416" s="16"/>
      <c r="Y416" s="16"/>
      <c r="Z416" s="15"/>
    </row>
    <row r="417" spans="24:26" ht="43.5" customHeight="1" x14ac:dyDescent="0.2">
      <c r="X417" s="16"/>
      <c r="Y417" s="16"/>
      <c r="Z417" s="15"/>
    </row>
    <row r="418" spans="24:26" ht="43.5" customHeight="1" x14ac:dyDescent="0.2">
      <c r="X418" s="16"/>
      <c r="Y418" s="16"/>
      <c r="Z418" s="15"/>
    </row>
    <row r="419" spans="24:26" ht="43.5" customHeight="1" x14ac:dyDescent="0.2">
      <c r="X419" s="16"/>
      <c r="Y419" s="16"/>
      <c r="Z419" s="15"/>
    </row>
    <row r="420" spans="24:26" ht="43.5" customHeight="1" x14ac:dyDescent="0.2">
      <c r="X420" s="16"/>
      <c r="Y420" s="16"/>
      <c r="Z420" s="15"/>
    </row>
    <row r="421" spans="24:26" ht="43.5" customHeight="1" x14ac:dyDescent="0.2">
      <c r="X421" s="16"/>
      <c r="Y421" s="16"/>
      <c r="Z421" s="15"/>
    </row>
    <row r="422" spans="24:26" ht="43.5" customHeight="1" x14ac:dyDescent="0.2">
      <c r="X422" s="16"/>
      <c r="Y422" s="16"/>
      <c r="Z422" s="15"/>
    </row>
    <row r="423" spans="24:26" ht="43.5" customHeight="1" x14ac:dyDescent="0.2">
      <c r="X423" s="16"/>
      <c r="Y423" s="16"/>
      <c r="Z423" s="15"/>
    </row>
    <row r="424" spans="24:26" ht="43.5" customHeight="1" x14ac:dyDescent="0.2">
      <c r="X424" s="16"/>
      <c r="Y424" s="16"/>
      <c r="Z424" s="15"/>
    </row>
    <row r="425" spans="24:26" ht="43.5" customHeight="1" x14ac:dyDescent="0.2">
      <c r="X425" s="16"/>
      <c r="Y425" s="16"/>
      <c r="Z425" s="15"/>
    </row>
    <row r="426" spans="24:26" ht="43.5" customHeight="1" x14ac:dyDescent="0.2">
      <c r="X426" s="16"/>
      <c r="Y426" s="16"/>
      <c r="Z426" s="15"/>
    </row>
    <row r="427" spans="24:26" ht="43.5" customHeight="1" x14ac:dyDescent="0.2">
      <c r="X427" s="16"/>
      <c r="Y427" s="16"/>
      <c r="Z427" s="15"/>
    </row>
    <row r="428" spans="24:26" ht="43.5" customHeight="1" x14ac:dyDescent="0.2">
      <c r="X428" s="16"/>
      <c r="Y428" s="16"/>
      <c r="Z428" s="15"/>
    </row>
    <row r="429" spans="24:26" ht="43.5" customHeight="1" x14ac:dyDescent="0.2">
      <c r="X429" s="16"/>
      <c r="Y429" s="16"/>
      <c r="Z429" s="15"/>
    </row>
    <row r="430" spans="24:26" ht="43.5" customHeight="1" x14ac:dyDescent="0.2">
      <c r="X430" s="16"/>
      <c r="Y430" s="16"/>
      <c r="Z430" s="15"/>
    </row>
    <row r="431" spans="24:26" ht="43.5" customHeight="1" x14ac:dyDescent="0.2">
      <c r="X431" s="16"/>
      <c r="Y431" s="16"/>
      <c r="Z431" s="15"/>
    </row>
    <row r="432" spans="24:26" ht="43.5" customHeight="1" x14ac:dyDescent="0.2">
      <c r="X432" s="16"/>
      <c r="Y432" s="16"/>
      <c r="Z432" s="15"/>
    </row>
    <row r="433" spans="24:26" ht="43.5" customHeight="1" x14ac:dyDescent="0.2">
      <c r="X433" s="16"/>
      <c r="Y433" s="16"/>
      <c r="Z433" s="15"/>
    </row>
    <row r="434" spans="24:26" ht="43.5" customHeight="1" x14ac:dyDescent="0.2">
      <c r="X434" s="16"/>
      <c r="Y434" s="16"/>
      <c r="Z434" s="15"/>
    </row>
    <row r="435" spans="24:26" ht="43.5" customHeight="1" x14ac:dyDescent="0.2">
      <c r="X435" s="16"/>
      <c r="Y435" s="16"/>
      <c r="Z435" s="15"/>
    </row>
    <row r="436" spans="24:26" ht="43.5" customHeight="1" x14ac:dyDescent="0.2">
      <c r="X436" s="16"/>
      <c r="Y436" s="16"/>
      <c r="Z436" s="15"/>
    </row>
    <row r="437" spans="24:26" ht="43.5" customHeight="1" x14ac:dyDescent="0.2">
      <c r="X437" s="16"/>
      <c r="Y437" s="16"/>
      <c r="Z437" s="15"/>
    </row>
    <row r="438" spans="24:26" ht="43.5" customHeight="1" x14ac:dyDescent="0.2">
      <c r="X438" s="16"/>
      <c r="Y438" s="16"/>
      <c r="Z438" s="15"/>
    </row>
    <row r="439" spans="24:26" ht="43.5" customHeight="1" x14ac:dyDescent="0.2">
      <c r="X439" s="16"/>
      <c r="Y439" s="16"/>
      <c r="Z439" s="15"/>
    </row>
    <row r="440" spans="24:26" ht="43.5" customHeight="1" x14ac:dyDescent="0.2">
      <c r="X440" s="16"/>
      <c r="Y440" s="16"/>
      <c r="Z440" s="15"/>
    </row>
    <row r="441" spans="24:26" ht="43.5" customHeight="1" x14ac:dyDescent="0.2">
      <c r="X441" s="16"/>
      <c r="Y441" s="16"/>
      <c r="Z441" s="15"/>
    </row>
    <row r="442" spans="24:26" ht="43.5" customHeight="1" x14ac:dyDescent="0.2">
      <c r="X442" s="16"/>
      <c r="Y442" s="16"/>
      <c r="Z442" s="15"/>
    </row>
    <row r="443" spans="24:26" ht="43.5" customHeight="1" x14ac:dyDescent="0.2">
      <c r="X443" s="16"/>
      <c r="Y443" s="16"/>
      <c r="Z443" s="15"/>
    </row>
    <row r="444" spans="24:26" ht="43.5" customHeight="1" x14ac:dyDescent="0.2">
      <c r="X444" s="16"/>
      <c r="Y444" s="16"/>
      <c r="Z444" s="15"/>
    </row>
    <row r="445" spans="24:26" ht="43.5" customHeight="1" x14ac:dyDescent="0.2">
      <c r="X445" s="16"/>
      <c r="Y445" s="16"/>
      <c r="Z445" s="15"/>
    </row>
    <row r="446" spans="24:26" ht="43.5" customHeight="1" x14ac:dyDescent="0.2">
      <c r="X446" s="16"/>
      <c r="Y446" s="16"/>
      <c r="Z446" s="15"/>
    </row>
    <row r="447" spans="24:26" ht="43.5" customHeight="1" x14ac:dyDescent="0.2">
      <c r="X447" s="16"/>
      <c r="Y447" s="16"/>
      <c r="Z447" s="15"/>
    </row>
    <row r="448" spans="24:26" ht="43.5" customHeight="1" x14ac:dyDescent="0.2">
      <c r="X448" s="16"/>
      <c r="Y448" s="16"/>
      <c r="Z448" s="15"/>
    </row>
    <row r="449" spans="24:26" ht="43.5" customHeight="1" x14ac:dyDescent="0.2">
      <c r="X449" s="16"/>
      <c r="Y449" s="16"/>
      <c r="Z449" s="15"/>
    </row>
    <row r="450" spans="24:26" ht="43.5" customHeight="1" x14ac:dyDescent="0.2">
      <c r="X450" s="16"/>
      <c r="Y450" s="16"/>
      <c r="Z450" s="15"/>
    </row>
    <row r="451" spans="24:26" ht="43.5" customHeight="1" x14ac:dyDescent="0.2">
      <c r="X451" s="16"/>
      <c r="Y451" s="16"/>
      <c r="Z451" s="15"/>
    </row>
    <row r="452" spans="24:26" ht="43.5" customHeight="1" x14ac:dyDescent="0.2">
      <c r="X452" s="16"/>
      <c r="Y452" s="16"/>
      <c r="Z452" s="15"/>
    </row>
    <row r="453" spans="24:26" ht="43.5" customHeight="1" x14ac:dyDescent="0.2">
      <c r="X453" s="16"/>
      <c r="Y453" s="16"/>
      <c r="Z453" s="15"/>
    </row>
    <row r="454" spans="24:26" ht="43.5" customHeight="1" x14ac:dyDescent="0.2">
      <c r="X454" s="16"/>
      <c r="Y454" s="16"/>
      <c r="Z454" s="15"/>
    </row>
    <row r="455" spans="24:26" ht="43.5" customHeight="1" x14ac:dyDescent="0.2">
      <c r="X455" s="16"/>
      <c r="Y455" s="16"/>
      <c r="Z455" s="15"/>
    </row>
    <row r="456" spans="24:26" ht="43.5" customHeight="1" x14ac:dyDescent="0.2">
      <c r="X456" s="16"/>
      <c r="Y456" s="16"/>
      <c r="Z456" s="15"/>
    </row>
    <row r="457" spans="24:26" ht="43.5" customHeight="1" x14ac:dyDescent="0.2">
      <c r="X457" s="16"/>
      <c r="Y457" s="16"/>
      <c r="Z457" s="15"/>
    </row>
    <row r="458" spans="24:26" ht="43.5" customHeight="1" x14ac:dyDescent="0.2">
      <c r="X458" s="16"/>
      <c r="Y458" s="16"/>
      <c r="Z458" s="15"/>
    </row>
    <row r="459" spans="24:26" ht="43.5" customHeight="1" x14ac:dyDescent="0.2">
      <c r="X459" s="16"/>
      <c r="Y459" s="16"/>
      <c r="Z459" s="15"/>
    </row>
    <row r="460" spans="24:26" ht="43.5" customHeight="1" x14ac:dyDescent="0.2">
      <c r="X460" s="16"/>
      <c r="Y460" s="16"/>
      <c r="Z460" s="15"/>
    </row>
    <row r="461" spans="24:26" ht="43.5" customHeight="1" x14ac:dyDescent="0.2">
      <c r="X461" s="16"/>
      <c r="Y461" s="16"/>
      <c r="Z461" s="15"/>
    </row>
    <row r="462" spans="24:26" ht="43.5" customHeight="1" x14ac:dyDescent="0.2">
      <c r="X462" s="16"/>
      <c r="Y462" s="16"/>
      <c r="Z462" s="15"/>
    </row>
    <row r="463" spans="24:26" ht="43.5" customHeight="1" x14ac:dyDescent="0.2">
      <c r="X463" s="16"/>
      <c r="Y463" s="16"/>
      <c r="Z463" s="15"/>
    </row>
    <row r="464" spans="24:26" ht="43.5" customHeight="1" x14ac:dyDescent="0.2">
      <c r="X464" s="16"/>
      <c r="Y464" s="16"/>
      <c r="Z464" s="15"/>
    </row>
    <row r="465" spans="24:26" ht="43.5" customHeight="1" x14ac:dyDescent="0.2">
      <c r="X465" s="16"/>
      <c r="Y465" s="16"/>
      <c r="Z465" s="15"/>
    </row>
    <row r="466" spans="24:26" ht="43.5" customHeight="1" x14ac:dyDescent="0.2">
      <c r="X466" s="16"/>
      <c r="Y466" s="16"/>
      <c r="Z466" s="15"/>
    </row>
    <row r="467" spans="24:26" ht="43.5" customHeight="1" x14ac:dyDescent="0.2">
      <c r="X467" s="16"/>
      <c r="Y467" s="16"/>
      <c r="Z467" s="15"/>
    </row>
    <row r="468" spans="24:26" ht="43.5" customHeight="1" x14ac:dyDescent="0.2">
      <c r="X468" s="16"/>
      <c r="Y468" s="16"/>
      <c r="Z468" s="15"/>
    </row>
    <row r="469" spans="24:26" ht="43.5" customHeight="1" x14ac:dyDescent="0.2">
      <c r="X469" s="16"/>
      <c r="Y469" s="16"/>
      <c r="Z469" s="15"/>
    </row>
    <row r="470" spans="24:26" ht="43.5" customHeight="1" x14ac:dyDescent="0.2">
      <c r="X470" s="16"/>
      <c r="Y470" s="16"/>
      <c r="Z470" s="15"/>
    </row>
    <row r="471" spans="24:26" ht="43.5" customHeight="1" x14ac:dyDescent="0.2">
      <c r="X471" s="16"/>
      <c r="Y471" s="16"/>
      <c r="Z471" s="15"/>
    </row>
    <row r="472" spans="24:26" ht="43.5" customHeight="1" x14ac:dyDescent="0.2">
      <c r="X472" s="16"/>
      <c r="Y472" s="16"/>
      <c r="Z472" s="15"/>
    </row>
    <row r="473" spans="24:26" ht="43.5" customHeight="1" x14ac:dyDescent="0.2">
      <c r="X473" s="16"/>
      <c r="Y473" s="16"/>
      <c r="Z473" s="15"/>
    </row>
    <row r="474" spans="24:26" ht="43.5" customHeight="1" x14ac:dyDescent="0.2">
      <c r="X474" s="16"/>
      <c r="Y474" s="16"/>
      <c r="Z474" s="15"/>
    </row>
    <row r="475" spans="24:26" ht="43.5" customHeight="1" x14ac:dyDescent="0.2">
      <c r="X475" s="16"/>
      <c r="Y475" s="16"/>
      <c r="Z475" s="15"/>
    </row>
    <row r="476" spans="24:26" ht="43.5" customHeight="1" x14ac:dyDescent="0.2">
      <c r="X476" s="16"/>
      <c r="Y476" s="16"/>
      <c r="Z476" s="15"/>
    </row>
    <row r="477" spans="24:26" ht="43.5" customHeight="1" x14ac:dyDescent="0.2">
      <c r="X477" s="16"/>
      <c r="Y477" s="16"/>
      <c r="Z477" s="15"/>
    </row>
    <row r="478" spans="24:26" ht="43.5" customHeight="1" x14ac:dyDescent="0.2">
      <c r="X478" s="16"/>
      <c r="Y478" s="16"/>
      <c r="Z478" s="15"/>
    </row>
    <row r="479" spans="24:26" ht="43.5" customHeight="1" x14ac:dyDescent="0.2">
      <c r="X479" s="16"/>
      <c r="Y479" s="16"/>
      <c r="Z479" s="15"/>
    </row>
    <row r="480" spans="24:26" ht="43.5" customHeight="1" x14ac:dyDescent="0.2">
      <c r="X480" s="16"/>
      <c r="Y480" s="16"/>
      <c r="Z480" s="15"/>
    </row>
    <row r="481" spans="24:26" ht="43.5" customHeight="1" x14ac:dyDescent="0.2">
      <c r="X481" s="16"/>
      <c r="Y481" s="16"/>
      <c r="Z481" s="15"/>
    </row>
    <row r="482" spans="24:26" ht="43.5" customHeight="1" x14ac:dyDescent="0.2">
      <c r="X482" s="16"/>
      <c r="Y482" s="16"/>
      <c r="Z482" s="15"/>
    </row>
    <row r="483" spans="24:26" ht="43.5" customHeight="1" x14ac:dyDescent="0.2">
      <c r="X483" s="16"/>
      <c r="Y483" s="16"/>
      <c r="Z483" s="15"/>
    </row>
    <row r="484" spans="24:26" ht="43.5" customHeight="1" x14ac:dyDescent="0.2">
      <c r="X484" s="16"/>
      <c r="Y484" s="16"/>
      <c r="Z484" s="15"/>
    </row>
    <row r="485" spans="24:26" ht="43.5" customHeight="1" x14ac:dyDescent="0.2">
      <c r="X485" s="16"/>
      <c r="Y485" s="16"/>
      <c r="Z485" s="15"/>
    </row>
    <row r="486" spans="24:26" ht="43.5" customHeight="1" x14ac:dyDescent="0.2">
      <c r="X486" s="16"/>
      <c r="Y486" s="16"/>
      <c r="Z486" s="15"/>
    </row>
    <row r="487" spans="24:26" ht="43.5" customHeight="1" x14ac:dyDescent="0.2">
      <c r="X487" s="16"/>
      <c r="Y487" s="16"/>
      <c r="Z487" s="15"/>
    </row>
    <row r="488" spans="24:26" ht="43.5" customHeight="1" x14ac:dyDescent="0.2">
      <c r="X488" s="16"/>
      <c r="Y488" s="16"/>
      <c r="Z488" s="15"/>
    </row>
    <row r="489" spans="24:26" ht="43.5" customHeight="1" x14ac:dyDescent="0.2">
      <c r="X489" s="16"/>
      <c r="Y489" s="16"/>
      <c r="Z489" s="15"/>
    </row>
    <row r="490" spans="24:26" ht="43.5" customHeight="1" x14ac:dyDescent="0.2">
      <c r="X490" s="16"/>
      <c r="Y490" s="16"/>
      <c r="Z490" s="15"/>
    </row>
    <row r="491" spans="24:26" ht="43.5" customHeight="1" x14ac:dyDescent="0.2">
      <c r="X491" s="16"/>
      <c r="Y491" s="16"/>
      <c r="Z491" s="15"/>
    </row>
    <row r="492" spans="24:26" ht="43.5" customHeight="1" x14ac:dyDescent="0.2">
      <c r="X492" s="16"/>
      <c r="Y492" s="16"/>
      <c r="Z492" s="15"/>
    </row>
    <row r="493" spans="24:26" ht="43.5" customHeight="1" x14ac:dyDescent="0.2">
      <c r="X493" s="16"/>
      <c r="Y493" s="16"/>
      <c r="Z493" s="15"/>
    </row>
    <row r="494" spans="24:26" ht="43.5" customHeight="1" x14ac:dyDescent="0.2">
      <c r="X494" s="16"/>
      <c r="Y494" s="16"/>
      <c r="Z494" s="15"/>
    </row>
    <row r="495" spans="24:26" ht="43.5" customHeight="1" x14ac:dyDescent="0.2">
      <c r="X495" s="16"/>
      <c r="Y495" s="16"/>
      <c r="Z495" s="15"/>
    </row>
  </sheetData>
  <mergeCells count="32">
    <mergeCell ref="D1:Z1"/>
    <mergeCell ref="D2:Z2"/>
    <mergeCell ref="D3:Z3"/>
    <mergeCell ref="R5:T5"/>
    <mergeCell ref="U5:W5"/>
    <mergeCell ref="X5:Z5"/>
    <mergeCell ref="D5:N5"/>
    <mergeCell ref="O5:Q5"/>
    <mergeCell ref="D4:Z4"/>
    <mergeCell ref="G33:G34"/>
    <mergeCell ref="A13:A18"/>
    <mergeCell ref="F13:F18"/>
    <mergeCell ref="A20:A22"/>
    <mergeCell ref="F20:F22"/>
    <mergeCell ref="A23:A24"/>
    <mergeCell ref="F23:F24"/>
    <mergeCell ref="Y44:Y45"/>
    <mergeCell ref="D6:N6"/>
    <mergeCell ref="A44:J45"/>
    <mergeCell ref="K44:Q45"/>
    <mergeCell ref="R44:S45"/>
    <mergeCell ref="T44:X45"/>
    <mergeCell ref="G35:G36"/>
    <mergeCell ref="D39:K39"/>
    <mergeCell ref="A25:A26"/>
    <mergeCell ref="F25:F26"/>
    <mergeCell ref="A27:A28"/>
    <mergeCell ref="F27:F28"/>
    <mergeCell ref="A29:A30"/>
    <mergeCell ref="F29:F30"/>
    <mergeCell ref="A32:A38"/>
    <mergeCell ref="F32:F38"/>
  </mergeCells>
  <pageMargins left="0.7" right="0.7" top="0.75" bottom="0.75" header="0.3" footer="0.3"/>
  <pageSetup orientation="portrait" r:id="rId1"/>
  <ignoredErrors>
    <ignoredError sqref="Y11 V11 P16 S16 V16 Y16" formula="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31"/>
  <sheetViews>
    <sheetView topLeftCell="A20" workbookViewId="0">
      <selection activeCell="B28" sqref="B28"/>
    </sheetView>
  </sheetViews>
  <sheetFormatPr baseColWidth="10" defaultRowHeight="12.75" x14ac:dyDescent="0.2"/>
  <cols>
    <col min="2" max="2" width="12.28515625" bestFit="1" customWidth="1"/>
    <col min="3" max="3" width="21.7109375" customWidth="1"/>
  </cols>
  <sheetData>
    <row r="2" spans="1:4" x14ac:dyDescent="0.2">
      <c r="D2">
        <v>50</v>
      </c>
    </row>
    <row r="3" spans="1:4" x14ac:dyDescent="0.2">
      <c r="A3" t="s">
        <v>2123</v>
      </c>
      <c r="B3">
        <v>28</v>
      </c>
      <c r="C3" t="s">
        <v>2126</v>
      </c>
      <c r="D3" s="508">
        <f>(B3*100)/B6</f>
        <v>39.436619718309856</v>
      </c>
    </row>
    <row r="4" spans="1:4" x14ac:dyDescent="0.2">
      <c r="A4" t="s">
        <v>2122</v>
      </c>
      <c r="B4">
        <v>27</v>
      </c>
      <c r="C4" t="s">
        <v>2124</v>
      </c>
      <c r="D4" s="508">
        <f>(B4*100)/$B$6</f>
        <v>38.028169014084504</v>
      </c>
    </row>
    <row r="5" spans="1:4" x14ac:dyDescent="0.2">
      <c r="A5" t="s">
        <v>2121</v>
      </c>
      <c r="B5">
        <v>16</v>
      </c>
      <c r="C5" t="s">
        <v>2125</v>
      </c>
      <c r="D5" s="508">
        <f>(B5*100)/$B$6</f>
        <v>22.535211267605632</v>
      </c>
    </row>
    <row r="6" spans="1:4" x14ac:dyDescent="0.2">
      <c r="B6">
        <f>SUM(B3:B5)</f>
        <v>71</v>
      </c>
      <c r="D6" s="508">
        <f>SUM(D3:D5)</f>
        <v>100</v>
      </c>
    </row>
    <row r="27" spans="1:1" ht="15.75" x14ac:dyDescent="0.2">
      <c r="A27" s="504" t="s">
        <v>1709</v>
      </c>
    </row>
    <row r="28" spans="1:1" ht="78.75" x14ac:dyDescent="0.2">
      <c r="A28" s="505" t="s">
        <v>1715</v>
      </c>
    </row>
    <row r="29" spans="1:1" ht="47.25" x14ac:dyDescent="0.2">
      <c r="A29" s="505" t="s">
        <v>1717</v>
      </c>
    </row>
    <row r="30" spans="1:1" ht="110.25" x14ac:dyDescent="0.2">
      <c r="A30" s="505" t="s">
        <v>1719</v>
      </c>
    </row>
    <row r="31" spans="1:1" ht="94.5" x14ac:dyDescent="0.2">
      <c r="A31" s="505" t="s">
        <v>1721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J41"/>
  <sheetViews>
    <sheetView zoomScale="64" zoomScaleNormal="100" workbookViewId="0">
      <pane ySplit="5" topLeftCell="A14" activePane="bottomLeft" state="frozen"/>
      <selection pane="bottomLeft" activeCell="C15" sqref="C15:C19"/>
    </sheetView>
  </sheetViews>
  <sheetFormatPr baseColWidth="10" defaultColWidth="11.5703125" defaultRowHeight="15.75" x14ac:dyDescent="0.2"/>
  <cols>
    <col min="1" max="2" width="7.28515625" style="124" customWidth="1"/>
    <col min="3" max="3" width="21.85546875" style="93" customWidth="1"/>
    <col min="4" max="4" width="43" style="93" customWidth="1"/>
    <col min="5" max="5" width="18.5703125" style="124" customWidth="1"/>
    <col min="6" max="6" width="15.42578125" style="124" customWidth="1"/>
    <col min="7" max="7" width="8.28515625" style="124" customWidth="1"/>
    <col min="8" max="11" width="8.28515625" style="93" customWidth="1"/>
    <col min="12" max="12" width="11.42578125" style="93" customWidth="1"/>
    <col min="13" max="13" width="9.42578125" style="93" customWidth="1"/>
    <col min="14" max="14" width="36.28515625" style="93" customWidth="1"/>
    <col min="15" max="15" width="11.28515625" style="93" customWidth="1"/>
    <col min="16" max="16" width="9.28515625" style="93" customWidth="1"/>
    <col min="17" max="17" width="53.140625" style="93" customWidth="1"/>
    <col min="18" max="18" width="18.5703125" style="93" customWidth="1"/>
    <col min="19" max="19" width="10.42578125" style="93" customWidth="1"/>
    <col min="20" max="20" width="19.140625" style="93" customWidth="1"/>
    <col min="21" max="21" width="21.28515625" style="93" customWidth="1"/>
    <col min="22" max="22" width="12.7109375" style="93" customWidth="1"/>
    <col min="23" max="23" width="23.5703125" style="93" customWidth="1"/>
    <col min="24" max="24" width="17.140625" style="93" bestFit="1" customWidth="1"/>
    <col min="25" max="25" width="15" style="93" bestFit="1" customWidth="1"/>
    <col min="26" max="26" width="10.7109375" style="93" bestFit="1" customWidth="1"/>
    <col min="27" max="27" width="8.28515625" style="93" bestFit="1" customWidth="1"/>
    <col min="28" max="28" width="10.42578125" style="93" bestFit="1" customWidth="1"/>
    <col min="29" max="29" width="21.28515625" style="93" bestFit="1" customWidth="1"/>
    <col min="30" max="30" width="17.140625" style="93" bestFit="1" customWidth="1"/>
    <col min="31" max="31" width="15" style="93" bestFit="1" customWidth="1"/>
    <col min="32" max="32" width="10.7109375" style="93" bestFit="1" customWidth="1"/>
    <col min="33" max="33" width="8.28515625" style="93" bestFit="1" customWidth="1"/>
    <col min="34" max="34" width="10.42578125" style="93" bestFit="1" customWidth="1"/>
    <col min="35" max="35" width="21.28515625" style="93" bestFit="1" customWidth="1"/>
    <col min="36" max="36" width="17.140625" style="93" bestFit="1" customWidth="1"/>
    <col min="37" max="37" width="15" style="93" bestFit="1" customWidth="1"/>
    <col min="38" max="38" width="10.7109375" style="93" bestFit="1" customWidth="1"/>
    <col min="39" max="39" width="8.28515625" style="93" bestFit="1" customWidth="1"/>
    <col min="40" max="40" width="10.42578125" style="93" bestFit="1" customWidth="1"/>
    <col min="41" max="41" width="21.28515625" style="93" bestFit="1" customWidth="1"/>
    <col min="42" max="42" width="17.140625" style="93" bestFit="1" customWidth="1"/>
    <col min="43" max="43" width="15" style="93" bestFit="1" customWidth="1"/>
    <col min="44" max="44" width="10.7109375" style="93" bestFit="1" customWidth="1"/>
    <col min="45" max="45" width="8.28515625" style="93" bestFit="1" customWidth="1"/>
    <col min="46" max="46" width="10.42578125" style="93" bestFit="1" customWidth="1"/>
    <col min="47" max="47" width="10.42578125" style="93" customWidth="1"/>
    <col min="48" max="16384" width="11.5703125" style="93"/>
  </cols>
  <sheetData>
    <row r="1" spans="1:348" ht="39.75" customHeight="1" thickBot="1" x14ac:dyDescent="0.25">
      <c r="A1" s="920"/>
      <c r="B1" s="920"/>
      <c r="C1" s="920"/>
      <c r="D1" s="920"/>
      <c r="E1" s="920"/>
      <c r="F1" s="920"/>
      <c r="G1" s="920"/>
      <c r="H1" s="920"/>
      <c r="I1" s="920"/>
      <c r="J1" s="920"/>
      <c r="K1" s="920"/>
      <c r="L1" s="920"/>
      <c r="M1" s="920"/>
      <c r="N1" s="920"/>
      <c r="O1" s="920"/>
      <c r="P1" s="920"/>
      <c r="Q1" s="920"/>
      <c r="R1" s="920"/>
      <c r="S1" s="920"/>
      <c r="T1" s="920"/>
      <c r="U1" s="920"/>
      <c r="V1" s="920"/>
      <c r="W1" s="921"/>
      <c r="X1" s="92"/>
      <c r="Y1" s="92"/>
      <c r="Z1" s="92"/>
      <c r="AA1" s="92"/>
      <c r="AB1" s="92"/>
      <c r="AC1" s="92"/>
      <c r="AD1" s="92"/>
      <c r="AE1" s="92"/>
      <c r="AF1" s="92"/>
      <c r="AG1" s="92"/>
      <c r="AH1" s="92"/>
      <c r="AI1" s="92"/>
      <c r="AJ1" s="92"/>
      <c r="AK1" s="92"/>
      <c r="AL1" s="92"/>
      <c r="AM1" s="92"/>
      <c r="AN1" s="92"/>
      <c r="AO1" s="92"/>
      <c r="AP1" s="92"/>
      <c r="AQ1" s="92"/>
      <c r="AR1" s="92"/>
      <c r="AS1" s="92"/>
      <c r="AT1" s="92"/>
      <c r="AU1" s="92"/>
    </row>
    <row r="2" spans="1:348" ht="28.5" customHeight="1" thickBot="1" x14ac:dyDescent="0.25">
      <c r="A2" s="922" t="s">
        <v>1735</v>
      </c>
      <c r="B2" s="923"/>
      <c r="C2" s="923"/>
      <c r="D2" s="923"/>
      <c r="E2" s="923"/>
      <c r="F2" s="923"/>
      <c r="G2" s="923"/>
      <c r="H2" s="923"/>
      <c r="I2" s="923"/>
      <c r="J2" s="923"/>
      <c r="K2" s="923"/>
      <c r="L2" s="923"/>
      <c r="M2" s="923"/>
      <c r="N2" s="923"/>
      <c r="O2" s="923"/>
      <c r="P2" s="923"/>
      <c r="Q2" s="923"/>
      <c r="R2" s="923"/>
      <c r="S2" s="923"/>
      <c r="T2" s="923"/>
      <c r="U2" s="923"/>
      <c r="V2" s="923"/>
      <c r="W2" s="924"/>
      <c r="X2" s="94"/>
      <c r="Y2" s="94"/>
      <c r="Z2" s="94"/>
      <c r="AA2" s="94"/>
      <c r="AB2" s="94"/>
      <c r="AC2" s="94"/>
      <c r="AD2" s="94"/>
      <c r="AE2" s="94"/>
      <c r="AF2" s="94"/>
      <c r="AG2" s="94"/>
      <c r="AH2" s="94"/>
      <c r="AI2" s="94"/>
      <c r="AJ2" s="94"/>
      <c r="AK2" s="94"/>
      <c r="AL2" s="94"/>
      <c r="AM2" s="94"/>
      <c r="AN2" s="94"/>
      <c r="AO2" s="94"/>
      <c r="AP2" s="94"/>
      <c r="AQ2" s="94"/>
      <c r="AR2" s="94"/>
      <c r="AS2" s="94"/>
      <c r="AT2" s="94"/>
      <c r="AU2" s="94"/>
    </row>
    <row r="3" spans="1:348" ht="30.75" customHeight="1" x14ac:dyDescent="0.2">
      <c r="A3" s="925" t="s">
        <v>1810</v>
      </c>
      <c r="B3" s="926"/>
      <c r="C3" s="926"/>
      <c r="D3" s="926"/>
      <c r="E3" s="926"/>
      <c r="F3" s="926"/>
      <c r="G3" s="926"/>
      <c r="H3" s="926"/>
      <c r="I3" s="926"/>
      <c r="J3" s="926"/>
      <c r="K3" s="926"/>
      <c r="L3" s="926"/>
      <c r="M3" s="926"/>
      <c r="N3" s="926"/>
      <c r="O3" s="926"/>
      <c r="P3" s="926"/>
      <c r="Q3" s="926"/>
      <c r="R3" s="926"/>
      <c r="S3" s="926"/>
      <c r="T3" s="926"/>
      <c r="U3" s="926"/>
      <c r="V3" s="926"/>
      <c r="W3" s="927"/>
      <c r="X3" s="95"/>
      <c r="Y3" s="95"/>
      <c r="Z3" s="95"/>
      <c r="AA3" s="95"/>
      <c r="AB3" s="95"/>
      <c r="AC3" s="95"/>
      <c r="AD3" s="95"/>
      <c r="AE3" s="95"/>
      <c r="AF3" s="95"/>
      <c r="AG3" s="95"/>
      <c r="AH3" s="95"/>
      <c r="AI3" s="95"/>
      <c r="AJ3" s="95"/>
      <c r="AK3" s="95"/>
      <c r="AL3" s="95"/>
      <c r="AM3" s="95"/>
      <c r="AN3" s="95"/>
      <c r="AO3" s="95"/>
      <c r="AP3" s="95"/>
      <c r="AQ3" s="95"/>
      <c r="AR3" s="95"/>
      <c r="AS3" s="95"/>
      <c r="AT3" s="95"/>
      <c r="AU3" s="95"/>
    </row>
    <row r="4" spans="1:348" ht="15.75" customHeight="1" x14ac:dyDescent="0.2">
      <c r="A4" s="917" t="s">
        <v>1811</v>
      </c>
      <c r="B4" s="918"/>
      <c r="C4" s="918"/>
      <c r="D4" s="918"/>
      <c r="E4" s="918"/>
      <c r="F4" s="918"/>
      <c r="G4" s="918"/>
      <c r="H4" s="918"/>
      <c r="I4" s="918"/>
      <c r="J4" s="918"/>
      <c r="K4" s="919"/>
      <c r="L4" s="900" t="s">
        <v>1737</v>
      </c>
      <c r="M4" s="900"/>
      <c r="N4" s="900"/>
      <c r="O4" s="900" t="s">
        <v>1738</v>
      </c>
      <c r="P4" s="900"/>
      <c r="Q4" s="900"/>
      <c r="R4" s="900" t="s">
        <v>1739</v>
      </c>
      <c r="S4" s="900"/>
      <c r="T4" s="900"/>
      <c r="U4" s="900" t="s">
        <v>1740</v>
      </c>
      <c r="V4" s="900"/>
      <c r="W4" s="900"/>
      <c r="X4" s="96"/>
      <c r="Y4" s="96"/>
      <c r="Z4" s="96"/>
      <c r="AA4" s="96"/>
      <c r="AB4" s="96"/>
      <c r="AC4" s="912">
        <v>2022</v>
      </c>
      <c r="AD4" s="912"/>
      <c r="AE4" s="912"/>
      <c r="AF4" s="912"/>
      <c r="AG4" s="912"/>
      <c r="AH4" s="912"/>
      <c r="AI4" s="913">
        <v>2023</v>
      </c>
      <c r="AJ4" s="913"/>
      <c r="AK4" s="913"/>
      <c r="AL4" s="913"/>
      <c r="AM4" s="913"/>
      <c r="AN4" s="913"/>
      <c r="AO4" s="913">
        <v>2024</v>
      </c>
      <c r="AP4" s="913"/>
      <c r="AQ4" s="913"/>
      <c r="AR4" s="913"/>
      <c r="AS4" s="913"/>
      <c r="AT4" s="913"/>
      <c r="AU4" s="444"/>
      <c r="AV4" s="97"/>
      <c r="AW4" s="97"/>
      <c r="AX4" s="97"/>
      <c r="AY4" s="97"/>
      <c r="AZ4" s="97"/>
      <c r="BA4" s="97"/>
      <c r="BB4" s="97"/>
      <c r="BC4" s="97"/>
      <c r="BD4" s="97"/>
      <c r="BE4" s="97"/>
      <c r="BF4" s="97"/>
      <c r="BG4" s="97"/>
      <c r="BH4" s="97"/>
      <c r="BI4" s="97"/>
      <c r="BJ4" s="97"/>
      <c r="BK4" s="97"/>
      <c r="BL4" s="97"/>
      <c r="BM4" s="97"/>
      <c r="BN4" s="97"/>
      <c r="BO4" s="97"/>
      <c r="BP4" s="97"/>
      <c r="BQ4" s="97"/>
      <c r="BR4" s="97"/>
      <c r="BS4" s="97"/>
    </row>
    <row r="5" spans="1:348" s="100" customFormat="1" ht="48.75" customHeight="1" x14ac:dyDescent="0.2">
      <c r="A5" s="98" t="s">
        <v>1812</v>
      </c>
      <c r="B5" s="98" t="s">
        <v>1745</v>
      </c>
      <c r="C5" s="98" t="s">
        <v>1746</v>
      </c>
      <c r="D5" s="98" t="s">
        <v>1747</v>
      </c>
      <c r="E5" s="98" t="s">
        <v>1748</v>
      </c>
      <c r="F5" s="29" t="s">
        <v>2118</v>
      </c>
      <c r="G5" s="98" t="s">
        <v>1749</v>
      </c>
      <c r="H5" s="98" t="s">
        <v>1813</v>
      </c>
      <c r="I5" s="98" t="s">
        <v>1751</v>
      </c>
      <c r="J5" s="98" t="s">
        <v>1752</v>
      </c>
      <c r="K5" s="98" t="s">
        <v>1753</v>
      </c>
      <c r="L5" s="29" t="s">
        <v>1754</v>
      </c>
      <c r="M5" s="29" t="s">
        <v>1755</v>
      </c>
      <c r="N5" s="29" t="s">
        <v>1756</v>
      </c>
      <c r="O5" s="29" t="s">
        <v>1754</v>
      </c>
      <c r="P5" s="29" t="s">
        <v>1755</v>
      </c>
      <c r="Q5" s="29" t="s">
        <v>1756</v>
      </c>
      <c r="R5" s="29" t="s">
        <v>1754</v>
      </c>
      <c r="S5" s="29" t="s">
        <v>1755</v>
      </c>
      <c r="T5" s="29" t="s">
        <v>1756</v>
      </c>
      <c r="U5" s="29" t="s">
        <v>1754</v>
      </c>
      <c r="V5" s="29" t="s">
        <v>1755</v>
      </c>
      <c r="W5" s="29" t="s">
        <v>1756</v>
      </c>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row>
    <row r="6" spans="1:348" s="97" customFormat="1" ht="156" customHeight="1" x14ac:dyDescent="0.2">
      <c r="A6" s="207" t="s">
        <v>1814</v>
      </c>
      <c r="B6" s="207" t="s">
        <v>1814</v>
      </c>
      <c r="C6" s="914" t="s">
        <v>1815</v>
      </c>
      <c r="D6" s="206" t="s">
        <v>1816</v>
      </c>
      <c r="E6" s="206" t="s">
        <v>261</v>
      </c>
      <c r="F6" s="206"/>
      <c r="G6" s="101">
        <v>0</v>
      </c>
      <c r="H6" s="204">
        <v>0</v>
      </c>
      <c r="I6" s="204">
        <v>0.1</v>
      </c>
      <c r="J6" s="204">
        <f>'Plan de Acción 2022'!R233</f>
        <v>0.25</v>
      </c>
      <c r="K6" s="204">
        <v>1</v>
      </c>
      <c r="L6" s="204">
        <f>('Plan de Acción 2022'!W233+'Plan de Acción 2022'!W303+'Plan de Acción 2022'!W304+'Plan de Acción 2022'!W306)/4</f>
        <v>0.4375</v>
      </c>
      <c r="M6" s="204">
        <f>(L6*15%)/(J6-I6)</f>
        <v>0.43750000000000006</v>
      </c>
      <c r="N6" s="204" t="s">
        <v>1082</v>
      </c>
      <c r="O6" s="204">
        <f>('Plan de Acción 2022'!AA233+'Plan de Acción 2022'!AA303+'Plan de Acción 2022'!AA304+'Plan de Acción 2022'!AA306)/4</f>
        <v>0.51250000000000007</v>
      </c>
      <c r="P6" s="204">
        <f>(O6*15%)/(J6-I6)</f>
        <v>0.51250000000000007</v>
      </c>
      <c r="Q6" s="478" t="s">
        <v>2068</v>
      </c>
      <c r="R6" s="204">
        <f>('Plan de Acción 2022'!AE57+'Plan de Acción 2022'!AE58+'Plan de Acción 2022'!AE59+'Plan de Acción 2022'!AE233+'Plan de Acción 2022'!AE303+'Plan de Acción 2022'!AE306)/6</f>
        <v>77.666666666666671</v>
      </c>
      <c r="S6" s="204">
        <f>(R6*15%)/(J6-I6)</f>
        <v>77.666666666666671</v>
      </c>
      <c r="T6" s="101"/>
      <c r="U6" s="204">
        <f>('Plan de Acción 2022'!AH57+'Plan de Acción 2022'!AH58+'Plan de Acción 2022'!AH59+'Plan de Acción 2022'!AH233+'Plan de Acción 2022'!AH303+'Plan de Acción 2022'!AH306)/6</f>
        <v>0</v>
      </c>
      <c r="V6" s="204">
        <f>(U6*15%)/(J6-I6)</f>
        <v>0</v>
      </c>
      <c r="W6" s="101"/>
    </row>
    <row r="7" spans="1:348" s="490" customFormat="1" ht="126" x14ac:dyDescent="0.2">
      <c r="A7" s="487" t="s">
        <v>1814</v>
      </c>
      <c r="B7" s="487" t="s">
        <v>1760</v>
      </c>
      <c r="C7" s="914"/>
      <c r="D7" s="488" t="s">
        <v>1817</v>
      </c>
      <c r="E7" s="488" t="s">
        <v>275</v>
      </c>
      <c r="F7" s="488"/>
      <c r="G7" s="488">
        <v>0</v>
      </c>
      <c r="H7" s="489">
        <v>0.15</v>
      </c>
      <c r="I7" s="489">
        <v>0.02</v>
      </c>
      <c r="J7" s="489">
        <f>'Plan de Acción 2022'!R234</f>
        <v>0.15</v>
      </c>
      <c r="K7" s="489">
        <v>0.5</v>
      </c>
      <c r="L7" s="489" t="e">
        <f>'Plan de Acción 2022'!#REF!</f>
        <v>#REF!</v>
      </c>
      <c r="M7" s="489" t="e">
        <f>(L7*13%)/(J7-I7)</f>
        <v>#REF!</v>
      </c>
      <c r="N7" s="489" t="s">
        <v>269</v>
      </c>
      <c r="O7" s="489" t="e">
        <f>'Plan de Acción 2022'!#REF!</f>
        <v>#REF!</v>
      </c>
      <c r="P7" s="489" t="e">
        <f>(O7*13%)/(J7-I7)</f>
        <v>#REF!</v>
      </c>
      <c r="Q7" s="488" t="s">
        <v>2117</v>
      </c>
      <c r="R7" s="489" t="e">
        <f>'Plan de Acción 2022'!#REF!</f>
        <v>#REF!</v>
      </c>
      <c r="S7" s="489" t="e">
        <f>(R7*12%)/(J7-I7)</f>
        <v>#REF!</v>
      </c>
      <c r="T7" s="489"/>
      <c r="U7" s="489" t="e">
        <f>'Plan de Acción 2022'!#REF!</f>
        <v>#REF!</v>
      </c>
      <c r="V7" s="489" t="e">
        <f>(U7*12%)/(J7-I7)</f>
        <v>#REF!</v>
      </c>
      <c r="W7" s="488"/>
    </row>
    <row r="8" spans="1:348" ht="78.75" x14ac:dyDescent="0.2">
      <c r="A8" s="102" t="s">
        <v>1814</v>
      </c>
      <c r="B8" s="102" t="s">
        <v>1818</v>
      </c>
      <c r="C8" s="915" t="s">
        <v>1819</v>
      </c>
      <c r="D8" s="102" t="s">
        <v>875</v>
      </c>
      <c r="E8" s="102" t="s">
        <v>877</v>
      </c>
      <c r="F8" s="503">
        <v>0.3</v>
      </c>
      <c r="G8" s="103">
        <f>10/150</f>
        <v>6.6666666666666666E-2</v>
      </c>
      <c r="H8" s="104">
        <v>0.08</v>
      </c>
      <c r="I8" s="104">
        <v>2.0000000000000001E-4</v>
      </c>
      <c r="J8" s="104">
        <f>'Plan de Acción 2022'!R236</f>
        <v>0.12</v>
      </c>
      <c r="K8" s="104">
        <v>0.2</v>
      </c>
      <c r="L8" s="104">
        <f>'Plan de Acción 2022'!W236</f>
        <v>0.2</v>
      </c>
      <c r="M8" s="373">
        <f>(L8*12%)/(J8-I8)</f>
        <v>0.20033388981636063</v>
      </c>
      <c r="N8" s="376" t="s">
        <v>1820</v>
      </c>
      <c r="O8" s="104">
        <f>'Plan de Acción 2022'!AA236</f>
        <v>0.3</v>
      </c>
      <c r="P8" s="502">
        <f>(O8*12%)/(J8-I8)</f>
        <v>0.30050083472454092</v>
      </c>
      <c r="Q8" s="376" t="s">
        <v>867</v>
      </c>
      <c r="R8" s="104" t="e">
        <f>'Plan de Acción 2022'!#REF!</f>
        <v>#REF!</v>
      </c>
      <c r="S8" s="204" t="e">
        <f>(R8*12%)/(J8-I8)</f>
        <v>#REF!</v>
      </c>
      <c r="T8" s="105"/>
      <c r="U8" s="104" t="e">
        <f>'Plan de Acción 2022'!#REF!</f>
        <v>#REF!</v>
      </c>
      <c r="V8" s="204" t="e">
        <f>(U8*12%)/(J8-I8)</f>
        <v>#REF!</v>
      </c>
      <c r="W8" s="106"/>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c r="GL8" s="97"/>
      <c r="GM8" s="97"/>
      <c r="GN8" s="97"/>
      <c r="GO8" s="97"/>
      <c r="GP8" s="97"/>
      <c r="GQ8" s="97"/>
      <c r="GR8" s="97"/>
      <c r="GS8" s="97"/>
      <c r="GT8" s="97"/>
      <c r="GU8" s="97"/>
      <c r="GV8" s="97"/>
      <c r="GW8" s="97"/>
      <c r="GX8" s="97"/>
      <c r="GY8" s="97"/>
      <c r="GZ8" s="97"/>
      <c r="HA8" s="97"/>
      <c r="HB8" s="97"/>
      <c r="HC8" s="97"/>
      <c r="HD8" s="97"/>
      <c r="HE8" s="97"/>
      <c r="HF8" s="97"/>
      <c r="HG8" s="97"/>
      <c r="HH8" s="97"/>
      <c r="HI8" s="97"/>
      <c r="HJ8" s="97"/>
      <c r="HK8" s="97"/>
      <c r="HL8" s="97"/>
      <c r="HM8" s="97"/>
      <c r="HN8" s="97"/>
      <c r="HO8" s="97"/>
      <c r="HP8" s="97"/>
      <c r="HQ8" s="97"/>
      <c r="HR8" s="97"/>
      <c r="HS8" s="97"/>
      <c r="HT8" s="97"/>
      <c r="HU8" s="97"/>
      <c r="HV8" s="97"/>
      <c r="HW8" s="97"/>
      <c r="HX8" s="97"/>
      <c r="HY8" s="97"/>
      <c r="HZ8" s="97"/>
      <c r="IA8" s="97"/>
      <c r="IB8" s="97"/>
      <c r="IC8" s="97"/>
      <c r="ID8" s="97"/>
      <c r="IE8" s="97"/>
      <c r="IF8" s="97"/>
      <c r="IG8" s="97"/>
      <c r="IH8" s="97"/>
      <c r="II8" s="97"/>
      <c r="IJ8" s="97"/>
      <c r="IK8" s="97"/>
      <c r="IL8" s="97"/>
      <c r="IM8" s="97"/>
      <c r="IN8" s="97"/>
      <c r="IO8" s="97"/>
      <c r="IP8" s="97"/>
      <c r="IQ8" s="97"/>
      <c r="IR8" s="97"/>
      <c r="IS8" s="97"/>
      <c r="IT8" s="97"/>
      <c r="IU8" s="97"/>
      <c r="IV8" s="97"/>
      <c r="IW8" s="97"/>
      <c r="IX8" s="97"/>
      <c r="IY8" s="97"/>
      <c r="IZ8" s="97"/>
      <c r="JA8" s="97"/>
      <c r="JB8" s="97"/>
      <c r="JC8" s="97"/>
      <c r="JD8" s="97"/>
      <c r="JE8" s="97"/>
      <c r="JF8" s="97"/>
      <c r="JG8" s="97"/>
      <c r="JH8" s="97"/>
      <c r="JI8" s="97"/>
      <c r="JJ8" s="97"/>
      <c r="JK8" s="97"/>
      <c r="JL8" s="97"/>
      <c r="JM8" s="97"/>
      <c r="JN8" s="97"/>
      <c r="JO8" s="97"/>
      <c r="JP8" s="97"/>
      <c r="JQ8" s="97"/>
      <c r="JR8" s="97"/>
      <c r="JS8" s="97"/>
      <c r="JT8" s="97"/>
      <c r="JU8" s="97"/>
      <c r="JV8" s="97"/>
      <c r="JW8" s="97"/>
      <c r="JX8" s="97"/>
      <c r="JY8" s="97"/>
      <c r="JZ8" s="97"/>
      <c r="KA8" s="97"/>
      <c r="KB8" s="97"/>
      <c r="KC8" s="97"/>
      <c r="KD8" s="97"/>
      <c r="KE8" s="97"/>
      <c r="KF8" s="97"/>
      <c r="KG8" s="97"/>
      <c r="KH8" s="97"/>
      <c r="KI8" s="97"/>
      <c r="KJ8" s="97"/>
      <c r="KK8" s="97"/>
      <c r="KL8" s="97"/>
      <c r="KM8" s="97"/>
      <c r="KN8" s="97"/>
      <c r="KO8" s="97"/>
      <c r="KP8" s="97"/>
      <c r="KQ8" s="97"/>
      <c r="KR8" s="97"/>
      <c r="KS8" s="97"/>
      <c r="KT8" s="97"/>
      <c r="KU8" s="97"/>
      <c r="KV8" s="97"/>
      <c r="KW8" s="97"/>
      <c r="KX8" s="97"/>
      <c r="KY8" s="97"/>
      <c r="KZ8" s="97"/>
      <c r="LA8" s="97"/>
      <c r="LB8" s="97"/>
      <c r="LC8" s="97"/>
      <c r="LD8" s="97"/>
      <c r="LE8" s="97"/>
      <c r="LF8" s="97"/>
      <c r="LG8" s="97"/>
      <c r="LH8" s="97"/>
      <c r="LI8" s="97"/>
      <c r="LJ8" s="97"/>
      <c r="LK8" s="97"/>
      <c r="LL8" s="97"/>
      <c r="LM8" s="97"/>
      <c r="LN8" s="97"/>
      <c r="LO8" s="97"/>
      <c r="LP8" s="97"/>
      <c r="LQ8" s="97"/>
      <c r="LR8" s="97"/>
      <c r="LS8" s="97"/>
      <c r="LT8" s="97"/>
      <c r="LU8" s="97"/>
      <c r="LV8" s="97"/>
      <c r="LW8" s="97"/>
      <c r="LX8" s="97"/>
      <c r="LY8" s="97"/>
      <c r="LZ8" s="97"/>
      <c r="MA8" s="97"/>
      <c r="MB8" s="97"/>
      <c r="MC8" s="97"/>
      <c r="MD8" s="97"/>
      <c r="ME8" s="97"/>
      <c r="MF8" s="97"/>
      <c r="MG8" s="97"/>
      <c r="MH8" s="97"/>
      <c r="MI8" s="97"/>
      <c r="MJ8" s="97"/>
    </row>
    <row r="9" spans="1:348" s="97" customFormat="1" ht="135" customHeight="1" x14ac:dyDescent="0.2">
      <c r="A9" s="441" t="s">
        <v>1814</v>
      </c>
      <c r="B9" s="441" t="s">
        <v>1818</v>
      </c>
      <c r="C9" s="916"/>
      <c r="D9" s="441" t="s">
        <v>1821</v>
      </c>
      <c r="E9" s="441" t="s">
        <v>871</v>
      </c>
      <c r="F9" s="208">
        <v>0.45</v>
      </c>
      <c r="G9" s="107">
        <v>0.05</v>
      </c>
      <c r="H9" s="107">
        <v>0.3</v>
      </c>
      <c r="I9" s="107">
        <v>0.3</v>
      </c>
      <c r="J9" s="107">
        <f>'Plan de Acción 2022'!R195</f>
        <v>0.6</v>
      </c>
      <c r="K9" s="107">
        <v>1</v>
      </c>
      <c r="L9" s="107">
        <f>'Plan de Acción 2022'!W195</f>
        <v>0.25</v>
      </c>
      <c r="M9" s="204">
        <f>(L9*30%)/(J9-I9)</f>
        <v>0.25</v>
      </c>
      <c r="N9" s="107" t="s">
        <v>1822</v>
      </c>
      <c r="O9" s="107">
        <f>'Plan de Acción 2022'!AA195</f>
        <v>0.45</v>
      </c>
      <c r="P9" s="204">
        <f>(O9*30%)/(J9-I9)</f>
        <v>0.45000000000000007</v>
      </c>
      <c r="Q9" s="107" t="s">
        <v>2071</v>
      </c>
      <c r="R9" s="107">
        <f>'Plan de Acción 2022'!AE195</f>
        <v>60</v>
      </c>
      <c r="S9" s="204">
        <f>(R9*30%)/(J9-I9)</f>
        <v>60</v>
      </c>
      <c r="T9" s="108"/>
      <c r="U9" s="107">
        <f>'Plan de Acción 2022'!AH195</f>
        <v>0</v>
      </c>
      <c r="V9" s="204">
        <f>(U9*30%)/(J9-I9)</f>
        <v>0</v>
      </c>
      <c r="W9" s="109"/>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row>
    <row r="10" spans="1:348" s="97" customFormat="1" ht="173.25" x14ac:dyDescent="0.2">
      <c r="A10" s="441" t="s">
        <v>1814</v>
      </c>
      <c r="B10" s="441" t="s">
        <v>1818</v>
      </c>
      <c r="C10" s="916"/>
      <c r="D10" s="442" t="s">
        <v>1823</v>
      </c>
      <c r="E10" s="441" t="s">
        <v>855</v>
      </c>
      <c r="F10" s="484">
        <v>1100</v>
      </c>
      <c r="G10" s="201" t="s">
        <v>1824</v>
      </c>
      <c r="H10" s="107">
        <v>0</v>
      </c>
      <c r="I10" s="107">
        <v>0</v>
      </c>
      <c r="J10" s="107">
        <f>'Plan de Acción 2022'!R192</f>
        <v>0.33</v>
      </c>
      <c r="K10" s="201">
        <v>1300</v>
      </c>
      <c r="L10" s="107">
        <f>'Plan de Acción 2022'!W192</f>
        <v>0.97</v>
      </c>
      <c r="M10" s="204">
        <f>(L10*33%)/(J10-I10)</f>
        <v>0.97</v>
      </c>
      <c r="N10" s="201" t="s">
        <v>1825</v>
      </c>
      <c r="O10" s="107">
        <f>('Plan de Acción 2022'!AA192+'Plan de Acción 2022'!AA193+'Plan de Acción 2022'!AA194)/3</f>
        <v>0.5</v>
      </c>
      <c r="P10" s="204">
        <f>(O10*33%)/(J10-I10)</f>
        <v>0.5</v>
      </c>
      <c r="Q10" s="441" t="s">
        <v>2072</v>
      </c>
      <c r="R10" s="107">
        <f>('Plan de Acción 2022'!AE192+'Plan de Acción 2022'!AE193+'Plan de Acción 2022'!AE194)/3</f>
        <v>65</v>
      </c>
      <c r="S10" s="204">
        <f>(R10*33%)/(J10-I10)</f>
        <v>65</v>
      </c>
      <c r="T10" s="447"/>
      <c r="U10" s="107">
        <f>('Plan de Acción 2022'!AH192+'Plan de Acción 2022'!AH193+'Plan de Acción 2022'!AH194)/3</f>
        <v>0</v>
      </c>
      <c r="V10" s="204">
        <f>(U10*33%)/(J10-I10)</f>
        <v>0</v>
      </c>
      <c r="W10" s="202"/>
    </row>
    <row r="11" spans="1:348" s="97" customFormat="1" ht="157.5" x14ac:dyDescent="0.2">
      <c r="A11" s="441" t="s">
        <v>1814</v>
      </c>
      <c r="B11" s="441" t="s">
        <v>1826</v>
      </c>
      <c r="C11" s="908" t="s">
        <v>1827</v>
      </c>
      <c r="D11" s="442" t="s">
        <v>1828</v>
      </c>
      <c r="E11" s="208" t="s">
        <v>951</v>
      </c>
      <c r="F11" s="208">
        <v>0.04</v>
      </c>
      <c r="G11" s="107">
        <v>0.04</v>
      </c>
      <c r="H11" s="197">
        <v>0</v>
      </c>
      <c r="I11" s="107">
        <v>0</v>
      </c>
      <c r="J11" s="197">
        <f>'Plan de Acción 2022'!R208</f>
        <v>0.1</v>
      </c>
      <c r="K11" s="117">
        <v>0.2</v>
      </c>
      <c r="L11" s="117">
        <f>('Plan de Acción 2022'!W208+'Plan de Acción 2022'!W209+'Plan de Acción 2022'!W210+'Plan de Acción 2022'!W211+'Plan de Acción 2022'!W212+'Plan de Acción 2022'!W213+'Plan de Acción 2022'!W214+'Plan de Acción 2022'!W216+'Plan de Acción 2022'!W217+'Plan de Acción 2022'!W218+'Plan de Acción 2022'!W219+'Plan de Acción 2022'!W220+'Plan de Acción 2022'!W221+'Plan de Acción 2022'!W222+'Plan de Acción 2022'!W223+'Plan de Acción 2022'!W224+'Plan de Acción 2022'!W225+'Plan de Acción 2022'!W226+'Plan de Acción 2022'!W227+'Plan de Acción 2022'!W228)/18</f>
        <v>0.28333333333333338</v>
      </c>
      <c r="M11" s="204">
        <f>(L11*10%)/(J11-I11)</f>
        <v>0.28333333333333338</v>
      </c>
      <c r="N11" s="117" t="s">
        <v>2074</v>
      </c>
      <c r="O11" s="117">
        <f>('Plan de Acción 2022'!AA208+'Plan de Acción 2022'!AA209+'Plan de Acción 2022'!AA210+'Plan de Acción 2022'!AA211+'Plan de Acción 2022'!AA212+'Plan de Acción 2022'!AA213+'Plan de Acción 2022'!AA214+'Plan de Acción 2022'!AA216+'Plan de Acción 2022'!AA217+'Plan de Acción 2022'!AA218+'Plan de Acción 2022'!AA219+'Plan de Acción 2022'!AA220+'Plan de Acción 2022'!AA221+'Plan de Acción 2022'!AA222+'Plan de Acción 2022'!AA223+'Plan de Acción 2022'!AA224+'Plan de Acción 2022'!AA225+'Plan de Acción 2022'!AA226+'Plan de Acción 2022'!AA227+'Plan de Acción 2022'!AA228)/18</f>
        <v>0.5444444444444444</v>
      </c>
      <c r="P11" s="204">
        <f>(O11*10%)/(J11-I11)</f>
        <v>0.5444444444444444</v>
      </c>
      <c r="Q11" s="442" t="s">
        <v>2075</v>
      </c>
      <c r="R11" s="117">
        <f>('Plan de Acción 2022'!AE208+'Plan de Acción 2022'!AE209+'Plan de Acción 2022'!AE210+'Plan de Acción 2022'!AE211+'Plan de Acción 2022'!AE212+'Plan de Acción 2022'!AE213+'Plan de Acción 2022'!AE214+'Plan de Acción 2022'!AE216+'Plan de Acción 2022'!AE217+'Plan de Acción 2022'!AE218+'Plan de Acción 2022'!AE219+'Plan de Acción 2022'!AE220+'Plan de Acción 2022'!AE221+'Plan de Acción 2022'!AE222+'Plan de Acción 2022'!AE223+'Plan de Acción 2022'!AE224+'Plan de Acción 2022'!AE225+'Plan de Acción 2022'!AE226+'Plan de Acción 2022'!AE227+'Plan de Acción 2022'!AE228)/18</f>
        <v>79.722222222222229</v>
      </c>
      <c r="S11" s="204">
        <f>(R11*10%)/(J11-I11)</f>
        <v>79.722222222222229</v>
      </c>
      <c r="T11" s="441"/>
      <c r="U11" s="117">
        <f>('Plan de Acción 2022'!AH208+'Plan de Acción 2022'!AH209+'Plan de Acción 2022'!AH210+'Plan de Acción 2022'!AH211+'Plan de Acción 2022'!AH212+'Plan de Acción 2022'!AH213+'Plan de Acción 2022'!AH214+'Plan de Acción 2022'!AH216+'Plan de Acción 2022'!AH217+'Plan de Acción 2022'!AH218+'Plan de Acción 2022'!AH219+'Plan de Acción 2022'!AH220+'Plan de Acción 2022'!AH221+'Plan de Acción 2022'!AH222+'Plan de Acción 2022'!AH223+'Plan de Acción 2022'!AH224+'Plan de Acción 2022'!AH225+'Plan de Acción 2022'!AH226+'Plan de Acción 2022'!AH227+'Plan de Acción 2022'!AH228)/18</f>
        <v>0</v>
      </c>
      <c r="V11" s="204">
        <f>(U11*10%)/(J11-I11)</f>
        <v>0</v>
      </c>
      <c r="W11" s="441"/>
    </row>
    <row r="12" spans="1:348" s="97" customFormat="1" ht="165.75" customHeight="1" x14ac:dyDescent="0.2">
      <c r="A12" s="441" t="s">
        <v>1814</v>
      </c>
      <c r="B12" s="441" t="s">
        <v>1826</v>
      </c>
      <c r="C12" s="908"/>
      <c r="D12" s="441" t="s">
        <v>1829</v>
      </c>
      <c r="E12" s="441" t="s">
        <v>912</v>
      </c>
      <c r="F12" s="208">
        <v>0.79</v>
      </c>
      <c r="G12" s="441">
        <v>0</v>
      </c>
      <c r="H12" s="107">
        <v>0</v>
      </c>
      <c r="I12" s="107">
        <v>0</v>
      </c>
      <c r="J12" s="107">
        <f>'Plan de Acción 2022'!R201</f>
        <v>0.33</v>
      </c>
      <c r="K12" s="441">
        <v>3600</v>
      </c>
      <c r="L12" s="117">
        <f>('Plan de Acción 2022'!W205+'Plan de Acción 2022'!W201+'Plan de Acción 2022'!W202+'Plan de Acción 2022'!W203+'Plan de Acción 2022'!W204+'Plan de Acción 2022'!W206+'Plan de Acción 2022'!W207)/7</f>
        <v>0.4642857142857143</v>
      </c>
      <c r="M12" s="204">
        <f>(L12*33%)/(J12-I12)</f>
        <v>0.4642857142857143</v>
      </c>
      <c r="N12" s="441" t="s">
        <v>1830</v>
      </c>
      <c r="O12" s="117">
        <f>('Plan de Acción 2022'!AA205+'Plan de Acción 2022'!AA201+'Plan de Acción 2022'!AA202+'Plan de Acción 2022'!AA203+'Plan de Acción 2022'!AA204+'Plan de Acción 2022'!AA206+'Plan de Acción 2022'!AA207)/7</f>
        <v>0.5714285714285714</v>
      </c>
      <c r="P12" s="204">
        <f>(O12*33%)/(J12-I12)</f>
        <v>0.5714285714285714</v>
      </c>
      <c r="Q12" s="479" t="s">
        <v>2076</v>
      </c>
      <c r="R12" s="117">
        <f>('Plan de Acción 2022'!AE205+'Plan de Acción 2022'!AE201+'Plan de Acción 2022'!AE202+'Plan de Acción 2022'!AE203+'Plan de Acción 2022'!AE204+'Plan de Acción 2022'!AE206+'Plan de Acción 2022'!AE207)/7</f>
        <v>64.285714285714292</v>
      </c>
      <c r="S12" s="204">
        <f>(R12*33%)/(J12-I12)</f>
        <v>64.285714285714292</v>
      </c>
      <c r="T12" s="441"/>
      <c r="U12" s="117">
        <f>('Plan de Acción 2022'!AH205+'Plan de Acción 2022'!AH201+'Plan de Acción 2022'!AH202+'Plan de Acción 2022'!AH203+'Plan de Acción 2022'!AH204+'Plan de Acción 2022'!AH206+'Plan de Acción 2022'!AH207)/7</f>
        <v>0</v>
      </c>
      <c r="V12" s="204">
        <f>(U12*33%)/(J12-I12)</f>
        <v>0</v>
      </c>
      <c r="W12" s="441"/>
    </row>
    <row r="13" spans="1:348" ht="117.75" customHeight="1" x14ac:dyDescent="0.2">
      <c r="A13" s="440" t="s">
        <v>1814</v>
      </c>
      <c r="B13" s="110" t="s">
        <v>1826</v>
      </c>
      <c r="C13" s="908"/>
      <c r="D13" s="110" t="s">
        <v>903</v>
      </c>
      <c r="E13" s="440" t="s">
        <v>905</v>
      </c>
      <c r="F13" s="211">
        <v>0</v>
      </c>
      <c r="G13" s="440">
        <v>0</v>
      </c>
      <c r="H13" s="111" t="s">
        <v>1831</v>
      </c>
      <c r="I13" s="112">
        <v>0.01</v>
      </c>
      <c r="J13" s="111">
        <f>'Plan de Acción 2022'!R200</f>
        <v>0.66</v>
      </c>
      <c r="K13" s="440">
        <v>3</v>
      </c>
      <c r="L13" s="211">
        <f>('Plan de Acción 2022'!W200)</f>
        <v>0.35</v>
      </c>
      <c r="M13" s="204">
        <f>(L13*65%)/(J13-I13)</f>
        <v>0.35</v>
      </c>
      <c r="N13" s="442" t="s">
        <v>901</v>
      </c>
      <c r="O13" s="211">
        <f>('Plan de Acción 2022'!AA200)</f>
        <v>0.6</v>
      </c>
      <c r="P13" s="204">
        <f>(O13*65%)/(J13-I13)</f>
        <v>0.6</v>
      </c>
      <c r="Q13" s="445" t="s">
        <v>907</v>
      </c>
      <c r="R13" s="211">
        <f>('Plan de Acción 2022'!AE200)</f>
        <v>75</v>
      </c>
      <c r="S13" s="204">
        <f>(R13*65%)/(J13-I13)</f>
        <v>75</v>
      </c>
      <c r="T13" s="445"/>
      <c r="U13" s="211">
        <f>('Plan de Acción 2022'!AH200)</f>
        <v>0</v>
      </c>
      <c r="V13" s="204">
        <f>(U13*54%)/(J13-I13)</f>
        <v>0</v>
      </c>
      <c r="W13" s="113"/>
      <c r="EF13" s="97"/>
      <c r="EG13" s="97"/>
      <c r="EH13" s="97"/>
      <c r="EI13" s="97"/>
      <c r="EJ13" s="97"/>
      <c r="EK13" s="97"/>
      <c r="EL13" s="97"/>
      <c r="EM13" s="97"/>
      <c r="EN13" s="97"/>
      <c r="EO13" s="97"/>
      <c r="EP13" s="97"/>
      <c r="EQ13" s="97"/>
      <c r="ER13" s="97"/>
      <c r="ES13" s="97"/>
      <c r="ET13" s="97"/>
      <c r="EU13" s="97"/>
      <c r="EV13" s="97"/>
      <c r="EW13" s="97"/>
      <c r="EX13" s="97"/>
      <c r="EY13" s="97"/>
      <c r="EZ13" s="97"/>
      <c r="FA13" s="97"/>
      <c r="FB13" s="97"/>
      <c r="FC13" s="97"/>
      <c r="FD13" s="97"/>
      <c r="FE13" s="97"/>
      <c r="FF13" s="97"/>
      <c r="FG13" s="97"/>
      <c r="FH13" s="97"/>
      <c r="FI13" s="97"/>
      <c r="FJ13" s="97"/>
      <c r="FK13" s="97"/>
      <c r="FL13" s="97"/>
      <c r="FM13" s="97"/>
      <c r="FN13" s="97"/>
      <c r="FO13" s="97"/>
      <c r="FP13" s="97"/>
      <c r="FQ13" s="97"/>
      <c r="FR13" s="97"/>
      <c r="FS13" s="97"/>
      <c r="FT13" s="97"/>
      <c r="FU13" s="97"/>
      <c r="FV13" s="97"/>
      <c r="FW13" s="97"/>
      <c r="FX13" s="97"/>
      <c r="FY13" s="97"/>
      <c r="FZ13" s="97"/>
      <c r="GA13" s="97"/>
      <c r="GB13" s="97"/>
      <c r="GC13" s="97"/>
      <c r="GD13" s="97"/>
      <c r="GE13" s="97"/>
      <c r="GF13" s="97"/>
      <c r="GG13" s="97"/>
      <c r="GH13" s="97"/>
      <c r="GI13" s="97"/>
      <c r="GJ13" s="97"/>
      <c r="GK13" s="97"/>
      <c r="GL13" s="97"/>
      <c r="GM13" s="97"/>
      <c r="GN13" s="97"/>
      <c r="GO13" s="97"/>
      <c r="GP13" s="97"/>
      <c r="GQ13" s="97"/>
      <c r="GR13" s="97"/>
      <c r="GS13" s="97"/>
      <c r="GT13" s="97"/>
      <c r="GU13" s="97"/>
      <c r="GV13" s="97"/>
      <c r="GW13" s="97"/>
      <c r="GX13" s="97"/>
      <c r="GY13" s="97"/>
      <c r="GZ13" s="97"/>
      <c r="HA13" s="97"/>
      <c r="HB13" s="97"/>
      <c r="HC13" s="97"/>
      <c r="HD13" s="97"/>
      <c r="HE13" s="97"/>
      <c r="HF13" s="97"/>
      <c r="HG13" s="97"/>
      <c r="HH13" s="97"/>
      <c r="HI13" s="97"/>
      <c r="HJ13" s="97"/>
      <c r="HK13" s="97"/>
      <c r="HL13" s="97"/>
      <c r="HM13" s="97"/>
      <c r="HN13" s="97"/>
      <c r="HO13" s="97"/>
      <c r="HP13" s="97"/>
      <c r="HQ13" s="97"/>
      <c r="HR13" s="97"/>
      <c r="HS13" s="97"/>
      <c r="HT13" s="97"/>
      <c r="HU13" s="97"/>
      <c r="HV13" s="97"/>
      <c r="HW13" s="97"/>
      <c r="HX13" s="97"/>
      <c r="HY13" s="97"/>
      <c r="HZ13" s="97"/>
      <c r="IA13" s="97"/>
      <c r="IB13" s="97"/>
      <c r="IC13" s="97"/>
      <c r="ID13" s="97"/>
      <c r="IE13" s="97"/>
      <c r="IF13" s="97"/>
      <c r="IG13" s="97"/>
      <c r="IH13" s="97"/>
      <c r="II13" s="97"/>
      <c r="IJ13" s="97"/>
      <c r="IK13" s="97"/>
      <c r="IL13" s="97"/>
      <c r="IM13" s="97"/>
      <c r="IN13" s="97"/>
      <c r="IO13" s="97"/>
      <c r="IP13" s="97"/>
      <c r="IQ13" s="97"/>
      <c r="IR13" s="97"/>
      <c r="IS13" s="97"/>
      <c r="IT13" s="97"/>
      <c r="IU13" s="97"/>
      <c r="IV13" s="97"/>
      <c r="IW13" s="97"/>
      <c r="IX13" s="97"/>
      <c r="IY13" s="97"/>
      <c r="IZ13" s="97"/>
      <c r="JA13" s="97"/>
      <c r="JB13" s="97"/>
      <c r="JC13" s="97"/>
      <c r="JD13" s="97"/>
      <c r="JE13" s="97"/>
      <c r="JF13" s="97"/>
      <c r="JG13" s="97"/>
      <c r="JH13" s="97"/>
      <c r="JI13" s="97"/>
      <c r="JJ13" s="97"/>
      <c r="JK13" s="97"/>
      <c r="JL13" s="97"/>
      <c r="JM13" s="97"/>
      <c r="JN13" s="97"/>
      <c r="JO13" s="97"/>
      <c r="JP13" s="97"/>
      <c r="JQ13" s="97"/>
      <c r="JR13" s="97"/>
      <c r="JS13" s="97"/>
      <c r="JT13" s="97"/>
      <c r="JU13" s="97"/>
      <c r="JV13" s="97"/>
      <c r="JW13" s="97"/>
      <c r="JX13" s="97"/>
      <c r="JY13" s="97"/>
      <c r="JZ13" s="97"/>
      <c r="KA13" s="97"/>
      <c r="KB13" s="97"/>
      <c r="KC13" s="97"/>
      <c r="KD13" s="97"/>
      <c r="KE13" s="97"/>
      <c r="KF13" s="97"/>
      <c r="KG13" s="97"/>
      <c r="KH13" s="97"/>
      <c r="KI13" s="97"/>
      <c r="KJ13" s="97"/>
      <c r="KK13" s="97"/>
      <c r="KL13" s="97"/>
      <c r="KM13" s="97"/>
      <c r="KN13" s="97"/>
      <c r="KO13" s="97"/>
      <c r="KP13" s="97"/>
      <c r="KQ13" s="97"/>
      <c r="KR13" s="97"/>
      <c r="KS13" s="97"/>
      <c r="KT13" s="97"/>
      <c r="KU13" s="97"/>
      <c r="KV13" s="97"/>
      <c r="KW13" s="97"/>
      <c r="KX13" s="97"/>
      <c r="KY13" s="97"/>
      <c r="KZ13" s="97"/>
      <c r="LA13" s="97"/>
      <c r="LB13" s="97"/>
      <c r="LC13" s="97"/>
      <c r="LD13" s="97"/>
      <c r="LE13" s="97"/>
      <c r="LF13" s="97"/>
      <c r="LG13" s="97"/>
      <c r="LH13" s="97"/>
      <c r="LI13" s="97"/>
      <c r="LJ13" s="97"/>
      <c r="LK13" s="97"/>
      <c r="LL13" s="97"/>
      <c r="LM13" s="97"/>
      <c r="LN13" s="97"/>
      <c r="LO13" s="97"/>
      <c r="LP13" s="97"/>
      <c r="LQ13" s="97"/>
      <c r="LR13" s="97"/>
      <c r="LS13" s="97"/>
      <c r="LT13" s="97"/>
      <c r="LU13" s="97"/>
      <c r="LV13" s="97"/>
      <c r="LW13" s="97"/>
      <c r="LX13" s="97"/>
      <c r="LY13" s="97"/>
      <c r="LZ13" s="97"/>
      <c r="MA13" s="97"/>
      <c r="MB13" s="97"/>
      <c r="MC13" s="97"/>
      <c r="MD13" s="97"/>
      <c r="ME13" s="97"/>
      <c r="MF13" s="97"/>
      <c r="MG13" s="97"/>
      <c r="MH13" s="97"/>
      <c r="MI13" s="97"/>
      <c r="MJ13" s="97"/>
    </row>
    <row r="14" spans="1:348" s="97" customFormat="1" ht="155.25" customHeight="1" x14ac:dyDescent="0.2">
      <c r="A14" s="441" t="s">
        <v>1814</v>
      </c>
      <c r="B14" s="441" t="s">
        <v>1826</v>
      </c>
      <c r="C14" s="908"/>
      <c r="D14" s="441" t="s">
        <v>882</v>
      </c>
      <c r="E14" s="442" t="s">
        <v>885</v>
      </c>
      <c r="F14" s="117">
        <v>0.11</v>
      </c>
      <c r="G14" s="441">
        <v>0</v>
      </c>
      <c r="H14" s="197">
        <v>0</v>
      </c>
      <c r="I14" s="117">
        <v>0</v>
      </c>
      <c r="J14" s="197">
        <f>'Plan de Acción 2022'!R196</f>
        <v>0.1</v>
      </c>
      <c r="K14" s="107">
        <v>0.1</v>
      </c>
      <c r="L14" s="107">
        <f>('Plan de Acción 2022'!W196+'Plan de Acción 2022'!W197+'Plan de Acción 2022'!W198+'Plan de Acción 2022'!W199)/4</f>
        <v>0.375</v>
      </c>
      <c r="M14" s="204">
        <f>(L14*10%)/(J14-I14)</f>
        <v>0.37500000000000006</v>
      </c>
      <c r="N14" s="107" t="s">
        <v>2077</v>
      </c>
      <c r="O14" s="107">
        <f>('Plan de Acción 2022'!AA196+'Plan de Acción 2022'!AA197+'Plan de Acción 2022'!AA198+'Plan de Acción 2022'!AA199)/4</f>
        <v>0.52500000000000002</v>
      </c>
      <c r="P14" s="204">
        <f>(O14*10%)/(J14-I14)</f>
        <v>0.52500000000000002</v>
      </c>
      <c r="Q14" s="479" t="s">
        <v>2080</v>
      </c>
      <c r="R14" s="107">
        <f>('Plan de Acción 2022'!AE196+'Plan de Acción 2022'!AE197+'Plan de Acción 2022'!AE198+'Plan de Acción 2022'!AE199)/4</f>
        <v>73.75</v>
      </c>
      <c r="S14" s="204">
        <f>(R14*10%)/(J14-I14)</f>
        <v>73.75</v>
      </c>
      <c r="T14" s="442"/>
      <c r="U14" s="107">
        <f>('Plan de Acción 2022'!AH196+'Plan de Acción 2022'!AH197+'Plan de Acción 2022'!AH198+'Plan de Acción 2022'!AH199)/4</f>
        <v>0</v>
      </c>
      <c r="V14" s="204">
        <f>(U14*10%)/(J14-I14)</f>
        <v>0</v>
      </c>
      <c r="W14" s="198"/>
    </row>
    <row r="15" spans="1:348" s="97" customFormat="1" ht="122.25" customHeight="1" x14ac:dyDescent="0.2">
      <c r="A15" s="441" t="s">
        <v>1719</v>
      </c>
      <c r="B15" s="441" t="s">
        <v>1832</v>
      </c>
      <c r="C15" s="908" t="s">
        <v>1833</v>
      </c>
      <c r="D15" s="441" t="s">
        <v>1481</v>
      </c>
      <c r="E15" s="441" t="s">
        <v>1834</v>
      </c>
      <c r="F15" s="107">
        <v>0.5</v>
      </c>
      <c r="G15" s="441">
        <v>0</v>
      </c>
      <c r="H15" s="107">
        <v>0.5</v>
      </c>
      <c r="I15" s="107">
        <v>0.5</v>
      </c>
      <c r="J15" s="107">
        <f>'Plan de Acción 2022'!R339</f>
        <v>1</v>
      </c>
      <c r="K15" s="107">
        <v>1</v>
      </c>
      <c r="L15" s="107">
        <f>('Plan de Acción 2022'!W339+'Plan de Acción 2022'!W340+'Plan de Acción 2022'!W341+'Plan de Acción 2022'!W342+'Plan de Acción 2022'!W343)/5</f>
        <v>0.04</v>
      </c>
      <c r="M15" s="204">
        <f>(L15*50%)/(J15-I15)</f>
        <v>0.04</v>
      </c>
      <c r="N15" s="107" t="s">
        <v>1835</v>
      </c>
      <c r="O15" s="107">
        <f>('Plan de Acción 2022'!AA339+'Plan de Acción 2022'!AA340+'Plan de Acción 2022'!AA341+'Plan de Acción 2022'!AA342+'Plan de Acción 2022'!AA343)/5</f>
        <v>0.5</v>
      </c>
      <c r="P15" s="204">
        <f>(O15*50%)/(J15-I15)</f>
        <v>0.5</v>
      </c>
      <c r="Q15" s="107" t="s">
        <v>2081</v>
      </c>
      <c r="R15" s="107">
        <f>('Plan de Acción 2022'!AE339+'Plan de Acción 2022'!AE340+'Plan de Acción 2022'!AE341+'Plan de Acción 2022'!AE342+'Plan de Acción 2022'!AE343)/5</f>
        <v>88</v>
      </c>
      <c r="S15" s="204">
        <f>(R15*50%)/(J15-I15)</f>
        <v>88</v>
      </c>
      <c r="T15" s="107"/>
      <c r="U15" s="107">
        <f>('Plan de Acción 2022'!AH339+'Plan de Acción 2022'!AH340+'Plan de Acción 2022'!AH341+'Plan de Acción 2022'!AH342+'Plan de Acción 2022'!AH343)/5</f>
        <v>0</v>
      </c>
      <c r="V15" s="204">
        <f>(U15*50%)/(J15-I15)</f>
        <v>0</v>
      </c>
      <c r="W15" s="205"/>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row>
    <row r="16" spans="1:348" s="97" customFormat="1" ht="88.5" customHeight="1" x14ac:dyDescent="0.2">
      <c r="A16" s="441" t="s">
        <v>1719</v>
      </c>
      <c r="B16" s="441" t="s">
        <v>1832</v>
      </c>
      <c r="C16" s="908"/>
      <c r="D16" s="199" t="s">
        <v>1836</v>
      </c>
      <c r="E16" s="199" t="s">
        <v>1837</v>
      </c>
      <c r="F16" s="199"/>
      <c r="G16" s="441">
        <v>0</v>
      </c>
      <c r="H16" s="107">
        <v>1</v>
      </c>
      <c r="I16" s="107">
        <v>1</v>
      </c>
      <c r="J16" s="107" t="s">
        <v>52</v>
      </c>
      <c r="K16" s="107">
        <v>1</v>
      </c>
      <c r="L16" s="107"/>
      <c r="M16" s="107" t="s">
        <v>52</v>
      </c>
      <c r="N16" s="204" t="s">
        <v>52</v>
      </c>
      <c r="O16" s="204" t="s">
        <v>52</v>
      </c>
      <c r="P16" s="107" t="s">
        <v>52</v>
      </c>
      <c r="Q16" s="204" t="s">
        <v>52</v>
      </c>
      <c r="R16" s="204" t="s">
        <v>52</v>
      </c>
      <c r="S16" s="107" t="s">
        <v>52</v>
      </c>
      <c r="T16" s="204" t="s">
        <v>52</v>
      </c>
      <c r="U16" s="204" t="s">
        <v>52</v>
      </c>
      <c r="V16" s="107" t="s">
        <v>52</v>
      </c>
      <c r="W16" s="204" t="s">
        <v>52</v>
      </c>
    </row>
    <row r="17" spans="1:348" ht="93" customHeight="1" x14ac:dyDescent="0.2">
      <c r="A17" s="440" t="s">
        <v>1719</v>
      </c>
      <c r="B17" s="440" t="s">
        <v>1832</v>
      </c>
      <c r="C17" s="908"/>
      <c r="D17" s="441" t="s">
        <v>1838</v>
      </c>
      <c r="E17" s="440" t="s">
        <v>1839</v>
      </c>
      <c r="F17" s="111">
        <v>0.2</v>
      </c>
      <c r="G17" s="440">
        <v>0</v>
      </c>
      <c r="H17" s="111">
        <v>0.3</v>
      </c>
      <c r="I17" s="107">
        <v>0.3</v>
      </c>
      <c r="J17" s="111">
        <f>'Plan de Acción 2022'!R344</f>
        <v>0.6</v>
      </c>
      <c r="K17" s="111">
        <v>1</v>
      </c>
      <c r="L17" s="111">
        <f>('Plan de Acción 2022'!W344)</f>
        <v>0</v>
      </c>
      <c r="M17" s="373">
        <f>(L17*30%)/(J17-I17)</f>
        <v>0</v>
      </c>
      <c r="N17" s="111" t="s">
        <v>1500</v>
      </c>
      <c r="O17" s="111">
        <f>('Plan de Acción 2022'!AA344)</f>
        <v>0.2</v>
      </c>
      <c r="P17" s="204">
        <f>(O17*30%)/(J17-I17)</f>
        <v>0.2</v>
      </c>
      <c r="Q17" s="440" t="s">
        <v>2082</v>
      </c>
      <c r="R17" s="111">
        <f>('Plan de Acción 2022'!AE344)</f>
        <v>90</v>
      </c>
      <c r="S17" s="204">
        <f>(R17*30%)/(J17-I17)</f>
        <v>90</v>
      </c>
      <c r="T17" s="107"/>
      <c r="U17" s="111">
        <f>('Plan de Acción 2022'!AH344)</f>
        <v>0</v>
      </c>
      <c r="V17" s="204">
        <f>(U17*30%)/(J17-I17)</f>
        <v>0</v>
      </c>
      <c r="W17" s="205"/>
      <c r="EF17" s="97"/>
      <c r="EG17" s="97"/>
      <c r="EH17" s="97"/>
      <c r="EI17" s="97"/>
      <c r="EJ17" s="97"/>
      <c r="EK17" s="97"/>
      <c r="EL17" s="97"/>
      <c r="EM17" s="97"/>
      <c r="EN17" s="97"/>
      <c r="EO17" s="97"/>
      <c r="EP17" s="97"/>
      <c r="EQ17" s="97"/>
      <c r="ER17" s="97"/>
      <c r="ES17" s="97"/>
      <c r="ET17" s="97"/>
      <c r="EU17" s="97"/>
      <c r="EV17" s="97"/>
      <c r="EW17" s="97"/>
      <c r="EX17" s="97"/>
      <c r="EY17" s="97"/>
      <c r="EZ17" s="97"/>
      <c r="FA17" s="97"/>
      <c r="FB17" s="97"/>
      <c r="FC17" s="97"/>
      <c r="FD17" s="97"/>
      <c r="FE17" s="97"/>
      <c r="FF17" s="97"/>
      <c r="FG17" s="97"/>
      <c r="FH17" s="97"/>
      <c r="FI17" s="97"/>
      <c r="FJ17" s="97"/>
      <c r="FK17" s="97"/>
      <c r="FL17" s="97"/>
      <c r="FM17" s="97"/>
      <c r="FN17" s="97"/>
      <c r="FO17" s="97"/>
      <c r="FP17" s="97"/>
      <c r="FQ17" s="97"/>
      <c r="FR17" s="97"/>
      <c r="FS17" s="97"/>
      <c r="FT17" s="97"/>
      <c r="FU17" s="97"/>
      <c r="FV17" s="97"/>
      <c r="FW17" s="97"/>
      <c r="FX17" s="97"/>
      <c r="FY17" s="97"/>
      <c r="FZ17" s="97"/>
      <c r="GA17" s="97"/>
      <c r="GB17" s="97"/>
      <c r="GC17" s="97"/>
      <c r="GD17" s="97"/>
      <c r="GE17" s="97"/>
      <c r="GF17" s="97"/>
      <c r="GG17" s="97"/>
      <c r="GH17" s="97"/>
      <c r="GI17" s="97"/>
      <c r="GJ17" s="97"/>
      <c r="GK17" s="97"/>
      <c r="GL17" s="97"/>
      <c r="GM17" s="97"/>
      <c r="GN17" s="97"/>
      <c r="GO17" s="97"/>
      <c r="GP17" s="97"/>
      <c r="GQ17" s="97"/>
      <c r="GR17" s="97"/>
      <c r="GS17" s="97"/>
      <c r="GT17" s="97"/>
      <c r="GU17" s="97"/>
      <c r="GV17" s="97"/>
      <c r="GW17" s="97"/>
      <c r="GX17" s="97"/>
      <c r="GY17" s="97"/>
      <c r="GZ17" s="97"/>
      <c r="HA17" s="97"/>
      <c r="HB17" s="97"/>
      <c r="HC17" s="97"/>
      <c r="HD17" s="97"/>
      <c r="HE17" s="97"/>
      <c r="HF17" s="97"/>
      <c r="HG17" s="97"/>
      <c r="HH17" s="97"/>
      <c r="HI17" s="97"/>
      <c r="HJ17" s="97"/>
      <c r="HK17" s="97"/>
      <c r="HL17" s="97"/>
      <c r="HM17" s="97"/>
      <c r="HN17" s="97"/>
      <c r="HO17" s="97"/>
      <c r="HP17" s="97"/>
      <c r="HQ17" s="97"/>
      <c r="HR17" s="97"/>
      <c r="HS17" s="97"/>
      <c r="HT17" s="97"/>
      <c r="HU17" s="97"/>
      <c r="HV17" s="97"/>
      <c r="HW17" s="97"/>
      <c r="HX17" s="97"/>
      <c r="HY17" s="97"/>
      <c r="HZ17" s="97"/>
      <c r="IA17" s="97"/>
      <c r="IB17" s="97"/>
      <c r="IC17" s="97"/>
      <c r="ID17" s="97"/>
      <c r="IE17" s="97"/>
      <c r="IF17" s="97"/>
      <c r="IG17" s="97"/>
      <c r="IH17" s="97"/>
      <c r="II17" s="97"/>
      <c r="IJ17" s="97"/>
      <c r="IK17" s="97"/>
      <c r="IL17" s="97"/>
      <c r="IM17" s="97"/>
      <c r="IN17" s="97"/>
      <c r="IO17" s="97"/>
      <c r="IP17" s="97"/>
      <c r="IQ17" s="97"/>
      <c r="IR17" s="97"/>
      <c r="IS17" s="97"/>
      <c r="IT17" s="97"/>
      <c r="IU17" s="97"/>
      <c r="IV17" s="97"/>
      <c r="IW17" s="97"/>
      <c r="IX17" s="97"/>
      <c r="IY17" s="97"/>
      <c r="IZ17" s="97"/>
      <c r="JA17" s="97"/>
      <c r="JB17" s="97"/>
      <c r="JC17" s="97"/>
      <c r="JD17" s="97"/>
      <c r="JE17" s="97"/>
      <c r="JF17" s="97"/>
      <c r="JG17" s="97"/>
      <c r="JH17" s="97"/>
      <c r="JI17" s="97"/>
      <c r="JJ17" s="97"/>
      <c r="JK17" s="97"/>
      <c r="JL17" s="97"/>
      <c r="JM17" s="97"/>
      <c r="JN17" s="97"/>
      <c r="JO17" s="97"/>
      <c r="JP17" s="97"/>
      <c r="JQ17" s="97"/>
      <c r="JR17" s="97"/>
      <c r="JS17" s="97"/>
      <c r="JT17" s="97"/>
      <c r="JU17" s="97"/>
      <c r="JV17" s="97"/>
      <c r="JW17" s="97"/>
      <c r="JX17" s="97"/>
      <c r="JY17" s="97"/>
      <c r="JZ17" s="97"/>
      <c r="KA17" s="97"/>
      <c r="KB17" s="97"/>
      <c r="KC17" s="97"/>
      <c r="KD17" s="97"/>
      <c r="KE17" s="97"/>
      <c r="KF17" s="97"/>
      <c r="KG17" s="97"/>
      <c r="KH17" s="97"/>
      <c r="KI17" s="97"/>
      <c r="KJ17" s="97"/>
      <c r="KK17" s="97"/>
      <c r="KL17" s="97"/>
      <c r="KM17" s="97"/>
      <c r="KN17" s="97"/>
      <c r="KO17" s="97"/>
      <c r="KP17" s="97"/>
      <c r="KQ17" s="97"/>
      <c r="KR17" s="97"/>
      <c r="KS17" s="97"/>
      <c r="KT17" s="97"/>
      <c r="KU17" s="97"/>
      <c r="KV17" s="97"/>
      <c r="KW17" s="97"/>
      <c r="KX17" s="97"/>
      <c r="KY17" s="97"/>
      <c r="KZ17" s="97"/>
      <c r="LA17" s="97"/>
      <c r="LB17" s="97"/>
      <c r="LC17" s="97"/>
      <c r="LD17" s="97"/>
      <c r="LE17" s="97"/>
      <c r="LF17" s="97"/>
      <c r="LG17" s="97"/>
      <c r="LH17" s="97"/>
      <c r="LI17" s="97"/>
      <c r="LJ17" s="97"/>
      <c r="LK17" s="97"/>
      <c r="LL17" s="97"/>
      <c r="LM17" s="97"/>
      <c r="LN17" s="97"/>
      <c r="LO17" s="97"/>
      <c r="LP17" s="97"/>
      <c r="LQ17" s="97"/>
      <c r="LR17" s="97"/>
      <c r="LS17" s="97"/>
      <c r="LT17" s="97"/>
      <c r="LU17" s="97"/>
      <c r="LV17" s="97"/>
      <c r="LW17" s="97"/>
      <c r="LX17" s="97"/>
      <c r="LY17" s="97"/>
      <c r="LZ17" s="97"/>
      <c r="MA17" s="97"/>
      <c r="MB17" s="97"/>
      <c r="MC17" s="97"/>
      <c r="MD17" s="97"/>
      <c r="ME17" s="97"/>
      <c r="MF17" s="97"/>
      <c r="MG17" s="97"/>
      <c r="MH17" s="97"/>
      <c r="MI17" s="97"/>
      <c r="MJ17" s="97"/>
    </row>
    <row r="18" spans="1:348" s="97" customFormat="1" ht="173.25" x14ac:dyDescent="0.2">
      <c r="A18" s="441" t="s">
        <v>1719</v>
      </c>
      <c r="B18" s="441" t="s">
        <v>1832</v>
      </c>
      <c r="C18" s="908"/>
      <c r="D18" s="199" t="s">
        <v>1840</v>
      </c>
      <c r="E18" s="199" t="s">
        <v>1841</v>
      </c>
      <c r="F18" s="199"/>
      <c r="G18" s="107">
        <v>0</v>
      </c>
      <c r="H18" s="107">
        <v>0</v>
      </c>
      <c r="I18" s="107">
        <v>0</v>
      </c>
      <c r="J18" s="107">
        <v>0</v>
      </c>
      <c r="K18" s="107">
        <v>1</v>
      </c>
      <c r="L18" s="204"/>
      <c r="M18" s="107" t="s">
        <v>52</v>
      </c>
      <c r="N18" s="107" t="s">
        <v>52</v>
      </c>
      <c r="O18" s="107" t="s">
        <v>52</v>
      </c>
      <c r="P18" s="107" t="s">
        <v>52</v>
      </c>
      <c r="Q18" s="107" t="s">
        <v>52</v>
      </c>
      <c r="R18" s="107" t="s">
        <v>52</v>
      </c>
      <c r="S18" s="107" t="s">
        <v>52</v>
      </c>
      <c r="T18" s="204" t="s">
        <v>52</v>
      </c>
      <c r="U18" s="204" t="s">
        <v>52</v>
      </c>
      <c r="V18" s="107" t="s">
        <v>52</v>
      </c>
      <c r="W18" s="204" t="s">
        <v>52</v>
      </c>
    </row>
    <row r="19" spans="1:348" s="97" customFormat="1" ht="173.25" x14ac:dyDescent="0.2">
      <c r="A19" s="441" t="s">
        <v>1719</v>
      </c>
      <c r="B19" s="441" t="s">
        <v>1832</v>
      </c>
      <c r="C19" s="908"/>
      <c r="D19" s="199" t="s">
        <v>1842</v>
      </c>
      <c r="E19" s="199" t="s">
        <v>1843</v>
      </c>
      <c r="F19" s="199"/>
      <c r="G19" s="107">
        <v>0</v>
      </c>
      <c r="H19" s="107">
        <v>0</v>
      </c>
      <c r="I19" s="107">
        <v>0</v>
      </c>
      <c r="J19" s="107">
        <v>0</v>
      </c>
      <c r="K19" s="107">
        <v>1</v>
      </c>
      <c r="L19" s="204" t="s">
        <v>52</v>
      </c>
      <c r="M19" s="107" t="s">
        <v>52</v>
      </c>
      <c r="N19" s="204" t="s">
        <v>52</v>
      </c>
      <c r="O19" s="204" t="s">
        <v>52</v>
      </c>
      <c r="P19" s="107" t="s">
        <v>52</v>
      </c>
      <c r="Q19" s="204" t="s">
        <v>52</v>
      </c>
      <c r="R19" s="204" t="s">
        <v>52</v>
      </c>
      <c r="S19" s="107" t="s">
        <v>52</v>
      </c>
      <c r="T19" s="107" t="s">
        <v>52</v>
      </c>
      <c r="U19" s="204" t="s">
        <v>52</v>
      </c>
      <c r="V19" s="107" t="s">
        <v>52</v>
      </c>
      <c r="W19" s="107" t="s">
        <v>52</v>
      </c>
    </row>
    <row r="20" spans="1:348" s="97" customFormat="1" ht="174.75" customHeight="1" x14ac:dyDescent="0.2">
      <c r="A20" s="441" t="s">
        <v>1719</v>
      </c>
      <c r="B20" s="441" t="s">
        <v>1844</v>
      </c>
      <c r="C20" s="909" t="s">
        <v>1845</v>
      </c>
      <c r="D20" s="442" t="s">
        <v>1247</v>
      </c>
      <c r="E20" s="441" t="s">
        <v>1248</v>
      </c>
      <c r="F20" s="107">
        <v>0.43</v>
      </c>
      <c r="G20" s="441">
        <v>0</v>
      </c>
      <c r="H20" s="107">
        <v>1</v>
      </c>
      <c r="I20" s="107">
        <v>1</v>
      </c>
      <c r="J20" s="107">
        <f>'Plan de Acción 2022'!R345</f>
        <v>1</v>
      </c>
      <c r="K20" s="107">
        <v>1</v>
      </c>
      <c r="L20" s="107">
        <f>('Plan de Acción 2022'!W345+'Plan de Acción 2022'!W346+'Plan de Acción 2022'!W347+'Plan de Acción 2022'!W348)/4</f>
        <v>0.27500000000000002</v>
      </c>
      <c r="M20" s="204">
        <f>(L20*100%)/J20</f>
        <v>0.27500000000000002</v>
      </c>
      <c r="N20" s="107" t="s">
        <v>1846</v>
      </c>
      <c r="O20" s="107">
        <f>('Plan de Acción 2022'!AA345+'Plan de Acción 2022'!AA346+'Plan de Acción 2022'!AA347+'Plan de Acción 2022'!AA348)/4</f>
        <v>0.43000000000000005</v>
      </c>
      <c r="P20" s="204">
        <f>(O20*100%)</f>
        <v>0.43000000000000005</v>
      </c>
      <c r="Q20" s="107" t="s">
        <v>2119</v>
      </c>
      <c r="R20" s="107">
        <f>('Plan de Acción 2022'!AE345+'Plan de Acción 2022'!AE346+'Plan de Acción 2022'!AE347+'Plan de Acción 2022'!AE348)/4</f>
        <v>92.5</v>
      </c>
      <c r="S20" s="204">
        <f>(R20*100%)/J20</f>
        <v>92.5</v>
      </c>
      <c r="T20" s="107"/>
      <c r="U20" s="107">
        <f>('Plan de Acción 2022'!AH345+'Plan de Acción 2022'!AH346+'Plan de Acción 2022'!AH347+'Plan de Acción 2022'!AH348)/4</f>
        <v>0</v>
      </c>
      <c r="V20" s="204">
        <f>(U20*100%)/J20</f>
        <v>0</v>
      </c>
      <c r="W20" s="107">
        <f>('Plan de Acción 2022'!AJ345+'Plan de Acción 2022'!AJ346+'Plan de Acción 2022'!AJ347+'Plan de Acción 2022'!AJ348)/4</f>
        <v>0</v>
      </c>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c r="DG20" s="93"/>
      <c r="DH20" s="93"/>
      <c r="DI20" s="93"/>
      <c r="DJ20" s="93"/>
      <c r="DK20" s="93"/>
      <c r="DL20" s="93"/>
      <c r="DM20" s="93"/>
      <c r="DN20" s="93"/>
      <c r="DO20" s="93"/>
      <c r="DP20" s="93"/>
      <c r="DQ20" s="93"/>
      <c r="DR20" s="93"/>
      <c r="DS20" s="93"/>
      <c r="DT20" s="93"/>
      <c r="DU20" s="93"/>
      <c r="DV20" s="93"/>
      <c r="DW20" s="93"/>
      <c r="DX20" s="93"/>
      <c r="DY20" s="93"/>
      <c r="DZ20" s="93"/>
      <c r="EA20" s="93"/>
      <c r="EB20" s="93"/>
      <c r="EC20" s="93"/>
      <c r="ED20" s="93"/>
      <c r="EE20" s="93"/>
    </row>
    <row r="21" spans="1:348" s="97" customFormat="1" ht="98.25" customHeight="1" x14ac:dyDescent="0.2">
      <c r="A21" s="441" t="s">
        <v>1719</v>
      </c>
      <c r="B21" s="441" t="s">
        <v>1844</v>
      </c>
      <c r="C21" s="909"/>
      <c r="D21" s="442" t="s">
        <v>1847</v>
      </c>
      <c r="E21" s="441" t="s">
        <v>1162</v>
      </c>
      <c r="F21" s="107">
        <v>0.31</v>
      </c>
      <c r="G21" s="441">
        <v>0</v>
      </c>
      <c r="H21" s="107">
        <v>1</v>
      </c>
      <c r="I21" s="107">
        <v>1</v>
      </c>
      <c r="J21" s="107">
        <f>'Plan de Acción 2022'!R348</f>
        <v>1</v>
      </c>
      <c r="K21" s="107">
        <v>1</v>
      </c>
      <c r="L21" s="107" t="e">
        <f>('Plan de Acción 2022'!W348+'Plan de Acción 2022'!W349+'Plan de Acción 2022'!W350+'Plan de Acción 2022'!W351+'Plan de Acción 2022'!W352+'Plan de Acción 2022'!W353+'Plan de Acción 2022'!#REF!+'Plan de Acción 2022'!W354+'Plan de Acción 2022'!W355+'Plan de Acción 2022'!W356+'Plan de Acción 2022'!W357+'Plan de Acción 2022'!W359)/12</f>
        <v>#REF!</v>
      </c>
      <c r="M21" s="204" t="e">
        <f>(L21*100%)/J21</f>
        <v>#REF!</v>
      </c>
      <c r="N21" s="107" t="s">
        <v>1848</v>
      </c>
      <c r="O21" s="107" t="e">
        <f>('Plan de Acción 2022'!AA348+'Plan de Acción 2022'!AA349+'Plan de Acción 2022'!AA350+'Plan de Acción 2022'!AA351+'Plan de Acción 2022'!AA352+'Plan de Acción 2022'!AA353+'Plan de Acción 2022'!#REF!+'Plan de Acción 2022'!AA354+'Plan de Acción 2022'!AA355+'Plan de Acción 2022'!AA356+'Plan de Acción 2022'!AA357+'Plan de Acción 2022'!AA359)/12</f>
        <v>#REF!</v>
      </c>
      <c r="P21" s="204" t="e">
        <f>(O21*100%)</f>
        <v>#REF!</v>
      </c>
      <c r="Q21" s="480" t="s">
        <v>2083</v>
      </c>
      <c r="R21" s="107" t="e">
        <f>('Plan de Acción 2022'!AE348+'Plan de Acción 2022'!AE349+'Plan de Acción 2022'!AE350+'Plan de Acción 2022'!AE351+'Plan de Acción 2022'!AE352+'Plan de Acción 2022'!AE353+'Plan de Acción 2022'!#REF!+'Plan de Acción 2022'!AE354+'Plan de Acción 2022'!AE355+'Plan de Acción 2022'!AE356+'Plan de Acción 2022'!AE357+'Plan de Acción 2022'!AE359)/12</f>
        <v>#REF!</v>
      </c>
      <c r="S21" s="204" t="e">
        <f>(R21*100%)/J21</f>
        <v>#REF!</v>
      </c>
      <c r="T21" s="107"/>
      <c r="U21" s="107" t="e">
        <f>('Plan de Acción 2022'!AH348+'Plan de Acción 2022'!AH349+'Plan de Acción 2022'!AH350+'Plan de Acción 2022'!AH351+'Plan de Acción 2022'!AH352+'Plan de Acción 2022'!AH353+'Plan de Acción 2022'!#REF!+'Plan de Acción 2022'!AH354+'Plan de Acción 2022'!AH355+'Plan de Acción 2022'!AH356+'Plan de Acción 2022'!AH357+'Plan de Acción 2022'!AH359)/12</f>
        <v>#REF!</v>
      </c>
      <c r="V21" s="204" t="e">
        <f>(U21*100%)/J21</f>
        <v>#REF!</v>
      </c>
      <c r="W21" s="114"/>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row>
    <row r="22" spans="1:348" s="97" customFormat="1" ht="128.25" customHeight="1" x14ac:dyDescent="0.2">
      <c r="A22" s="441" t="s">
        <v>1719</v>
      </c>
      <c r="B22" s="441" t="s">
        <v>1832</v>
      </c>
      <c r="C22" s="909" t="s">
        <v>1849</v>
      </c>
      <c r="D22" s="441" t="s">
        <v>1850</v>
      </c>
      <c r="E22" s="441" t="s">
        <v>1545</v>
      </c>
      <c r="F22" s="107">
        <v>0.2</v>
      </c>
      <c r="G22" s="441">
        <v>0</v>
      </c>
      <c r="H22" s="107">
        <v>1</v>
      </c>
      <c r="I22" s="112">
        <v>1</v>
      </c>
      <c r="J22" s="107">
        <f>'Plan de Acción 2022'!R349</f>
        <v>1</v>
      </c>
      <c r="K22" s="107">
        <v>1</v>
      </c>
      <c r="L22" s="107">
        <f>'Plan de Acción 2022'!W360</f>
        <v>0.2</v>
      </c>
      <c r="M22" s="204">
        <f>(L22*100%)/J22</f>
        <v>0.2</v>
      </c>
      <c r="N22" s="107" t="s">
        <v>1546</v>
      </c>
      <c r="O22" s="107">
        <f>'Plan de Acción 2022'!AA360</f>
        <v>0.2</v>
      </c>
      <c r="P22" s="204">
        <f>(O22*100%)</f>
        <v>0.2</v>
      </c>
      <c r="Q22" s="107" t="str">
        <f>CONCATENATE('Plan de Acción 2022'!AB360)</f>
        <v>Actividad programada para el 2º semestre</v>
      </c>
      <c r="R22" s="107">
        <f>'Plan de Acción 2022'!AE360</f>
        <v>90</v>
      </c>
      <c r="S22" s="204">
        <f>(R22*100%)/J22</f>
        <v>90</v>
      </c>
      <c r="T22" s="445"/>
      <c r="U22" s="107">
        <f>'Plan de Acción 2022'!AH360</f>
        <v>0</v>
      </c>
      <c r="V22" s="204">
        <f>(U22*100%)/J22</f>
        <v>0</v>
      </c>
      <c r="W22" s="11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c r="DL22" s="93"/>
      <c r="DM22" s="93"/>
      <c r="DN22" s="93"/>
      <c r="DO22" s="93"/>
      <c r="DP22" s="93"/>
      <c r="DQ22" s="93"/>
      <c r="DR22" s="93"/>
      <c r="DS22" s="93"/>
      <c r="DT22" s="93"/>
      <c r="DU22" s="93"/>
      <c r="DV22" s="93"/>
      <c r="DW22" s="93"/>
      <c r="DX22" s="93"/>
      <c r="DY22" s="93"/>
      <c r="DZ22" s="93"/>
      <c r="EA22" s="93"/>
      <c r="EB22" s="93"/>
      <c r="EC22" s="93"/>
      <c r="ED22" s="93"/>
      <c r="EE22" s="93"/>
    </row>
    <row r="23" spans="1:348" s="97" customFormat="1" ht="109.5" customHeight="1" x14ac:dyDescent="0.2">
      <c r="A23" s="441" t="s">
        <v>1719</v>
      </c>
      <c r="B23" s="441" t="s">
        <v>1832</v>
      </c>
      <c r="C23" s="909"/>
      <c r="D23" s="441" t="s">
        <v>1548</v>
      </c>
      <c r="E23" s="441" t="s">
        <v>1851</v>
      </c>
      <c r="F23" s="107">
        <v>0.2</v>
      </c>
      <c r="G23" s="441">
        <v>0</v>
      </c>
      <c r="H23" s="107">
        <v>0.25</v>
      </c>
      <c r="I23" s="112">
        <v>0.25</v>
      </c>
      <c r="J23" s="200">
        <v>1</v>
      </c>
      <c r="K23" s="107">
        <v>1</v>
      </c>
      <c r="L23" s="107">
        <f>'Plan de Acción 2022'!W361</f>
        <v>0</v>
      </c>
      <c r="M23" s="373">
        <f>(L23*75%)/(J23-I23)</f>
        <v>0</v>
      </c>
      <c r="N23" s="107" t="s">
        <v>1550</v>
      </c>
      <c r="O23" s="107">
        <f>'Plan de Acción 2022'!AA361</f>
        <v>0.5</v>
      </c>
      <c r="P23" s="204">
        <f>(O23*75%)/(J23-I23)</f>
        <v>0.5</v>
      </c>
      <c r="Q23" s="107" t="s">
        <v>2084</v>
      </c>
      <c r="R23" s="107">
        <f>'Plan de Acción 2022'!AE361</f>
        <v>75</v>
      </c>
      <c r="S23" s="204">
        <f>(R23*75%)/(J23-I23)</f>
        <v>75</v>
      </c>
      <c r="T23" s="445"/>
      <c r="U23" s="107">
        <f>'Plan de Acción 2022'!AH361</f>
        <v>0</v>
      </c>
      <c r="V23" s="204">
        <f>(U23*75%)/(J23-I23)</f>
        <v>0</v>
      </c>
      <c r="W23" s="11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s="93"/>
      <c r="DA23" s="93"/>
      <c r="DB23" s="93"/>
      <c r="DC23" s="93"/>
      <c r="DD23" s="93"/>
      <c r="DE23" s="93"/>
      <c r="DF23" s="93"/>
      <c r="DG23" s="93"/>
      <c r="DH23" s="93"/>
      <c r="DI23" s="93"/>
      <c r="DJ23" s="93"/>
      <c r="DK23" s="93"/>
      <c r="DL23" s="93"/>
      <c r="DM23" s="93"/>
      <c r="DN23" s="93"/>
      <c r="DO23" s="93"/>
      <c r="DP23" s="93"/>
      <c r="DQ23" s="93"/>
      <c r="DR23" s="93"/>
      <c r="DS23" s="93"/>
      <c r="DT23" s="93"/>
      <c r="DU23" s="93"/>
      <c r="DV23" s="93"/>
      <c r="DW23" s="93"/>
      <c r="DX23" s="93"/>
      <c r="DY23" s="93"/>
      <c r="DZ23" s="93"/>
      <c r="EA23" s="93"/>
      <c r="EB23" s="93"/>
      <c r="EC23" s="93"/>
      <c r="ED23" s="93"/>
      <c r="EE23" s="93"/>
    </row>
    <row r="24" spans="1:348" s="97" customFormat="1" ht="167.25" customHeight="1" x14ac:dyDescent="0.2">
      <c r="A24" s="441" t="s">
        <v>1719</v>
      </c>
      <c r="B24" s="441" t="s">
        <v>1832</v>
      </c>
      <c r="C24" s="909"/>
      <c r="D24" s="442" t="s">
        <v>1185</v>
      </c>
      <c r="E24" s="441" t="s">
        <v>1186</v>
      </c>
      <c r="F24" s="484"/>
      <c r="G24" s="441">
        <v>0</v>
      </c>
      <c r="H24" s="107">
        <v>1</v>
      </c>
      <c r="I24" s="115">
        <v>1</v>
      </c>
      <c r="J24" s="107">
        <f>'Plan de Acción 2022'!R362</f>
        <v>1</v>
      </c>
      <c r="K24" s="107">
        <v>1</v>
      </c>
      <c r="L24" s="107">
        <f>('Plan de Acción 2022'!W362+'Plan de Acción 2022'!W363)/2</f>
        <v>0.57499999999999996</v>
      </c>
      <c r="M24" s="204">
        <f>(L24*100%)/J24</f>
        <v>0.57499999999999996</v>
      </c>
      <c r="N24" s="107" t="s">
        <v>1552</v>
      </c>
      <c r="O24" s="107">
        <f>('Plan de Acción 2022'!AA362+'Plan de Acción 2022'!AA363)/2</f>
        <v>0.5</v>
      </c>
      <c r="P24" s="204">
        <f>(O24*100%)/J24</f>
        <v>0.5</v>
      </c>
      <c r="Q24" s="480" t="s">
        <v>2120</v>
      </c>
      <c r="R24" s="107">
        <f>('Plan de Acción 2022'!AE362+'Plan de Acción 2022'!AE363)/2</f>
        <v>75</v>
      </c>
      <c r="S24" s="204">
        <f>(R24*100%)/J24</f>
        <v>75</v>
      </c>
      <c r="T24" s="115"/>
      <c r="U24" s="107">
        <f>('Plan de Acción 2022'!AH362+'Plan de Acción 2022'!AH363)/2</f>
        <v>0</v>
      </c>
      <c r="V24" s="204">
        <f>(U24*100%)/J24</f>
        <v>0</v>
      </c>
      <c r="W24" s="116"/>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c r="DG24" s="93"/>
      <c r="DH24" s="93"/>
      <c r="DI24" s="93"/>
      <c r="DJ24" s="93"/>
      <c r="DK24" s="93"/>
      <c r="DL24" s="93"/>
      <c r="DM24" s="93"/>
      <c r="DN24" s="93"/>
      <c r="DO24" s="93"/>
      <c r="DP24" s="93"/>
      <c r="DQ24" s="93"/>
      <c r="DR24" s="93"/>
      <c r="DS24" s="93"/>
      <c r="DT24" s="93"/>
      <c r="DU24" s="93"/>
      <c r="DV24" s="93"/>
      <c r="DW24" s="93"/>
      <c r="DX24" s="93"/>
      <c r="DY24" s="93"/>
      <c r="DZ24" s="93"/>
      <c r="EA24" s="93"/>
      <c r="EB24" s="93"/>
      <c r="EC24" s="93"/>
      <c r="ED24" s="93"/>
      <c r="EE24" s="93"/>
    </row>
    <row r="25" spans="1:348" s="97" customFormat="1" ht="89.25" customHeight="1" x14ac:dyDescent="0.2">
      <c r="A25" s="441" t="s">
        <v>1719</v>
      </c>
      <c r="B25" s="441" t="s">
        <v>1832</v>
      </c>
      <c r="C25" s="909"/>
      <c r="D25" s="441" t="s">
        <v>1852</v>
      </c>
      <c r="E25" s="441" t="s">
        <v>1853</v>
      </c>
      <c r="F25" s="107">
        <v>0.4</v>
      </c>
      <c r="G25" s="441">
        <v>0</v>
      </c>
      <c r="H25" s="107">
        <v>0.25</v>
      </c>
      <c r="I25" s="112">
        <v>0.25</v>
      </c>
      <c r="J25" s="107">
        <f>'Plan de Acción 2022'!R364</f>
        <v>0.5</v>
      </c>
      <c r="K25" s="107">
        <v>1</v>
      </c>
      <c r="L25" s="107">
        <f>'Plan de Acción 2022'!W364</f>
        <v>0.1</v>
      </c>
      <c r="M25" s="204">
        <f>(L25*25%)/(J25-I25)</f>
        <v>0.1</v>
      </c>
      <c r="N25" s="107" t="s">
        <v>1560</v>
      </c>
      <c r="O25" s="107">
        <f>'Plan de Acción 2022'!AA364</f>
        <v>0.4</v>
      </c>
      <c r="P25" s="204">
        <f>(O25*25%)/(J25-I25)</f>
        <v>0.4</v>
      </c>
      <c r="Q25" s="480" t="s">
        <v>2085</v>
      </c>
      <c r="R25" s="107">
        <f>'Plan de Acción 2022'!AE364</f>
        <v>75</v>
      </c>
      <c r="S25" s="204">
        <f>(R25*25%)/(J25-I25)</f>
        <v>75</v>
      </c>
      <c r="T25" s="445"/>
      <c r="U25" s="107">
        <f>'Plan de Acción 2022'!AH364</f>
        <v>0</v>
      </c>
      <c r="V25" s="204">
        <f>(U25*25%)/(J25-I25)</f>
        <v>0</v>
      </c>
      <c r="W25" s="11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c r="DH25" s="93"/>
      <c r="DI25" s="93"/>
      <c r="DJ25" s="93"/>
      <c r="DK25" s="93"/>
      <c r="DL25" s="93"/>
      <c r="DM25" s="93"/>
      <c r="DN25" s="93"/>
      <c r="DO25" s="93"/>
      <c r="DP25" s="93"/>
      <c r="DQ25" s="93"/>
      <c r="DR25" s="93"/>
      <c r="DS25" s="93"/>
      <c r="DT25" s="93"/>
      <c r="DU25" s="93"/>
      <c r="DV25" s="93"/>
      <c r="DW25" s="93"/>
      <c r="DX25" s="93"/>
      <c r="DY25" s="93"/>
      <c r="DZ25" s="93"/>
      <c r="EA25" s="93"/>
      <c r="EB25" s="93"/>
      <c r="EC25" s="93"/>
      <c r="ED25" s="93"/>
      <c r="EE25" s="93"/>
      <c r="EF25" s="93"/>
      <c r="EG25" s="93"/>
      <c r="EH25" s="93"/>
      <c r="EI25" s="93"/>
      <c r="EJ25" s="93"/>
    </row>
    <row r="26" spans="1:348" s="97" customFormat="1" ht="229.5" customHeight="1" x14ac:dyDescent="0.2">
      <c r="A26" s="441" t="s">
        <v>1719</v>
      </c>
      <c r="B26" s="441" t="s">
        <v>1832</v>
      </c>
      <c r="C26" s="909"/>
      <c r="D26" s="442" t="s">
        <v>1854</v>
      </c>
      <c r="E26" s="441" t="s">
        <v>1855</v>
      </c>
      <c r="F26" s="107">
        <v>0.35</v>
      </c>
      <c r="G26" s="441">
        <v>0</v>
      </c>
      <c r="H26" s="107">
        <v>0.25</v>
      </c>
      <c r="I26" s="112">
        <v>0.21</v>
      </c>
      <c r="J26" s="107">
        <f>'Plan de Acción 2022'!R365</f>
        <v>1</v>
      </c>
      <c r="K26" s="107">
        <v>1</v>
      </c>
      <c r="L26" s="107">
        <f>('Plan de Acción 2022'!W365+'Plan de Acción 2022'!W366)/2</f>
        <v>0</v>
      </c>
      <c r="M26" s="204">
        <f>(L26*29%)/(J26-I26)</f>
        <v>0</v>
      </c>
      <c r="N26" s="107" t="s">
        <v>1856</v>
      </c>
      <c r="O26" s="107">
        <f>('Plan de Acción 2022'!AA365+'Plan de Acción 2022'!AA366)/2</f>
        <v>0.35</v>
      </c>
      <c r="P26" s="204">
        <f>(O26*79%)/(J26-I26)</f>
        <v>0.34999999999999992</v>
      </c>
      <c r="Q26" s="480" t="s">
        <v>2087</v>
      </c>
      <c r="R26" s="107">
        <f>('Plan de Acción 2022'!AE365+'Plan de Acción 2022'!AE366)/2</f>
        <v>55</v>
      </c>
      <c r="S26" s="204">
        <f>(R26*29%)/(J26-I26)</f>
        <v>20.189873417721518</v>
      </c>
      <c r="T26" s="445"/>
      <c r="U26" s="107">
        <f>('Plan de Acción 2022'!AH365+'Plan de Acción 2022'!AH366)/2</f>
        <v>0</v>
      </c>
      <c r="V26" s="204">
        <f>(U26*29%)/(J26-I26)</f>
        <v>0</v>
      </c>
      <c r="W26" s="11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row>
    <row r="27" spans="1:348" s="97" customFormat="1" ht="141" customHeight="1" x14ac:dyDescent="0.2">
      <c r="A27" s="441" t="s">
        <v>1719</v>
      </c>
      <c r="B27" s="110" t="s">
        <v>1857</v>
      </c>
      <c r="C27" s="910" t="s">
        <v>1858</v>
      </c>
      <c r="D27" s="441" t="s">
        <v>1167</v>
      </c>
      <c r="E27" s="441" t="s">
        <v>1168</v>
      </c>
      <c r="F27" s="107">
        <v>0.3</v>
      </c>
      <c r="G27" s="442" t="s">
        <v>1859</v>
      </c>
      <c r="H27" s="107">
        <v>0.25</v>
      </c>
      <c r="I27" s="107">
        <v>0.25</v>
      </c>
      <c r="J27" s="107">
        <f>'Plan de Acción 2022'!R368</f>
        <v>0.5</v>
      </c>
      <c r="K27" s="441">
        <v>40</v>
      </c>
      <c r="L27" s="107">
        <f>('Plan de Acción 2022'!W368+'Plan de Acción 2022'!W369+'Plan de Acción 2022'!W370+'Plan de Acción 2022'!W371)/4</f>
        <v>0.1</v>
      </c>
      <c r="M27" s="204">
        <f>(L27*25%)/(J27-I27)</f>
        <v>0.1</v>
      </c>
      <c r="N27" s="441" t="s">
        <v>1860</v>
      </c>
      <c r="O27" s="107">
        <f>('Plan de Acción 2022'!AA368+'Plan de Acción 2022'!AA369+'Plan de Acción 2022'!AA370+'Plan de Acción 2022'!AA371)/4</f>
        <v>0.28749999999999998</v>
      </c>
      <c r="P27" s="204">
        <f>(O27*25%)/(J27-I27)</f>
        <v>0.28749999999999998</v>
      </c>
      <c r="Q27" s="442" t="s">
        <v>2088</v>
      </c>
      <c r="R27" s="107">
        <f>('Plan de Acción 2022'!AE368+'Plan de Acción 2022'!AE369+'Plan de Acción 2022'!AE370+'Plan de Acción 2022'!AE371)/4</f>
        <v>50</v>
      </c>
      <c r="S27" s="204">
        <f>(R27*25%)/(J27-I27)</f>
        <v>50</v>
      </c>
      <c r="T27" s="107"/>
      <c r="U27" s="107">
        <f>('Plan de Acción 2022'!AH368+'Plan de Acción 2022'!AH369+'Plan de Acción 2022'!AH370+'Plan de Acción 2022'!AH371)/4</f>
        <v>0</v>
      </c>
      <c r="V27" s="204">
        <f>(U27*25%)/(J27-I27)</f>
        <v>0</v>
      </c>
      <c r="W27" s="114"/>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row>
    <row r="28" spans="1:348" s="97" customFormat="1" ht="143.25" customHeight="1" x14ac:dyDescent="0.2">
      <c r="A28" s="441" t="s">
        <v>1717</v>
      </c>
      <c r="B28" s="110" t="s">
        <v>1717</v>
      </c>
      <c r="C28" s="910"/>
      <c r="D28" s="441" t="s">
        <v>1593</v>
      </c>
      <c r="E28" s="441" t="s">
        <v>1595</v>
      </c>
      <c r="F28" s="484">
        <v>32</v>
      </c>
      <c r="G28" s="441">
        <v>22</v>
      </c>
      <c r="H28" s="208">
        <v>0.4</v>
      </c>
      <c r="I28" s="292">
        <v>0.41</v>
      </c>
      <c r="J28" s="208">
        <f>'Plan de Acción 2022'!R372</f>
        <v>0.5</v>
      </c>
      <c r="K28" s="208">
        <v>0.65</v>
      </c>
      <c r="L28" s="107" t="e">
        <f>('Plan de Acción 2022'!W372+'Plan de Acción 2022'!W373+'Plan de Acción 2022'!W374+'Plan de Acción 2022'!W375+'Plan de Acción 2022'!W376+'Plan de Acción 2022'!W378+'Plan de Acción 2022'!W379+'Plan de Acción 2022'!W380+'Plan de Acción 2022'!W381+'Plan de Acción 2022'!W383+'Plan de Acción 2022'!W384+'Plan de Acción 2022'!W385+'Plan de Acción 2022'!#REF!+'Plan de Acción 2022'!#REF!+'Plan de Acción 2022'!#REF!+'Plan de Acción 2022'!W386+'Plan de Acción 2022'!#REF!+'Plan de Acción 2022'!W388+'Plan de Acción 2022'!W389+'Plan de Acción 2022'!#REF!+'Plan de Acción 2022'!#REF!+'Plan de Acción 2022'!#REF!+'Plan de Acción 2022'!#REF!+'Plan de Acción 2022'!#REF!+'Plan de Acción 2022'!#REF!+'Plan de Acción 2022'!#REF!+'Plan de Acción 2022'!#REF!+'Plan de Acción 2022'!#REF!+'Plan de Acción 2022'!#REF!+'Plan de Acción 2022'!#REF!+'Plan de Acción 2022'!#REF!+'Plan de Acción 2022'!#REF!+'Plan de Acción 2022'!W390)/33</f>
        <v>#REF!</v>
      </c>
      <c r="M28" s="204" t="e">
        <f>(L28*9%)/(J28-I28)</f>
        <v>#REF!</v>
      </c>
      <c r="N28" s="107" t="s">
        <v>1861</v>
      </c>
      <c r="O28" s="107" t="e">
        <f>('Plan de Acción 2022'!AA372+'Plan de Acción 2022'!AA373+'Plan de Acción 2022'!AA374+'Plan de Acción 2022'!AA375+'Plan de Acción 2022'!AA376+'Plan de Acción 2022'!AA378+'Plan de Acción 2022'!AA379+'Plan de Acción 2022'!AA380+'Plan de Acción 2022'!AA381+'Plan de Acción 2022'!AA383+'Plan de Acción 2022'!AA384+'Plan de Acción 2022'!AA385+'Plan de Acción 2022'!#REF!+'Plan de Acción 2022'!#REF!+'Plan de Acción 2022'!#REF!+'Plan de Acción 2022'!AA386+'Plan de Acción 2022'!#REF!+'Plan de Acción 2022'!AA388+'Plan de Acción 2022'!AA389+'Plan de Acción 2022'!#REF!+'Plan de Acción 2022'!#REF!+'Plan de Acción 2022'!#REF!+'Plan de Acción 2022'!#REF!+'Plan de Acción 2022'!#REF!+'Plan de Acción 2022'!#REF!+'Plan de Acción 2022'!#REF!+'Plan de Acción 2022'!#REF!+'Plan de Acción 2022'!#REF!+'Plan de Acción 2022'!#REF!+'Plan de Acción 2022'!#REF!+'Plan de Acción 2022'!#REF!+'Plan de Acción 2022'!#REF!+'Plan de Acción 2022'!AA390)/33</f>
        <v>#REF!</v>
      </c>
      <c r="P28" s="204" t="e">
        <f>(O28*9%)/(J28-I28)</f>
        <v>#REF!</v>
      </c>
      <c r="Q28" s="107" t="s">
        <v>1861</v>
      </c>
      <c r="R28" s="107" t="e">
        <f>('Plan de Acción 2022'!AE372+'Plan de Acción 2022'!AE373+'Plan de Acción 2022'!AE374+'Plan de Acción 2022'!AE375+'Plan de Acción 2022'!AE376+'Plan de Acción 2022'!AD378+'Plan de Acción 2022'!AD379+'Plan de Acción 2022'!AD380+'Plan de Acción 2022'!AD381+'Plan de Acción 2022'!AE383+'Plan de Acción 2022'!AE384+'Plan de Acción 2022'!AE385+'Plan de Acción 2022'!#REF!+'Plan de Acción 2022'!#REF!+'Plan de Acción 2022'!#REF!+'Plan de Acción 2022'!AE386+'Plan de Acción 2022'!#REF!+'Plan de Acción 2022'!AE388+'Plan de Acción 2022'!AE389+'Plan de Acción 2022'!#REF!+'Plan de Acción 2022'!#REF!+'Plan de Acción 2022'!#REF!+'Plan de Acción 2022'!#REF!+'Plan de Acción 2022'!#REF!+'Plan de Acción 2022'!#REF!+'Plan de Acción 2022'!#REF!+'Plan de Acción 2022'!#REF!+'Plan de Acción 2022'!#REF!+'Plan de Acción 2022'!#REF!+'Plan de Acción 2022'!#REF!+'Plan de Acción 2022'!#REF!+'Plan de Acción 2022'!#REF!+'Plan de Acción 2022'!AE390)/33</f>
        <v>#REF!</v>
      </c>
      <c r="S28" s="204" t="e">
        <f>(R28*100%)/(J28-I28)</f>
        <v>#REF!</v>
      </c>
      <c r="T28" s="117"/>
      <c r="U28" s="107" t="e">
        <f>('Plan de Acción 2022'!AH372+'Plan de Acción 2022'!AH373+'Plan de Acción 2022'!AH374+'Plan de Acción 2022'!AH375+'Plan de Acción 2022'!AH376+'Plan de Acción 2022'!AH378+'Plan de Acción 2022'!AH379+'Plan de Acción 2022'!AH380+'Plan de Acción 2022'!AH381+'Plan de Acción 2022'!AH383+'Plan de Acción 2022'!AH384+'Plan de Acción 2022'!AH385+'Plan de Acción 2022'!#REF!+'Plan de Acción 2022'!#REF!+'Plan de Acción 2022'!#REF!+'Plan de Acción 2022'!AH386+'Plan de Acción 2022'!#REF!+'Plan de Acción 2022'!AH388+'Plan de Acción 2022'!AH389+'Plan de Acción 2022'!#REF!+'Plan de Acción 2022'!#REF!+'Plan de Acción 2022'!#REF!+'Plan de Acción 2022'!#REF!+'Plan de Acción 2022'!#REF!+'Plan de Acción 2022'!#REF!+'Plan de Acción 2022'!#REF!+'Plan de Acción 2022'!#REF!+'Plan de Acción 2022'!#REF!+'Plan de Acción 2022'!#REF!+'Plan de Acción 2022'!#REF!+'Plan de Acción 2022'!#REF!+'Plan de Acción 2022'!#REF!+'Plan de Acción 2022'!AH390)/33</f>
        <v>#REF!</v>
      </c>
      <c r="V28" s="204" t="e">
        <f>(U28*100%)/(J28-I28)</f>
        <v>#REF!</v>
      </c>
      <c r="W28" s="2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c r="CL28" s="93"/>
      <c r="CM28" s="93"/>
      <c r="CN28" s="93"/>
      <c r="CO28" s="93"/>
      <c r="CP28" s="93"/>
      <c r="CQ28" s="93"/>
      <c r="CR28" s="93"/>
      <c r="CS28" s="93"/>
      <c r="CT28" s="93"/>
      <c r="CU28" s="93"/>
      <c r="CV28" s="93"/>
      <c r="CW28" s="93"/>
      <c r="CX28" s="93"/>
      <c r="CY28" s="93"/>
      <c r="CZ28" s="93"/>
      <c r="DA28" s="93"/>
      <c r="DB28" s="93"/>
      <c r="DC28" s="93"/>
      <c r="DD28" s="93"/>
      <c r="DE28" s="93"/>
      <c r="DF28" s="93"/>
      <c r="DG28" s="93"/>
      <c r="DH28" s="93"/>
      <c r="DI28" s="93"/>
      <c r="DJ28" s="93"/>
      <c r="DK28" s="93"/>
      <c r="DL28" s="93"/>
      <c r="DM28" s="93"/>
      <c r="DN28" s="93"/>
      <c r="DO28" s="93"/>
      <c r="DP28" s="93"/>
      <c r="DQ28" s="93"/>
      <c r="DR28" s="93"/>
      <c r="DS28" s="93"/>
      <c r="DT28" s="93"/>
      <c r="DU28" s="93"/>
      <c r="DV28" s="93"/>
      <c r="DW28" s="93"/>
      <c r="DX28" s="93"/>
      <c r="DY28" s="93"/>
      <c r="DZ28" s="93"/>
      <c r="EA28" s="93"/>
      <c r="EB28" s="93"/>
      <c r="EC28" s="93"/>
      <c r="ED28" s="93"/>
      <c r="EE28" s="93"/>
      <c r="EF28" s="93"/>
      <c r="EG28" s="93"/>
      <c r="EH28" s="93"/>
      <c r="EI28" s="93"/>
      <c r="EJ28" s="93"/>
    </row>
    <row r="29" spans="1:348" s="97" customFormat="1" ht="72.75" customHeight="1" x14ac:dyDescent="0.2">
      <c r="A29" s="441" t="s">
        <v>1719</v>
      </c>
      <c r="B29" s="110" t="s">
        <v>1857</v>
      </c>
      <c r="C29" s="910"/>
      <c r="D29" s="441" t="s">
        <v>1633</v>
      </c>
      <c r="E29" s="441" t="s">
        <v>1862</v>
      </c>
      <c r="F29" s="107">
        <v>0.35</v>
      </c>
      <c r="G29" s="441">
        <v>1</v>
      </c>
      <c r="H29" s="441">
        <v>3</v>
      </c>
      <c r="I29" s="107">
        <v>0.03</v>
      </c>
      <c r="J29" s="107">
        <f>'Plan de Acción 2022'!R391</f>
        <v>0.05</v>
      </c>
      <c r="K29" s="107">
        <v>0.1</v>
      </c>
      <c r="L29" s="107">
        <f>('Plan de Acción 2022'!W391)</f>
        <v>0</v>
      </c>
      <c r="M29" s="373">
        <f>(L29*2%)/(J29-I29)</f>
        <v>0</v>
      </c>
      <c r="N29" s="441" t="s">
        <v>1567</v>
      </c>
      <c r="O29" s="107">
        <f>('Plan de Acción 2022'!AA391)</f>
        <v>0.35</v>
      </c>
      <c r="P29" s="204">
        <f>(O29*2%)/(J29-I29)</f>
        <v>0.34999999999999992</v>
      </c>
      <c r="Q29" s="117" t="s">
        <v>2089</v>
      </c>
      <c r="R29" s="107">
        <f>('Plan de Acción 2022'!AE391)</f>
        <v>75</v>
      </c>
      <c r="S29" s="204">
        <f>(R29*9%)/(J29-I29)</f>
        <v>337.49999999999994</v>
      </c>
      <c r="T29" s="107"/>
      <c r="U29" s="107">
        <f>('Plan de Acción 2022'!AH391)</f>
        <v>0</v>
      </c>
      <c r="V29" s="204">
        <f>(U29*9%)/(J29-I29)</f>
        <v>0</v>
      </c>
      <c r="W29" s="114"/>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c r="CK29" s="93"/>
      <c r="CL29" s="93"/>
      <c r="CM29" s="93"/>
      <c r="CN29" s="93"/>
      <c r="CO29" s="93"/>
      <c r="CP29" s="93"/>
      <c r="CQ29" s="93"/>
      <c r="CR29" s="93"/>
      <c r="CS29" s="93"/>
      <c r="CT29" s="93"/>
      <c r="CU29" s="93"/>
      <c r="CV29" s="93"/>
      <c r="CW29" s="93"/>
      <c r="CX29" s="93"/>
      <c r="CY29" s="93"/>
      <c r="CZ29" s="93"/>
      <c r="DA29" s="93"/>
      <c r="DB29" s="93"/>
      <c r="DC29" s="93"/>
      <c r="DD29" s="93"/>
      <c r="DE29" s="93"/>
      <c r="DF29" s="93"/>
      <c r="DG29" s="93"/>
      <c r="DH29" s="93"/>
      <c r="DI29" s="93"/>
      <c r="DJ29" s="93"/>
      <c r="DK29" s="93"/>
      <c r="DL29" s="93"/>
      <c r="DM29" s="93"/>
      <c r="DN29" s="93"/>
      <c r="DO29" s="93"/>
      <c r="DP29" s="93"/>
      <c r="DQ29" s="93"/>
      <c r="DR29" s="93"/>
      <c r="DS29" s="93"/>
      <c r="DT29" s="93"/>
      <c r="DU29" s="93"/>
      <c r="DV29" s="93"/>
      <c r="DW29" s="93"/>
      <c r="DX29" s="93"/>
      <c r="DY29" s="93"/>
      <c r="DZ29" s="93"/>
      <c r="EA29" s="93"/>
      <c r="EB29" s="93"/>
      <c r="EC29" s="93"/>
      <c r="ED29" s="93"/>
      <c r="EE29" s="93"/>
      <c r="EF29" s="93"/>
      <c r="EG29" s="93"/>
      <c r="EH29" s="93"/>
      <c r="EI29" s="93"/>
      <c r="EJ29" s="93"/>
    </row>
    <row r="30" spans="1:348" s="97" customFormat="1" ht="84.75" customHeight="1" x14ac:dyDescent="0.2">
      <c r="A30" s="441" t="s">
        <v>1719</v>
      </c>
      <c r="B30" s="110" t="s">
        <v>1857</v>
      </c>
      <c r="C30" s="910"/>
      <c r="D30" s="441" t="s">
        <v>1636</v>
      </c>
      <c r="E30" s="441" t="s">
        <v>1638</v>
      </c>
      <c r="F30" s="107">
        <v>0.5</v>
      </c>
      <c r="G30" s="441">
        <v>0</v>
      </c>
      <c r="H30" s="118">
        <v>1</v>
      </c>
      <c r="I30" s="107">
        <v>1</v>
      </c>
      <c r="J30" s="118">
        <f>'Plan de Acción 2022'!R392</f>
        <v>1</v>
      </c>
      <c r="K30" s="107">
        <v>1</v>
      </c>
      <c r="L30" s="107">
        <f>('Plan de Acción 2022'!W392+'Plan de Acción 2022'!W393+'Plan de Acción 2022'!W394)/3</f>
        <v>0.18333333333333335</v>
      </c>
      <c r="M30" s="204">
        <f>(L30*100%)/J30</f>
        <v>0.18333333333333335</v>
      </c>
      <c r="N30" s="107" t="s">
        <v>1863</v>
      </c>
      <c r="O30" s="107">
        <f>('Plan de Acción 2022'!AA392+'Plan de Acción 2022'!AA393+'Plan de Acción 2022'!AA394)/3</f>
        <v>0.5</v>
      </c>
      <c r="P30" s="204">
        <f>(O30*100%)</f>
        <v>0.5</v>
      </c>
      <c r="Q30" s="107" t="s">
        <v>2091</v>
      </c>
      <c r="R30" s="107">
        <f>('Plan de Acción 2022'!AE392+'Plan de Acción 2022'!AE393+'Plan de Acción 2022'!AE394)/3</f>
        <v>75</v>
      </c>
      <c r="S30" s="204">
        <f>(R30*100%)/J30</f>
        <v>75</v>
      </c>
      <c r="T30" s="445"/>
      <c r="U30" s="107">
        <f>('Plan de Acción 2022'!AH392+'Plan de Acción 2022'!AH393+'Plan de Acción 2022'!AH394)/3</f>
        <v>0</v>
      </c>
      <c r="V30" s="204">
        <f>(U30*100%)/J30</f>
        <v>0</v>
      </c>
      <c r="W30" s="11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c r="CL30" s="93"/>
      <c r="CM30" s="93"/>
      <c r="CN30" s="93"/>
      <c r="CO30" s="93"/>
      <c r="CP30" s="93"/>
      <c r="CQ30" s="93"/>
      <c r="CR30" s="93"/>
      <c r="CS30" s="93"/>
      <c r="CT30" s="93"/>
      <c r="CU30" s="93"/>
      <c r="CV30" s="93"/>
      <c r="CW30" s="93"/>
      <c r="CX30" s="93"/>
      <c r="CY30" s="93"/>
      <c r="CZ30" s="93"/>
      <c r="DA30" s="93"/>
      <c r="DB30" s="93"/>
      <c r="DC30" s="93"/>
      <c r="DD30" s="93"/>
      <c r="DE30" s="93"/>
      <c r="DF30" s="93"/>
      <c r="DG30" s="93"/>
      <c r="DH30" s="93"/>
      <c r="DI30" s="93"/>
      <c r="DJ30" s="93"/>
      <c r="DK30" s="93"/>
      <c r="DL30" s="93"/>
      <c r="DM30" s="93"/>
      <c r="DN30" s="93"/>
      <c r="DO30" s="93"/>
      <c r="DP30" s="93"/>
      <c r="DQ30" s="93"/>
      <c r="DR30" s="93"/>
      <c r="DS30" s="93"/>
      <c r="DT30" s="93"/>
      <c r="DU30" s="93"/>
      <c r="DV30" s="93"/>
      <c r="DW30" s="93"/>
      <c r="DX30" s="93"/>
      <c r="DY30" s="93"/>
      <c r="DZ30" s="93"/>
      <c r="EA30" s="93"/>
      <c r="EB30" s="93"/>
      <c r="EC30" s="93"/>
      <c r="ED30" s="93"/>
      <c r="EE30" s="93"/>
      <c r="EF30" s="93"/>
      <c r="EG30" s="93"/>
      <c r="EH30" s="93"/>
      <c r="EI30" s="93"/>
      <c r="EJ30" s="93"/>
    </row>
    <row r="31" spans="1:348" s="97" customFormat="1" ht="69" customHeight="1" x14ac:dyDescent="0.2">
      <c r="A31" s="441" t="s">
        <v>1719</v>
      </c>
      <c r="B31" s="110" t="s">
        <v>1857</v>
      </c>
      <c r="C31" s="910" t="s">
        <v>1864</v>
      </c>
      <c r="D31" s="441" t="s">
        <v>1651</v>
      </c>
      <c r="E31" s="441" t="s">
        <v>1257</v>
      </c>
      <c r="F31" s="107">
        <v>0.5</v>
      </c>
      <c r="G31" s="441">
        <v>0</v>
      </c>
      <c r="H31" s="118" t="s">
        <v>1865</v>
      </c>
      <c r="I31" s="107">
        <v>0.2</v>
      </c>
      <c r="J31" s="118">
        <f>'Plan de Acción 2022'!R395</f>
        <v>0.5</v>
      </c>
      <c r="K31" s="441">
        <v>4</v>
      </c>
      <c r="L31" s="107">
        <f>'Plan de Acción 2022'!W395</f>
        <v>0.08</v>
      </c>
      <c r="M31" s="373">
        <f>(L31*30%)/(J31-I31)</f>
        <v>0.08</v>
      </c>
      <c r="N31" s="441" t="s">
        <v>1654</v>
      </c>
      <c r="O31" s="107">
        <f>'Plan de Acción 2022'!AA395</f>
        <v>0.6</v>
      </c>
      <c r="P31" s="204">
        <f>(O31*30%)/(J31-I31)</f>
        <v>0.6</v>
      </c>
      <c r="Q31" s="441" t="s">
        <v>1655</v>
      </c>
      <c r="R31" s="107">
        <f>'Plan de Acción 2022'!AE395</f>
        <v>75</v>
      </c>
      <c r="S31" s="204">
        <f>(R31*30%)/(J31-I31)</f>
        <v>75</v>
      </c>
      <c r="T31" s="441"/>
      <c r="U31" s="107">
        <f>'Plan de Acción 2022'!AH395</f>
        <v>0</v>
      </c>
      <c r="V31" s="204">
        <f>(U31*30%)/(J31-I31)</f>
        <v>0</v>
      </c>
      <c r="W31" s="119"/>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c r="CL31" s="93"/>
      <c r="CM31" s="93"/>
      <c r="CN31" s="93"/>
      <c r="CO31" s="93"/>
      <c r="CP31" s="93"/>
      <c r="CQ31" s="93"/>
      <c r="CR31" s="93"/>
      <c r="CS31" s="93"/>
      <c r="CT31" s="93"/>
      <c r="CU31" s="93"/>
      <c r="CV31" s="93"/>
      <c r="CW31" s="93"/>
      <c r="CX31" s="93"/>
      <c r="CY31" s="93"/>
      <c r="CZ31" s="93"/>
      <c r="DA31" s="93"/>
      <c r="DB31" s="93"/>
      <c r="DC31" s="93"/>
      <c r="DD31" s="93"/>
      <c r="DE31" s="93"/>
      <c r="DF31" s="93"/>
      <c r="DG31" s="93"/>
      <c r="DH31" s="93"/>
      <c r="DI31" s="93"/>
      <c r="DJ31" s="93"/>
      <c r="DK31" s="93"/>
      <c r="DL31" s="93"/>
      <c r="DM31" s="93"/>
      <c r="DN31" s="93"/>
      <c r="DO31" s="93"/>
      <c r="DP31" s="93"/>
      <c r="DQ31" s="93"/>
      <c r="DR31" s="93"/>
      <c r="DS31" s="93"/>
      <c r="DT31" s="93"/>
      <c r="DU31" s="93"/>
      <c r="DV31" s="93"/>
      <c r="DW31" s="93"/>
      <c r="DX31" s="93"/>
      <c r="DY31" s="93"/>
      <c r="DZ31" s="93"/>
      <c r="EA31" s="93"/>
      <c r="EB31" s="93"/>
      <c r="EC31" s="93"/>
      <c r="ED31" s="93"/>
      <c r="EE31" s="93"/>
      <c r="EF31" s="93"/>
      <c r="EG31" s="93"/>
      <c r="EH31" s="93"/>
      <c r="EI31" s="93"/>
      <c r="EJ31" s="93"/>
    </row>
    <row r="32" spans="1:348" s="97" customFormat="1" ht="91.5" customHeight="1" thickBot="1" x14ac:dyDescent="0.25">
      <c r="A32" s="120" t="s">
        <v>1719</v>
      </c>
      <c r="B32" s="121" t="s">
        <v>1857</v>
      </c>
      <c r="C32" s="911"/>
      <c r="D32" s="120" t="s">
        <v>1570</v>
      </c>
      <c r="E32" s="120" t="s">
        <v>1866</v>
      </c>
      <c r="F32" s="169">
        <v>0.1</v>
      </c>
      <c r="G32" s="120">
        <v>0</v>
      </c>
      <c r="H32" s="122" t="s">
        <v>1865</v>
      </c>
      <c r="I32" s="77">
        <v>0</v>
      </c>
      <c r="J32" s="169">
        <v>0.5</v>
      </c>
      <c r="K32" s="120">
        <v>4</v>
      </c>
      <c r="L32" s="169">
        <f>('Plan de Acción 2022'!W367)</f>
        <v>0.1</v>
      </c>
      <c r="M32" s="216">
        <f>(L32*50%)/(J32-I32)</f>
        <v>0.1</v>
      </c>
      <c r="N32" s="120" t="s">
        <v>1867</v>
      </c>
      <c r="O32" s="169">
        <f>('Plan de Acción 2022'!AA367)</f>
        <v>0.2</v>
      </c>
      <c r="P32" s="216">
        <f>(O32*50%)/(J32-I32)</f>
        <v>0.2</v>
      </c>
      <c r="Q32" s="120" t="s">
        <v>1576</v>
      </c>
      <c r="R32" s="169">
        <f>('Plan de Acción 2022'!AE367)</f>
        <v>35</v>
      </c>
      <c r="S32" s="216">
        <f>(R32*50%)/(J32-I32)</f>
        <v>35</v>
      </c>
      <c r="T32" s="120"/>
      <c r="U32" s="169">
        <f>('Plan de Acción 2022'!AH367)</f>
        <v>0</v>
      </c>
      <c r="V32" s="216">
        <f>(U32*50%)/(J32-I32)</f>
        <v>0</v>
      </c>
      <c r="W32" s="12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c r="DA32" s="93"/>
      <c r="DB32" s="93"/>
      <c r="DC32" s="93"/>
      <c r="DD32" s="93"/>
      <c r="DE32" s="93"/>
      <c r="DF32" s="93"/>
      <c r="DG32" s="93"/>
      <c r="DH32" s="93"/>
      <c r="DI32" s="93"/>
      <c r="DJ32" s="93"/>
      <c r="DK32" s="93"/>
      <c r="DL32" s="93"/>
      <c r="DM32" s="93"/>
      <c r="DN32" s="93"/>
      <c r="DO32" s="93"/>
      <c r="DP32" s="93"/>
      <c r="DQ32" s="93"/>
      <c r="DR32" s="93"/>
      <c r="DS32" s="93"/>
      <c r="DT32" s="93"/>
      <c r="DU32" s="93"/>
      <c r="DV32" s="93"/>
      <c r="DW32" s="93"/>
      <c r="DX32" s="93"/>
      <c r="DY32" s="93"/>
      <c r="DZ32" s="93"/>
      <c r="EA32" s="93"/>
      <c r="EB32" s="93"/>
      <c r="EC32" s="93"/>
      <c r="ED32" s="93"/>
      <c r="EE32" s="93"/>
      <c r="EF32" s="93"/>
      <c r="EG32" s="93"/>
      <c r="EH32" s="93"/>
      <c r="EI32" s="93"/>
      <c r="EJ32" s="93"/>
    </row>
    <row r="33" spans="1:46" ht="69" customHeight="1" thickBot="1" x14ac:dyDescent="0.25">
      <c r="A33" s="905"/>
      <c r="B33" s="906"/>
      <c r="C33" s="906"/>
      <c r="D33" s="906"/>
      <c r="E33" s="906"/>
      <c r="F33" s="906"/>
      <c r="G33" s="906"/>
      <c r="H33" s="907"/>
      <c r="I33" s="439"/>
      <c r="J33" s="218"/>
      <c r="K33" s="218"/>
      <c r="L33" s="219" t="s">
        <v>1868</v>
      </c>
      <c r="M33" s="220" t="e">
        <f>AVERAGE(M7:M15,M17,M20:M32)</f>
        <v>#REF!</v>
      </c>
      <c r="N33" s="219"/>
      <c r="O33" s="219" t="s">
        <v>1869</v>
      </c>
      <c r="P33" s="220" t="e">
        <f>AVERAGE(P7:P15,P17,P20:P32)</f>
        <v>#REF!</v>
      </c>
      <c r="Q33" s="221"/>
      <c r="R33" s="219" t="s">
        <v>1870</v>
      </c>
      <c r="S33" s="220" t="e">
        <f>AVERAGE(S7:S15,S17,S20:S32)</f>
        <v>#REF!</v>
      </c>
      <c r="T33" s="221"/>
      <c r="U33" s="219" t="s">
        <v>1871</v>
      </c>
      <c r="V33" s="220" t="e">
        <f>AVERAGE(V7:V15,V17,V20:V32)</f>
        <v>#REF!</v>
      </c>
      <c r="W33" s="223" t="e">
        <f>AVERAGE(W34:W35)/2</f>
        <v>#REF!</v>
      </c>
    </row>
    <row r="34" spans="1:46" ht="25.5" x14ac:dyDescent="0.2">
      <c r="A34" s="93"/>
      <c r="H34" s="124"/>
      <c r="I34" s="124"/>
      <c r="J34" s="124"/>
      <c r="K34" s="124"/>
      <c r="L34" s="217" t="s">
        <v>1717</v>
      </c>
      <c r="M34" s="104" t="e">
        <f>AVERAGE(M7+M8+M9+M10+M11+M12+M13+M14+M28)/9</f>
        <v>#REF!</v>
      </c>
      <c r="N34" s="104"/>
      <c r="O34" s="104"/>
      <c r="P34" s="104" t="e">
        <f>AVERAGE(P7+P8+P9+P10+P11+P12+P13+P14+P28)/9</f>
        <v>#REF!</v>
      </c>
      <c r="Q34" s="104"/>
      <c r="R34" s="104"/>
      <c r="S34" s="104" t="e">
        <f>AVERAGE(S7+S8+S9+S10+S11+S12+S13+S14+S28)/9</f>
        <v>#REF!</v>
      </c>
      <c r="T34" s="104"/>
      <c r="U34" s="104"/>
      <c r="V34" s="104" t="e">
        <f>AVERAGE(V7+V8+V9+V10+V11+V12+V13+V14+V28)/9</f>
        <v>#REF!</v>
      </c>
      <c r="W34" s="214" t="e">
        <f>AVERAGE(M34+P34+S34+V34)</f>
        <v>#REF!</v>
      </c>
    </row>
    <row r="35" spans="1:46" ht="89.25" x14ac:dyDescent="0.2">
      <c r="A35" s="93"/>
      <c r="D35" s="124"/>
      <c r="H35" s="124"/>
      <c r="I35" s="124"/>
      <c r="J35" s="124"/>
      <c r="K35" s="124"/>
      <c r="L35" s="212" t="s">
        <v>1872</v>
      </c>
      <c r="M35" s="111" t="e">
        <f>AVERAGE(M15+M17+M20+M21+M22+M23+M24+M25+M26+M27+M29+M30+M31+M32)/14</f>
        <v>#REF!</v>
      </c>
      <c r="N35" s="111"/>
      <c r="O35" s="111"/>
      <c r="P35" s="111" t="e">
        <f>AVERAGE(P15+P17+P20+P21+P22+P23+P24+P25+P26+P27+P29+P30+P31+P32)/14</f>
        <v>#REF!</v>
      </c>
      <c r="Q35" s="111"/>
      <c r="R35" s="111"/>
      <c r="S35" s="111" t="e">
        <f>AVERAGE(S15+S17+S20+S21+S22+S23+S24+S25+S26+S27+S29+S30+S31+S32)/14</f>
        <v>#REF!</v>
      </c>
      <c r="T35" s="111"/>
      <c r="U35" s="111"/>
      <c r="V35" s="111" t="e">
        <f>AVERAGE(V15+V17+V20+V21+V22+V23+V24+V25+V26+V27+V29+V30+V31+V32)/14</f>
        <v>#REF!</v>
      </c>
      <c r="W35" s="111" t="e">
        <f>AVERAGE(M35+P35+S35+V35)</f>
        <v>#REF!</v>
      </c>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row>
    <row r="36" spans="1:46" ht="16.5" thickBot="1" x14ac:dyDescent="0.25"/>
    <row r="37" spans="1:46" s="326" customFormat="1" ht="13.9" customHeight="1" thickTop="1" x14ac:dyDescent="0.2">
      <c r="A37" s="868" t="s">
        <v>1695</v>
      </c>
      <c r="B37" s="869"/>
      <c r="C37" s="869"/>
      <c r="D37" s="869"/>
      <c r="E37" s="869"/>
      <c r="F37" s="869"/>
      <c r="G37" s="869"/>
      <c r="H37" s="869"/>
      <c r="I37" s="869"/>
      <c r="J37" s="870"/>
      <c r="K37" s="874" t="s">
        <v>1696</v>
      </c>
      <c r="L37" s="875"/>
      <c r="M37" s="875"/>
      <c r="N37" s="875"/>
      <c r="O37" s="875"/>
      <c r="P37" s="875"/>
      <c r="Q37" s="875"/>
      <c r="R37" s="876"/>
      <c r="S37" s="874" t="s">
        <v>1697</v>
      </c>
      <c r="T37" s="880"/>
      <c r="U37" s="868" t="s">
        <v>1698</v>
      </c>
      <c r="V37" s="869"/>
      <c r="W37" s="869"/>
      <c r="X37" s="869"/>
      <c r="Y37" s="882"/>
      <c r="Z37" s="863">
        <v>1</v>
      </c>
      <c r="AA37" s="325"/>
      <c r="AD37" s="325"/>
      <c r="AG37" s="325"/>
    </row>
    <row r="38" spans="1:46" s="326" customFormat="1" ht="13.15" customHeight="1" thickBot="1" x14ac:dyDescent="0.25">
      <c r="A38" s="871"/>
      <c r="B38" s="872"/>
      <c r="C38" s="872"/>
      <c r="D38" s="872"/>
      <c r="E38" s="872"/>
      <c r="F38" s="872"/>
      <c r="G38" s="872"/>
      <c r="H38" s="872"/>
      <c r="I38" s="872"/>
      <c r="J38" s="873"/>
      <c r="K38" s="877"/>
      <c r="L38" s="878"/>
      <c r="M38" s="878"/>
      <c r="N38" s="878"/>
      <c r="O38" s="878"/>
      <c r="P38" s="878"/>
      <c r="Q38" s="878"/>
      <c r="R38" s="879"/>
      <c r="S38" s="877"/>
      <c r="T38" s="881"/>
      <c r="U38" s="871"/>
      <c r="V38" s="872"/>
      <c r="W38" s="872"/>
      <c r="X38" s="872"/>
      <c r="Y38" s="883"/>
      <c r="Z38" s="864"/>
      <c r="AA38" s="325"/>
      <c r="AD38" s="325"/>
      <c r="AG38" s="325"/>
    </row>
    <row r="39" spans="1:46" x14ac:dyDescent="0.2">
      <c r="H39" s="124"/>
      <c r="I39" s="124"/>
      <c r="J39" s="124"/>
      <c r="K39" s="124"/>
      <c r="L39" s="124"/>
      <c r="M39" s="124"/>
      <c r="N39" s="124"/>
    </row>
    <row r="40" spans="1:46" x14ac:dyDescent="0.2">
      <c r="H40" s="124"/>
      <c r="I40" s="124"/>
      <c r="J40" s="124"/>
      <c r="K40" s="124"/>
      <c r="L40" s="124"/>
      <c r="M40" s="124"/>
      <c r="N40" s="124"/>
      <c r="O40" s="125"/>
    </row>
    <row r="41" spans="1:46" x14ac:dyDescent="0.2">
      <c r="H41" s="124"/>
      <c r="I41" s="124"/>
      <c r="J41" s="124"/>
      <c r="K41" s="124"/>
      <c r="L41" s="124"/>
      <c r="M41" s="124"/>
      <c r="N41" s="124"/>
      <c r="O41" s="125"/>
    </row>
  </sheetData>
  <mergeCells count="25">
    <mergeCell ref="C11:C14"/>
    <mergeCell ref="A1:W1"/>
    <mergeCell ref="A2:W2"/>
    <mergeCell ref="A3:W3"/>
    <mergeCell ref="O4:Q4"/>
    <mergeCell ref="R4:T4"/>
    <mergeCell ref="U4:W4"/>
    <mergeCell ref="AC4:AH4"/>
    <mergeCell ref="AI4:AN4"/>
    <mergeCell ref="AO4:AT4"/>
    <mergeCell ref="C6:C7"/>
    <mergeCell ref="C8:C10"/>
    <mergeCell ref="L4:N4"/>
    <mergeCell ref="A4:K4"/>
    <mergeCell ref="A33:H33"/>
    <mergeCell ref="C15:C19"/>
    <mergeCell ref="C20:C21"/>
    <mergeCell ref="C22:C26"/>
    <mergeCell ref="C27:C30"/>
    <mergeCell ref="C31:C32"/>
    <mergeCell ref="A37:J38"/>
    <mergeCell ref="K37:R38"/>
    <mergeCell ref="S37:T38"/>
    <mergeCell ref="U37:Y38"/>
    <mergeCell ref="Z37:Z38"/>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34"/>
  <sheetViews>
    <sheetView topLeftCell="D1" zoomScale="60" zoomScaleNormal="100" workbookViewId="0">
      <pane ySplit="6" topLeftCell="A13" activePane="bottomLeft" state="frozen"/>
      <selection activeCell="F1" sqref="F1"/>
      <selection pane="bottomLeft" activeCell="F13" sqref="F13:F14"/>
    </sheetView>
  </sheetViews>
  <sheetFormatPr baseColWidth="10" defaultColWidth="11.42578125" defaultRowHeight="12.75" x14ac:dyDescent="0.2"/>
  <cols>
    <col min="1" max="1" width="7.28515625" style="129" hidden="1" customWidth="1"/>
    <col min="2" max="2" width="3.140625" style="129" hidden="1" customWidth="1"/>
    <col min="3" max="3" width="7.85546875" style="129" hidden="1" customWidth="1"/>
    <col min="4" max="4" width="14.42578125" style="129" customWidth="1"/>
    <col min="5" max="5" width="10.5703125" style="172" customWidth="1"/>
    <col min="6" max="6" width="27.28515625" style="129" customWidth="1"/>
    <col min="7" max="7" width="22.140625" style="129" customWidth="1"/>
    <col min="8" max="8" width="24" style="129" customWidth="1"/>
    <col min="9" max="9" width="20" style="129" customWidth="1"/>
    <col min="10" max="10" width="6.42578125" style="129" customWidth="1"/>
    <col min="11" max="15" width="8.140625" style="129" customWidth="1"/>
    <col min="16" max="16" width="11.7109375" style="129" customWidth="1"/>
    <col min="17" max="17" width="24.85546875" style="129" customWidth="1"/>
    <col min="18" max="18" width="8.85546875" style="129" customWidth="1"/>
    <col min="19" max="19" width="7.7109375" style="129" customWidth="1"/>
    <col min="20" max="20" width="56.140625" style="129" customWidth="1"/>
    <col min="21" max="21" width="10.28515625" style="129" customWidth="1"/>
    <col min="22" max="22" width="9.28515625" style="129" customWidth="1"/>
    <col min="23" max="23" width="20" style="129" customWidth="1"/>
    <col min="24" max="24" width="15" style="129" customWidth="1"/>
    <col min="25" max="25" width="20.140625" style="129" customWidth="1"/>
    <col min="26" max="27" width="17" style="129" customWidth="1"/>
    <col min="28" max="28" width="12.42578125" style="129" customWidth="1"/>
    <col min="29" max="29" width="12.85546875" style="129" customWidth="1"/>
    <col min="30" max="31" width="11.5703125" style="129" customWidth="1"/>
    <col min="32" max="32" width="18.140625" style="129" customWidth="1"/>
    <col min="33" max="33" width="18" style="129" customWidth="1"/>
    <col min="34" max="34" width="16" style="129" customWidth="1"/>
    <col min="35" max="37" width="11.5703125" style="129" customWidth="1"/>
    <col min="38" max="38" width="17.7109375" style="129" customWidth="1"/>
    <col min="39" max="39" width="13.5703125" style="129" customWidth="1"/>
    <col min="40" max="40" width="14.85546875" style="129" customWidth="1"/>
    <col min="41" max="43" width="11.5703125" style="129" customWidth="1"/>
    <col min="44" max="44" width="18.140625" style="129" customWidth="1"/>
    <col min="45" max="45" width="13.5703125" style="129" customWidth="1"/>
    <col min="46" max="46" width="13.42578125" style="129" customWidth="1"/>
    <col min="47" max="48" width="11.5703125" style="129" customWidth="1"/>
    <col min="49" max="49" width="14" style="129" bestFit="1" customWidth="1"/>
    <col min="50" max="50" width="46" style="129" bestFit="1" customWidth="1"/>
    <col min="51" max="51" width="6.28515625" style="129" customWidth="1"/>
    <col min="52" max="16384" width="11.42578125" style="129"/>
  </cols>
  <sheetData>
    <row r="1" spans="1:74" ht="16.5" x14ac:dyDescent="0.2">
      <c r="A1" s="126"/>
      <c r="B1" s="956"/>
      <c r="C1" s="956"/>
      <c r="D1" s="956"/>
      <c r="E1" s="956"/>
      <c r="F1" s="956"/>
      <c r="G1" s="956"/>
      <c r="H1" s="956"/>
      <c r="I1" s="956"/>
      <c r="J1" s="956"/>
      <c r="K1" s="956"/>
      <c r="L1" s="956"/>
      <c r="M1" s="956"/>
      <c r="N1" s="956"/>
      <c r="O1" s="956"/>
      <c r="P1" s="956"/>
      <c r="Q1" s="956"/>
      <c r="R1" s="956"/>
      <c r="S1" s="956"/>
      <c r="T1" s="956"/>
      <c r="U1" s="956"/>
      <c r="V1" s="956"/>
      <c r="W1" s="956"/>
      <c r="X1" s="956"/>
      <c r="Y1" s="956"/>
      <c r="Z1" s="956"/>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8"/>
    </row>
    <row r="2" spans="1:74" ht="52.5" customHeight="1" thickBot="1" x14ac:dyDescent="0.25">
      <c r="A2" s="130"/>
      <c r="B2" s="957"/>
      <c r="C2" s="957"/>
      <c r="D2" s="957"/>
      <c r="E2" s="957"/>
      <c r="F2" s="957"/>
      <c r="G2" s="957"/>
      <c r="H2" s="957"/>
      <c r="I2" s="957"/>
      <c r="J2" s="957"/>
      <c r="K2" s="957"/>
      <c r="L2" s="957"/>
      <c r="M2" s="957"/>
      <c r="N2" s="957"/>
      <c r="O2" s="957"/>
      <c r="P2" s="957"/>
      <c r="Q2" s="957"/>
      <c r="R2" s="957"/>
      <c r="S2" s="957"/>
      <c r="T2" s="957"/>
      <c r="U2" s="957"/>
      <c r="V2" s="957"/>
      <c r="W2" s="957"/>
      <c r="X2" s="957"/>
      <c r="Y2" s="957"/>
      <c r="Z2" s="95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8"/>
    </row>
    <row r="3" spans="1:74" ht="35.25" customHeight="1" thickBot="1" x14ac:dyDescent="0.25">
      <c r="A3" s="958" t="s">
        <v>1735</v>
      </c>
      <c r="B3" s="959"/>
      <c r="C3" s="959"/>
      <c r="D3" s="959"/>
      <c r="E3" s="959"/>
      <c r="F3" s="959"/>
      <c r="G3" s="959"/>
      <c r="H3" s="959"/>
      <c r="I3" s="959"/>
      <c r="J3" s="959"/>
      <c r="K3" s="959"/>
      <c r="L3" s="959"/>
      <c r="M3" s="959"/>
      <c r="N3" s="959"/>
      <c r="O3" s="959"/>
      <c r="P3" s="959"/>
      <c r="Q3" s="959"/>
      <c r="R3" s="959"/>
      <c r="S3" s="959"/>
      <c r="T3" s="959"/>
      <c r="U3" s="959"/>
      <c r="V3" s="959"/>
      <c r="W3" s="959"/>
      <c r="X3" s="959"/>
      <c r="Y3" s="959"/>
      <c r="Z3" s="959"/>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2"/>
    </row>
    <row r="4" spans="1:74" ht="24" customHeight="1" thickBot="1" x14ac:dyDescent="0.25">
      <c r="A4" s="960" t="s">
        <v>1873</v>
      </c>
      <c r="B4" s="961"/>
      <c r="C4" s="961"/>
      <c r="D4" s="961"/>
      <c r="E4" s="961"/>
      <c r="F4" s="961"/>
      <c r="G4" s="961"/>
      <c r="H4" s="961"/>
      <c r="I4" s="961"/>
      <c r="J4" s="961"/>
      <c r="K4" s="961"/>
      <c r="L4" s="961"/>
      <c r="M4" s="961"/>
      <c r="N4" s="961"/>
      <c r="O4" s="961"/>
      <c r="P4" s="961"/>
      <c r="Q4" s="961"/>
      <c r="R4" s="961"/>
      <c r="S4" s="961"/>
      <c r="T4" s="961"/>
      <c r="U4" s="961"/>
      <c r="V4" s="961"/>
      <c r="W4" s="961"/>
      <c r="X4" s="961"/>
      <c r="Y4" s="961"/>
      <c r="Z4" s="961"/>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4"/>
    </row>
    <row r="5" spans="1:74" ht="20.25" customHeight="1" x14ac:dyDescent="0.25">
      <c r="A5" s="135"/>
      <c r="B5" s="135"/>
      <c r="C5" s="135"/>
      <c r="D5" s="954" t="s">
        <v>1874</v>
      </c>
      <c r="E5" s="955"/>
      <c r="F5" s="955"/>
      <c r="G5" s="955"/>
      <c r="H5" s="955"/>
      <c r="I5" s="955"/>
      <c r="J5" s="955"/>
      <c r="K5" s="955"/>
      <c r="L5" s="955"/>
      <c r="M5" s="955"/>
      <c r="N5" s="955"/>
      <c r="O5" s="900" t="s">
        <v>1737</v>
      </c>
      <c r="P5" s="900"/>
      <c r="Q5" s="900"/>
      <c r="R5" s="900" t="s">
        <v>1738</v>
      </c>
      <c r="S5" s="900"/>
      <c r="T5" s="900"/>
      <c r="U5" s="900" t="s">
        <v>1739</v>
      </c>
      <c r="V5" s="900"/>
      <c r="W5" s="900"/>
      <c r="X5" s="900" t="s">
        <v>1740</v>
      </c>
      <c r="Y5" s="900"/>
      <c r="Z5" s="900"/>
      <c r="AA5" s="136"/>
      <c r="AB5" s="136"/>
      <c r="AC5" s="136"/>
      <c r="AD5" s="136"/>
      <c r="AE5" s="136"/>
      <c r="AF5" s="952">
        <v>2022</v>
      </c>
      <c r="AG5" s="952"/>
      <c r="AH5" s="952"/>
      <c r="AI5" s="952"/>
      <c r="AJ5" s="952"/>
      <c r="AK5" s="952"/>
      <c r="AL5" s="953"/>
      <c r="AM5" s="953"/>
      <c r="AN5" s="953"/>
      <c r="AO5" s="953"/>
      <c r="AP5" s="953"/>
      <c r="AQ5" s="953"/>
      <c r="AR5" s="953"/>
      <c r="AS5" s="953"/>
      <c r="AT5" s="953"/>
      <c r="AU5" s="953"/>
      <c r="AV5" s="953"/>
      <c r="AW5" s="953"/>
      <c r="AX5" s="137"/>
      <c r="AY5" s="137"/>
      <c r="AZ5" s="138"/>
      <c r="BA5" s="138"/>
      <c r="BB5" s="138"/>
      <c r="BC5" s="138"/>
      <c r="BD5" s="138"/>
      <c r="BE5" s="138"/>
      <c r="BF5" s="138"/>
      <c r="BG5" s="138"/>
      <c r="BH5" s="138"/>
      <c r="BI5" s="138"/>
      <c r="BJ5" s="138"/>
      <c r="BK5" s="138"/>
      <c r="BL5" s="138"/>
      <c r="BM5" s="138"/>
      <c r="BN5" s="138"/>
      <c r="BO5" s="138"/>
      <c r="BP5" s="138"/>
      <c r="BQ5" s="138"/>
      <c r="BR5" s="138"/>
      <c r="BS5" s="138"/>
      <c r="BT5" s="138"/>
      <c r="BU5" s="138"/>
      <c r="BV5" s="138"/>
    </row>
    <row r="6" spans="1:74" s="149" customFormat="1" ht="48" customHeight="1" x14ac:dyDescent="0.2">
      <c r="A6" s="139" t="s">
        <v>1742</v>
      </c>
      <c r="B6" s="140" t="s">
        <v>1875</v>
      </c>
      <c r="C6" s="141" t="s">
        <v>1876</v>
      </c>
      <c r="D6" s="142" t="s">
        <v>1703</v>
      </c>
      <c r="E6" s="143" t="s">
        <v>1745</v>
      </c>
      <c r="F6" s="144" t="s">
        <v>1746</v>
      </c>
      <c r="G6" s="144" t="s">
        <v>1747</v>
      </c>
      <c r="H6" s="144" t="s">
        <v>1748</v>
      </c>
      <c r="I6" s="29" t="s">
        <v>2118</v>
      </c>
      <c r="J6" s="140" t="s">
        <v>1749</v>
      </c>
      <c r="K6" s="140" t="s">
        <v>1813</v>
      </c>
      <c r="L6" s="140" t="s">
        <v>1751</v>
      </c>
      <c r="M6" s="140" t="s">
        <v>1752</v>
      </c>
      <c r="N6" s="140" t="s">
        <v>1753</v>
      </c>
      <c r="O6" s="29" t="s">
        <v>1754</v>
      </c>
      <c r="P6" s="29" t="s">
        <v>1755</v>
      </c>
      <c r="Q6" s="29" t="s">
        <v>1756</v>
      </c>
      <c r="R6" s="29" t="s">
        <v>1754</v>
      </c>
      <c r="S6" s="29" t="s">
        <v>1755</v>
      </c>
      <c r="T6" s="29" t="s">
        <v>1756</v>
      </c>
      <c r="U6" s="29" t="s">
        <v>1754</v>
      </c>
      <c r="V6" s="29" t="s">
        <v>1755</v>
      </c>
      <c r="W6" s="29" t="s">
        <v>1756</v>
      </c>
      <c r="X6" s="29" t="s">
        <v>1754</v>
      </c>
      <c r="Y6" s="29" t="s">
        <v>1755</v>
      </c>
      <c r="Z6" s="29" t="s">
        <v>1756</v>
      </c>
      <c r="AA6" s="145"/>
      <c r="AB6" s="146"/>
      <c r="AC6" s="145"/>
      <c r="AD6" s="145"/>
      <c r="AE6" s="145"/>
      <c r="AF6" s="145"/>
      <c r="AG6" s="145"/>
      <c r="AH6" s="146"/>
      <c r="AI6" s="145"/>
      <c r="AJ6" s="145"/>
      <c r="AK6" s="145"/>
      <c r="AL6" s="145"/>
      <c r="AM6" s="145"/>
      <c r="AN6" s="146"/>
      <c r="AO6" s="145"/>
      <c r="AP6" s="145"/>
      <c r="AQ6" s="145"/>
      <c r="AR6" s="145"/>
      <c r="AS6" s="145"/>
      <c r="AT6" s="146"/>
      <c r="AU6" s="145"/>
      <c r="AV6" s="145"/>
      <c r="AW6" s="145"/>
      <c r="AX6" s="145"/>
      <c r="AY6" s="147"/>
      <c r="AZ6" s="147"/>
      <c r="BA6" s="147"/>
      <c r="BB6" s="148"/>
      <c r="BC6" s="148"/>
      <c r="BD6" s="148"/>
      <c r="BE6" s="148"/>
      <c r="BF6" s="148"/>
      <c r="BG6" s="148"/>
      <c r="BH6" s="148"/>
      <c r="BI6" s="148"/>
      <c r="BJ6" s="148"/>
      <c r="BK6" s="148"/>
      <c r="BL6" s="148"/>
      <c r="BM6" s="148"/>
      <c r="BN6" s="148"/>
      <c r="BO6" s="148"/>
      <c r="BP6" s="148"/>
      <c r="BQ6" s="148"/>
      <c r="BR6" s="148"/>
      <c r="BS6" s="148"/>
      <c r="BT6" s="148"/>
      <c r="BU6" s="148"/>
      <c r="BV6" s="148"/>
    </row>
    <row r="7" spans="1:74" s="149" customFormat="1" ht="6.75" customHeight="1" x14ac:dyDescent="0.2">
      <c r="A7" s="139"/>
      <c r="B7" s="140"/>
      <c r="C7" s="141"/>
      <c r="D7" s="142"/>
      <c r="E7" s="143"/>
      <c r="F7" s="144"/>
      <c r="G7" s="144"/>
      <c r="H7" s="144"/>
      <c r="I7" s="144"/>
      <c r="J7" s="140"/>
      <c r="K7" s="140"/>
      <c r="L7" s="140"/>
      <c r="M7" s="140"/>
      <c r="N7" s="140"/>
      <c r="O7" s="29"/>
      <c r="P7" s="29"/>
      <c r="Q7" s="29"/>
      <c r="R7" s="29"/>
      <c r="S7" s="29"/>
      <c r="T7" s="29"/>
      <c r="U7" s="29"/>
      <c r="V7" s="29"/>
      <c r="W7" s="29"/>
      <c r="X7" s="29"/>
      <c r="Y7" s="29"/>
      <c r="Z7" s="294"/>
      <c r="AA7" s="145"/>
      <c r="AB7" s="146"/>
      <c r="AC7" s="145"/>
      <c r="AD7" s="145"/>
      <c r="AE7" s="145"/>
      <c r="AF7" s="145"/>
      <c r="AG7" s="145"/>
      <c r="AH7" s="146"/>
      <c r="AI7" s="145"/>
      <c r="AJ7" s="145"/>
      <c r="AK7" s="145"/>
      <c r="AL7" s="145"/>
      <c r="AM7" s="145"/>
      <c r="AN7" s="146"/>
      <c r="AO7" s="145"/>
      <c r="AP7" s="145"/>
      <c r="AQ7" s="145"/>
      <c r="AR7" s="145"/>
      <c r="AS7" s="145"/>
      <c r="AT7" s="146"/>
      <c r="AU7" s="145"/>
      <c r="AV7" s="145"/>
      <c r="AW7" s="145"/>
      <c r="AX7" s="145"/>
      <c r="AY7" s="147"/>
      <c r="AZ7" s="147"/>
      <c r="BA7" s="147"/>
      <c r="BB7" s="148"/>
      <c r="BC7" s="148"/>
      <c r="BD7" s="148"/>
      <c r="BE7" s="148"/>
      <c r="BF7" s="148"/>
      <c r="BG7" s="148"/>
      <c r="BH7" s="148"/>
      <c r="BI7" s="148"/>
      <c r="BJ7" s="148"/>
      <c r="BK7" s="148"/>
      <c r="BL7" s="148"/>
      <c r="BM7" s="148"/>
      <c r="BN7" s="148"/>
      <c r="BO7" s="148"/>
      <c r="BP7" s="148"/>
      <c r="BQ7" s="148"/>
      <c r="BR7" s="148"/>
      <c r="BS7" s="148"/>
      <c r="BT7" s="148"/>
      <c r="BU7" s="148"/>
      <c r="BV7" s="148"/>
    </row>
    <row r="8" spans="1:74" s="138" customFormat="1" ht="236.25" x14ac:dyDescent="0.2">
      <c r="A8" s="441">
        <v>1</v>
      </c>
      <c r="B8" s="441">
        <v>0</v>
      </c>
      <c r="C8" s="150">
        <v>1</v>
      </c>
      <c r="D8" s="151" t="s">
        <v>1709</v>
      </c>
      <c r="E8" s="441" t="s">
        <v>1877</v>
      </c>
      <c r="F8" s="441" t="s">
        <v>1878</v>
      </c>
      <c r="G8" s="441" t="s">
        <v>1879</v>
      </c>
      <c r="H8" s="441" t="s">
        <v>287</v>
      </c>
      <c r="I8" s="107">
        <v>0.15</v>
      </c>
      <c r="J8" s="107">
        <v>0.6</v>
      </c>
      <c r="K8" s="107">
        <v>0.7</v>
      </c>
      <c r="L8" s="107">
        <v>0.6</v>
      </c>
      <c r="M8" s="107">
        <f>'Plan de Acción 2022'!R61</f>
        <v>0.8</v>
      </c>
      <c r="N8" s="107">
        <v>1</v>
      </c>
      <c r="O8" s="107" t="e">
        <f>('Plan de Acción 2022'!W61+'Plan de Acción 2022'!W62+'Plan de Acción 2022'!W63+'Plan de Acción 2022'!#REF!+'Plan de Acción 2022'!#REF!+'Plan de Acción 2022'!W64+'Plan de Acción 2022'!W65+'Plan de Acción 2022'!W66+'Plan de Acción 2022'!#REF!+'Plan de Acción 2022'!#REF!+'Plan de Acción 2022'!W67+'Plan de Acción 2022'!W68+'Plan de Acción 2022'!W69+'Plan de Acción 2022'!W70+'Plan de Acción 2022'!W71+'Plan de Acción 2022'!#REF!+'Plan de Acción 2022'!#REF!+'Plan de Acción 2022'!#REF!+'Plan de Acción 2022'!#REF!+'Plan de Acción 2022'!#REF!+'Plan de Acción 2022'!#REF!)/21</f>
        <v>#REF!</v>
      </c>
      <c r="P8" s="208" t="e">
        <f>(O8*20%)/(M8-L8)</f>
        <v>#REF!</v>
      </c>
      <c r="Q8" s="107" t="s">
        <v>1880</v>
      </c>
      <c r="R8" s="107" t="e">
        <f>('Plan de Acción 2022'!AA61+'Plan de Acción 2022'!AA62+'Plan de Acción 2022'!AA63+'Plan de Acción 2022'!#REF!+'Plan de Acción 2022'!#REF!+'Plan de Acción 2022'!AA64+'Plan de Acción 2022'!AA65+'Plan de Acción 2022'!AA66+'Plan de Acción 2022'!#REF!+'Plan de Acción 2022'!#REF!+'Plan de Acción 2022'!AA67+'Plan de Acción 2022'!AA68+'Plan de Acción 2022'!AA69+'Plan de Acción 2022'!AA70+'Plan de Acción 2022'!AA71+'Plan de Acción 2022'!#REF!+'Plan de Acción 2022'!#REF!+'Plan de Acción 2022'!#REF!+'Plan de Acción 2022'!#REF!+'Plan de Acción 2022'!#REF!+'Plan de Acción 2022'!#REF!)/21</f>
        <v>#REF!</v>
      </c>
      <c r="S8" s="208" t="e">
        <f>(R8*20%)/(M8-L8)</f>
        <v>#REF!</v>
      </c>
      <c r="T8" s="107" t="s">
        <v>2093</v>
      </c>
      <c r="U8" s="107" t="e">
        <f>('Plan de Acción 2022'!AE61+'Plan de Acción 2022'!AE62+'Plan de Acción 2022'!AE63+'Plan de Acción 2022'!#REF!+'Plan de Acción 2022'!#REF!+'Plan de Acción 2022'!AE64+'Plan de Acción 2022'!AE65+'Plan de Acción 2022'!AE66+'Plan de Acción 2022'!#REF!+'Plan de Acción 2022'!#REF!+'Plan de Acción 2022'!AE67+'Plan de Acción 2022'!AE68+'Plan de Acción 2022'!AE69+'Plan de Acción 2022'!AE70+'Plan de Acción 2022'!AE71+'Plan de Acción 2022'!#REF!+'Plan de Acción 2022'!#REF!+'Plan de Acción 2022'!#REF!+'Plan de Acción 2022'!#REF!+'Plan de Acción 2022'!#REF!+'Plan de Acción 2022'!#REF!)/21</f>
        <v>#REF!</v>
      </c>
      <c r="V8" s="208" t="e">
        <f>(U8*20)/(M8-L8)</f>
        <v>#REF!</v>
      </c>
      <c r="W8" s="441"/>
      <c r="X8" s="107" t="e">
        <f>('Plan de Acción 2022'!AH61+'Plan de Acción 2022'!AH62+'Plan de Acción 2022'!AH63+'Plan de Acción 2022'!#REF!+'Plan de Acción 2022'!#REF!+'Plan de Acción 2022'!AH64+'Plan de Acción 2022'!AH65+'Plan de Acción 2022'!AH66+'Plan de Acción 2022'!#REF!+'Plan de Acción 2022'!#REF!+'Plan de Acción 2022'!AH67+'Plan de Acción 2022'!AH68+'Plan de Acción 2022'!AH69+'Plan de Acción 2022'!AH70+'Plan de Acción 2022'!AH71+'Plan de Acción 2022'!#REF!+'Plan de Acción 2022'!#REF!+'Plan de Acción 2022'!#REF!+'Plan de Acción 2022'!#REF!+'Plan de Acción 2022'!#REF!+'Plan de Acción 2022'!#REF!)/21</f>
        <v>#REF!</v>
      </c>
      <c r="Y8" s="208" t="e">
        <f>(X8*20)/(M8-L8)</f>
        <v>#REF!</v>
      </c>
      <c r="Z8" s="152"/>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row>
    <row r="9" spans="1:74" ht="62.25" customHeight="1" x14ac:dyDescent="0.2">
      <c r="A9" s="440">
        <v>2</v>
      </c>
      <c r="B9" s="440">
        <v>1</v>
      </c>
      <c r="C9" s="153">
        <v>0</v>
      </c>
      <c r="D9" s="154" t="s">
        <v>1717</v>
      </c>
      <c r="E9" s="110" t="s">
        <v>1305</v>
      </c>
      <c r="F9" s="440" t="s">
        <v>1041</v>
      </c>
      <c r="G9" s="110" t="s">
        <v>1042</v>
      </c>
      <c r="H9" s="440" t="s">
        <v>1881</v>
      </c>
      <c r="I9" s="111">
        <v>0.4</v>
      </c>
      <c r="J9" s="440" t="s">
        <v>52</v>
      </c>
      <c r="K9" s="111">
        <v>0.25</v>
      </c>
      <c r="L9" s="155">
        <v>0.02</v>
      </c>
      <c r="M9" s="111">
        <f>'Plan de Acción 2022'!R228</f>
        <v>0.5</v>
      </c>
      <c r="N9" s="111">
        <v>1</v>
      </c>
      <c r="O9" s="111">
        <f>'Plan de Acción 2022'!W228</f>
        <v>0.4</v>
      </c>
      <c r="P9" s="208">
        <f>(O9*48%)/(M9-L9)</f>
        <v>0.4</v>
      </c>
      <c r="Q9" s="107" t="s">
        <v>1047</v>
      </c>
      <c r="R9" s="374">
        <f>'Plan de Acción 2022'!AA228</f>
        <v>0.4</v>
      </c>
      <c r="S9" s="292">
        <f>(R9*48%)/(M9-L9)</f>
        <v>0.4</v>
      </c>
      <c r="T9" s="440" t="s">
        <v>1048</v>
      </c>
      <c r="U9" s="111">
        <f>'Plan de Acción 2022'!AE228</f>
        <v>60</v>
      </c>
      <c r="V9" s="208">
        <f>(U9*48)/(M9-L9)</f>
        <v>6000</v>
      </c>
      <c r="W9" s="441"/>
      <c r="X9" s="111">
        <f>'Plan de Acción 2022'!AH228</f>
        <v>0</v>
      </c>
      <c r="Y9" s="208">
        <f>(X9*48)/(M9-L9)</f>
        <v>0</v>
      </c>
      <c r="Z9" s="156"/>
    </row>
    <row r="10" spans="1:74" s="138" customFormat="1" ht="109.5" customHeight="1" x14ac:dyDescent="0.2">
      <c r="A10" s="908">
        <v>3</v>
      </c>
      <c r="B10" s="441">
        <v>0</v>
      </c>
      <c r="C10" s="150">
        <v>1</v>
      </c>
      <c r="D10" s="151" t="s">
        <v>1709</v>
      </c>
      <c r="E10" s="441" t="s">
        <v>1882</v>
      </c>
      <c r="F10" s="909" t="s">
        <v>1883</v>
      </c>
      <c r="G10" s="441" t="s">
        <v>1884</v>
      </c>
      <c r="H10" s="441" t="s">
        <v>372</v>
      </c>
      <c r="I10" s="107">
        <v>0</v>
      </c>
      <c r="J10" s="111">
        <v>0.37</v>
      </c>
      <c r="K10" s="111" t="s">
        <v>1885</v>
      </c>
      <c r="L10" s="155">
        <v>0.05</v>
      </c>
      <c r="M10" s="111">
        <f>'Plan de Acción 2022'!R79</f>
        <v>0.05</v>
      </c>
      <c r="N10" s="111">
        <v>0.1</v>
      </c>
      <c r="O10" s="111">
        <f>('Plan de Acción 2022'!W79+'Plan de Acción 2022'!W80+'Plan de Acción 2022'!W81)/3</f>
        <v>0.16666666666666666</v>
      </c>
      <c r="P10" s="208">
        <f>(O10*5%)/(M10)</f>
        <v>0.16666666666666666</v>
      </c>
      <c r="Q10" s="111" t="s">
        <v>1886</v>
      </c>
      <c r="R10" s="374">
        <f>('Plan de Acción 2022'!AA79+'Plan de Acción 2022'!AA80+'Plan de Acción 2022'!AA81)/3</f>
        <v>0.21666666666666665</v>
      </c>
      <c r="S10" s="208">
        <f>(R10*5%)/M10</f>
        <v>0.21666666666666667</v>
      </c>
      <c r="T10" s="107" t="s">
        <v>2094</v>
      </c>
      <c r="U10" s="111">
        <f>('Plan de Acción 2022'!AE79+'Plan de Acción 2022'!AE80+'Plan de Acción 2022'!AE81)/3</f>
        <v>38.333333333333336</v>
      </c>
      <c r="V10" s="208">
        <f>(U10*5%)/M10</f>
        <v>38.333333333333336</v>
      </c>
      <c r="W10" s="441"/>
      <c r="X10" s="111">
        <f>('Plan de Acción 2022'!AH79+'Plan de Acción 2022'!AH80+'Plan de Acción 2022'!AH81)/3</f>
        <v>0</v>
      </c>
      <c r="Y10" s="208">
        <f>(X10*5%)/M10</f>
        <v>0</v>
      </c>
      <c r="Z10" s="152"/>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row>
    <row r="11" spans="1:74" ht="141.75" x14ac:dyDescent="0.2">
      <c r="A11" s="908"/>
      <c r="B11" s="440">
        <v>1</v>
      </c>
      <c r="C11" s="153">
        <v>0</v>
      </c>
      <c r="D11" s="154" t="s">
        <v>1887</v>
      </c>
      <c r="E11" s="440" t="s">
        <v>1888</v>
      </c>
      <c r="F11" s="909"/>
      <c r="G11" s="440" t="s">
        <v>1889</v>
      </c>
      <c r="H11" s="440" t="s">
        <v>386</v>
      </c>
      <c r="I11" s="111">
        <v>0</v>
      </c>
      <c r="J11" s="111">
        <v>0.05</v>
      </c>
      <c r="K11" s="111">
        <v>0.2</v>
      </c>
      <c r="L11" s="157">
        <v>0.06</v>
      </c>
      <c r="M11" s="111">
        <f>'Plan de Acción 2022'!R82</f>
        <v>0.4</v>
      </c>
      <c r="N11" s="111">
        <v>0.8</v>
      </c>
      <c r="O11" s="374">
        <f>'Plan de Acción 2022'!W82</f>
        <v>0.05</v>
      </c>
      <c r="P11" s="208">
        <f>(O11*34%)/(M11-L11)</f>
        <v>0.05</v>
      </c>
      <c r="Q11" s="111" t="s">
        <v>388</v>
      </c>
      <c r="R11" s="111">
        <f>'Plan de Acción 2022'!AA82</f>
        <v>0.05</v>
      </c>
      <c r="S11" s="208">
        <f>(R11*34%)/(M11-L11)</f>
        <v>0.05</v>
      </c>
      <c r="T11" s="108" t="s">
        <v>389</v>
      </c>
      <c r="U11" s="111">
        <f>'Plan de Acción 2022'!AE82</f>
        <v>25</v>
      </c>
      <c r="V11" s="208">
        <f>(U11*34%)/(M11-L11)</f>
        <v>24.999999999999996</v>
      </c>
      <c r="W11" s="445"/>
      <c r="X11" s="111">
        <f>'Plan de Acción 2022'!AH82</f>
        <v>0</v>
      </c>
      <c r="Y11" s="208">
        <f>(X11*34%)/(M11-L11)</f>
        <v>0</v>
      </c>
      <c r="Z11" s="158"/>
    </row>
    <row r="12" spans="1:74" ht="92.25" customHeight="1" x14ac:dyDescent="0.2">
      <c r="A12" s="908"/>
      <c r="B12" s="440">
        <v>1</v>
      </c>
      <c r="C12" s="153">
        <v>0</v>
      </c>
      <c r="D12" s="154" t="s">
        <v>1709</v>
      </c>
      <c r="E12" s="440" t="s">
        <v>1882</v>
      </c>
      <c r="F12" s="909"/>
      <c r="G12" s="440" t="s">
        <v>1890</v>
      </c>
      <c r="H12" s="440" t="s">
        <v>339</v>
      </c>
      <c r="I12" s="111">
        <v>0.48</v>
      </c>
      <c r="J12" s="111">
        <v>0.8</v>
      </c>
      <c r="K12" s="111">
        <v>0.85</v>
      </c>
      <c r="L12" s="157">
        <v>0.83</v>
      </c>
      <c r="M12" s="111">
        <f>'Plan de Acción 2022'!R72</f>
        <v>0.9</v>
      </c>
      <c r="N12" s="111">
        <v>1</v>
      </c>
      <c r="O12" s="111" t="e">
        <f>('Plan de Acción 2022'!W72+'Plan de Acción 2022'!W73+'Plan de Acción 2022'!W74+'Plan de Acción 2022'!W76+'Plan de Acción 2022'!W75+'Plan de Acción 2022'!#REF!+'Plan de Acción 2022'!W113+'Plan de Acción 2022'!W114)/10</f>
        <v>#REF!</v>
      </c>
      <c r="P12" s="208" t="e">
        <f>(O12*7%)/(M12-L12)</f>
        <v>#REF!</v>
      </c>
      <c r="Q12" s="111" t="s">
        <v>1891</v>
      </c>
      <c r="R12" s="111" t="e">
        <f>('Plan de Acción 2022'!AA72+'Plan de Acción 2022'!AA73+'Plan de Acción 2022'!AA74+'Plan de Acción 2022'!AA76+'Plan de Acción 2022'!AA75+'Plan de Acción 2022'!#REF!+'Plan de Acción 2022'!AA77+'Plan de Acción 2022'!AA78+'Plan de Acción 2022'!AA113+'Plan de Acción 2022'!AA114)/10</f>
        <v>#REF!</v>
      </c>
      <c r="S12" s="208" t="e">
        <f>(R12*7%)/(M12-L12)</f>
        <v>#REF!</v>
      </c>
      <c r="T12" s="111" t="s">
        <v>2095</v>
      </c>
      <c r="U12" s="111" t="e">
        <f>('Plan de Acción 2022'!AE72+'Plan de Acción 2022'!AE73+'Plan de Acción 2022'!AE74+'Plan de Acción 2022'!AE76+'Plan de Acción 2022'!AE75+'Plan de Acción 2022'!#REF!+'Plan de Acción 2022'!AE77+'Plan de Acción 2022'!AE78+'Plan de Acción 2022'!AE113+'Plan de Acción 2022'!AE114)/10</f>
        <v>#REF!</v>
      </c>
      <c r="V12" s="208" t="e">
        <f>(U12*7%)/(M12-L12)</f>
        <v>#REF!</v>
      </c>
      <c r="W12" s="445"/>
      <c r="X12" s="111" t="e">
        <f>('Plan de Acción 2022'!AH72+'Plan de Acción 2022'!AH73+'Plan de Acción 2022'!AH74+'Plan de Acción 2022'!AH76+'Plan de Acción 2022'!AH75+'Plan de Acción 2022'!#REF!+'Plan de Acción 2022'!AH77+'Plan de Acción 2022'!AH78+'Plan de Acción 2022'!AH113+'Plan de Acción 2022'!AH114)/10</f>
        <v>#REF!</v>
      </c>
      <c r="Y12" s="208" t="e">
        <f>(X12*7%)/(M12-L12)</f>
        <v>#REF!</v>
      </c>
      <c r="Z12" s="158"/>
    </row>
    <row r="13" spans="1:74" s="138" customFormat="1" ht="54.75" customHeight="1" x14ac:dyDescent="0.2">
      <c r="A13" s="441"/>
      <c r="B13" s="441">
        <v>0</v>
      </c>
      <c r="C13" s="150">
        <v>1</v>
      </c>
      <c r="D13" s="151" t="s">
        <v>1715</v>
      </c>
      <c r="E13" s="110" t="s">
        <v>1715</v>
      </c>
      <c r="F13" s="909" t="s">
        <v>1892</v>
      </c>
      <c r="G13" s="909" t="s">
        <v>1893</v>
      </c>
      <c r="H13" s="441" t="s">
        <v>1894</v>
      </c>
      <c r="I13" s="107">
        <v>0.5</v>
      </c>
      <c r="J13" s="107">
        <v>0.1</v>
      </c>
      <c r="K13" s="107">
        <v>0.9</v>
      </c>
      <c r="L13" s="160">
        <v>0.9</v>
      </c>
      <c r="M13" s="107">
        <f>'Plan de Acción 2022'!R115</f>
        <v>0.95</v>
      </c>
      <c r="N13" s="107">
        <v>1</v>
      </c>
      <c r="O13" s="107">
        <f>'Plan de Acción 2022'!W116</f>
        <v>0.1</v>
      </c>
      <c r="P13" s="208">
        <f>(O13*5%)/(M13-L13)</f>
        <v>0.10000000000000016</v>
      </c>
      <c r="Q13" s="107" t="s">
        <v>1895</v>
      </c>
      <c r="R13" s="107">
        <f>'Plan de Acción 2022'!AA116</f>
        <v>0.5</v>
      </c>
      <c r="S13" s="208">
        <f>(R13*5%)/(M13-L13)</f>
        <v>0.50000000000000067</v>
      </c>
      <c r="T13" s="107" t="str">
        <f>CONCATENATE('Plan de Acción 2022'!AB115)</f>
        <v xml:space="preserve">A través de las ordenes de trabajo:  001184, 001105, 001212, 001241, 001245, 001292 y 001302, se ha realizo el mantenimiento del jardin de la calle 13:
1. Limpieza de residuos organicos de los jardines de la calle 13.
2. Poda de los individuos arboreos
3. Retiro de raices secas
4. Reubicación de las plantas, según el diseño paisajistico.
5. Resane y pintura de las jardineras. 
6. Reacomodación de la tierra y suministro de abono. 
Se realizo la selección y cotización de las plantas a sembrar según el diseño paisajistico ($7.505.000). </v>
      </c>
      <c r="U13" s="107">
        <f>'Plan de Acción 2022'!AE116</f>
        <v>55</v>
      </c>
      <c r="V13" s="208">
        <f>(U13*5%)/(M13-L13)</f>
        <v>55.000000000000071</v>
      </c>
      <c r="W13" s="159"/>
      <c r="X13" s="107">
        <f>'Plan de Acción 2022'!AH116</f>
        <v>0</v>
      </c>
      <c r="Y13" s="208">
        <f>(X13*5%)/(M13-L13)</f>
        <v>0</v>
      </c>
      <c r="Z13" s="161"/>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row>
    <row r="14" spans="1:74" s="138" customFormat="1" ht="78.75" customHeight="1" x14ac:dyDescent="0.2">
      <c r="A14" s="441">
        <v>4</v>
      </c>
      <c r="B14" s="441">
        <v>0</v>
      </c>
      <c r="C14" s="150">
        <v>1</v>
      </c>
      <c r="D14" s="151" t="s">
        <v>1715</v>
      </c>
      <c r="E14" s="110" t="s">
        <v>1896</v>
      </c>
      <c r="F14" s="909"/>
      <c r="G14" s="909"/>
      <c r="H14" s="441" t="s">
        <v>1897</v>
      </c>
      <c r="I14" s="107">
        <v>0.5</v>
      </c>
      <c r="J14" s="107">
        <v>0</v>
      </c>
      <c r="K14" s="107">
        <v>0.1</v>
      </c>
      <c r="L14" s="162">
        <v>0.1</v>
      </c>
      <c r="M14" s="107">
        <f>'Plan de Acción 2022'!R116</f>
        <v>0.2</v>
      </c>
      <c r="N14" s="107">
        <v>0.5</v>
      </c>
      <c r="O14" s="107">
        <f>'Plan de Acción 2022'!W116</f>
        <v>0.1</v>
      </c>
      <c r="P14" s="208">
        <f>(O14*10%)/(M14-L14)</f>
        <v>0.10000000000000002</v>
      </c>
      <c r="Q14" s="107" t="s">
        <v>1898</v>
      </c>
      <c r="R14" s="107">
        <f>'Plan de Acción 2022'!AA116</f>
        <v>0.5</v>
      </c>
      <c r="S14" s="208">
        <f>(R14*10%)/(M14-L14)</f>
        <v>0.5</v>
      </c>
      <c r="T14" s="107" t="str">
        <f>CONCATENATE('Plan de Acción 2022'!AB116)</f>
        <v xml:space="preserve">Se cuenta con el diseño y los estudios previos, adicionalmente se solicito el diseño eléctrico, mismo que esta en elaboración por parte del área de Infraestructruta eléctrica. </v>
      </c>
      <c r="U14" s="107">
        <f>'Plan de Acción 2022'!AE116</f>
        <v>55</v>
      </c>
      <c r="V14" s="208">
        <f>(U14*10)/(M14-L14)</f>
        <v>5500</v>
      </c>
      <c r="W14" s="442"/>
      <c r="X14" s="107">
        <f>'Plan de Acción 2022'!AH116</f>
        <v>0</v>
      </c>
      <c r="Y14" s="208">
        <f>(X14*10)/(M14-L14)</f>
        <v>0</v>
      </c>
      <c r="Z14" s="163"/>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row>
    <row r="15" spans="1:74" s="138" customFormat="1" ht="184.5" customHeight="1" x14ac:dyDescent="0.2">
      <c r="A15" s="908">
        <v>5</v>
      </c>
      <c r="B15" s="441">
        <v>1</v>
      </c>
      <c r="C15" s="150">
        <v>0</v>
      </c>
      <c r="D15" s="151" t="s">
        <v>1715</v>
      </c>
      <c r="E15" s="441" t="s">
        <v>1896</v>
      </c>
      <c r="F15" s="909" t="s">
        <v>1899</v>
      </c>
      <c r="G15" s="441" t="s">
        <v>1900</v>
      </c>
      <c r="H15" s="441" t="s">
        <v>539</v>
      </c>
      <c r="I15" s="107">
        <v>0.37</v>
      </c>
      <c r="J15" s="107">
        <v>0.05</v>
      </c>
      <c r="K15" s="107">
        <v>0.12</v>
      </c>
      <c r="L15" s="162">
        <v>0.12</v>
      </c>
      <c r="M15" s="107">
        <f>'Plan de Acción 2022'!R118</f>
        <v>0.24</v>
      </c>
      <c r="N15" s="107">
        <v>0.5</v>
      </c>
      <c r="O15" s="107" t="e">
        <f>('Plan de Acción 2022'!W118+'Plan de Acción 2022'!W119+'Plan de Acción 2022'!W120+'Plan de Acción 2022'!W121+'Plan de Acción 2022'!W122+'Plan de Acción 2022'!#REF!+'Plan de Acción 2022'!W123+'Plan de Acción 2022'!W124+'Plan de Acción 2022'!W125+'Plan de Acción 2022'!W127+'Plan de Acción 2022'!W128+'Plan de Acción 2022'!#REF!)/12</f>
        <v>#REF!</v>
      </c>
      <c r="P15" s="208" t="e">
        <f>(O15*12%)/(M15-L15)</f>
        <v>#REF!</v>
      </c>
      <c r="Q15" s="107" t="s">
        <v>1901</v>
      </c>
      <c r="R15" s="107" t="e">
        <f>('Plan de Acción 2022'!AA118+'Plan de Acción 2022'!AA119+'Plan de Acción 2022'!AA120+'Plan de Acción 2022'!AA121+'Plan de Acción 2022'!AA122+'Plan de Acción 2022'!#REF!+'Plan de Acción 2022'!AA123+'Plan de Acción 2022'!AA124+'Plan de Acción 2022'!AA125+'Plan de Acción 2022'!AA127+'Plan de Acción 2022'!AA128+'Plan de Acción 2022'!#REF!)/12</f>
        <v>#REF!</v>
      </c>
      <c r="S15" s="208" t="e">
        <f>(R15*12%)/(M15-L15)</f>
        <v>#REF!</v>
      </c>
      <c r="T15" s="107" t="s">
        <v>2129</v>
      </c>
      <c r="U15" s="107" t="e">
        <f>('Plan de Acción 2022'!#REF!+'Plan de Acción 2022'!AE119+'Plan de Acción 2022'!AE120+'Plan de Acción 2022'!AE121+'Plan de Acción 2022'!AE122+'Plan de Acción 2022'!#REF!+'Plan de Acción 2022'!AE123+'Plan de Acción 2022'!AE124+'Plan de Acción 2022'!AE125+'Plan de Acción 2022'!AE127+'Plan de Acción 2022'!AE128+'Plan de Acción 2022'!#REF!)/12</f>
        <v>#REF!</v>
      </c>
      <c r="V15" s="208" t="e">
        <f>(U15*12)/(M15-L15)</f>
        <v>#REF!</v>
      </c>
      <c r="W15" s="442"/>
      <c r="X15" s="107" t="e">
        <f>('Plan de Acción 2022'!AH118+'Plan de Acción 2022'!AH119+'Plan de Acción 2022'!AH120+'Plan de Acción 2022'!AH121+'Plan de Acción 2022'!AH122+'Plan de Acción 2022'!#REF!+'Plan de Acción 2022'!AH123+'Plan de Acción 2022'!AH124+'Plan de Acción 2022'!AH125+'Plan de Acción 2022'!AH127+'Plan de Acción 2022'!AH128+'Plan de Acción 2022'!#REF!)/12</f>
        <v>#REF!</v>
      </c>
      <c r="Y15" s="208" t="e">
        <f>(X15*12)/(M15-L15)</f>
        <v>#REF!</v>
      </c>
      <c r="Z15" s="163"/>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row>
    <row r="16" spans="1:74" ht="73.5" customHeight="1" x14ac:dyDescent="0.2">
      <c r="A16" s="908"/>
      <c r="B16" s="440">
        <v>1</v>
      </c>
      <c r="C16" s="153">
        <v>0</v>
      </c>
      <c r="D16" s="151" t="s">
        <v>1715</v>
      </c>
      <c r="E16" s="441" t="s">
        <v>1896</v>
      </c>
      <c r="F16" s="909"/>
      <c r="G16" s="440" t="s">
        <v>1902</v>
      </c>
      <c r="H16" s="440" t="s">
        <v>573</v>
      </c>
      <c r="I16" s="111">
        <v>0.2</v>
      </c>
      <c r="J16" s="440">
        <v>0</v>
      </c>
      <c r="K16" s="440">
        <v>2</v>
      </c>
      <c r="L16" s="157">
        <v>0.01</v>
      </c>
      <c r="M16" s="111">
        <f>'Plan de Acción 2022'!R130</f>
        <v>0.04</v>
      </c>
      <c r="N16" s="440">
        <v>8</v>
      </c>
      <c r="O16" s="374" t="e">
        <f>('Plan de Acción 2022'!W130+'Plan de Acción 2022'!#REF!)/2</f>
        <v>#REF!</v>
      </c>
      <c r="P16" s="208" t="e">
        <f>(O16*3%)/(M16-L16)</f>
        <v>#REF!</v>
      </c>
      <c r="Q16" s="440" t="s">
        <v>574</v>
      </c>
      <c r="R16" s="111" t="e">
        <f>('Plan de Acción 2022'!AA130+'Plan de Acción 2022'!#REF!)/2</f>
        <v>#REF!</v>
      </c>
      <c r="S16" s="208" t="e">
        <f>(R16*3%)/(M16-L16)</f>
        <v>#REF!</v>
      </c>
      <c r="T16" s="440" t="s">
        <v>576</v>
      </c>
      <c r="U16" s="111" t="e">
        <f>('Plan de Acción 2022'!AE130+'Plan de Acción 2022'!#REF!)/2</f>
        <v>#REF!</v>
      </c>
      <c r="V16" s="208" t="e">
        <f>(U16*3)/(M16-L16)</f>
        <v>#REF!</v>
      </c>
      <c r="W16" s="445"/>
      <c r="X16" s="111" t="e">
        <f>('Plan de Acción 2022'!AH130+'Plan de Acción 2022'!#REF!)/2</f>
        <v>#REF!</v>
      </c>
      <c r="Y16" s="208" t="e">
        <f>(X16*3)/(M16-L16)</f>
        <v>#REF!</v>
      </c>
      <c r="Z16" s="158"/>
    </row>
    <row r="17" spans="1:53" ht="40.5" customHeight="1" x14ac:dyDescent="0.2">
      <c r="A17" s="908"/>
      <c r="B17" s="440">
        <v>1</v>
      </c>
      <c r="C17" s="153">
        <v>0</v>
      </c>
      <c r="D17" s="151" t="s">
        <v>1715</v>
      </c>
      <c r="E17" s="440" t="s">
        <v>1903</v>
      </c>
      <c r="F17" s="909"/>
      <c r="G17" s="440" t="s">
        <v>1904</v>
      </c>
      <c r="H17" s="440" t="s">
        <v>579</v>
      </c>
      <c r="I17" s="111">
        <v>0.6</v>
      </c>
      <c r="J17" s="111">
        <v>0.4</v>
      </c>
      <c r="K17" s="111">
        <v>0.5</v>
      </c>
      <c r="L17" s="157">
        <v>0.5</v>
      </c>
      <c r="M17" s="111">
        <f>'Plan de Acción 2022'!R131</f>
        <v>0.7</v>
      </c>
      <c r="N17" s="111">
        <v>1</v>
      </c>
      <c r="O17" s="111">
        <f>'Plan de Acción 2022'!W131</f>
        <v>0.25</v>
      </c>
      <c r="P17" s="208">
        <f>(O17*20%)/(M17-L17)</f>
        <v>0.25000000000000006</v>
      </c>
      <c r="Q17" s="111" t="s">
        <v>580</v>
      </c>
      <c r="R17" s="111">
        <v>0.6</v>
      </c>
      <c r="S17" s="208">
        <f>(R17*20%)/(M17-L17)</f>
        <v>0.60000000000000009</v>
      </c>
      <c r="T17" s="485" t="s">
        <v>472</v>
      </c>
      <c r="U17" s="111">
        <f>'Plan de Acción 2022'!AE131</f>
        <v>70</v>
      </c>
      <c r="V17" s="208">
        <f>(U17*20)/(M17-L17)</f>
        <v>7000.0000000000018</v>
      </c>
      <c r="W17" s="445"/>
      <c r="X17" s="111">
        <f>'Plan de Acción 2022'!AH131</f>
        <v>0</v>
      </c>
      <c r="Y17" s="208">
        <f>(X17*20)/(M17-L17)</f>
        <v>0</v>
      </c>
      <c r="Z17" s="158"/>
    </row>
    <row r="18" spans="1:53" ht="111.75" customHeight="1" x14ac:dyDescent="0.2">
      <c r="A18" s="908"/>
      <c r="B18" s="440">
        <v>1</v>
      </c>
      <c r="C18" s="153">
        <v>0</v>
      </c>
      <c r="D18" s="151" t="s">
        <v>1715</v>
      </c>
      <c r="E18" s="110" t="s">
        <v>1896</v>
      </c>
      <c r="F18" s="909"/>
      <c r="G18" s="440" t="s">
        <v>1905</v>
      </c>
      <c r="H18" s="440" t="s">
        <v>1906</v>
      </c>
      <c r="I18" s="111">
        <v>0.5</v>
      </c>
      <c r="J18" s="111">
        <v>0.4</v>
      </c>
      <c r="K18" s="111">
        <v>0.6</v>
      </c>
      <c r="L18" s="157">
        <v>0.6</v>
      </c>
      <c r="M18" s="111">
        <f>'Plan de Acción 2022'!R132</f>
        <v>0.8</v>
      </c>
      <c r="N18" s="111">
        <v>1</v>
      </c>
      <c r="O18" s="111">
        <f>'Plan de Acción 2022'!W132</f>
        <v>0.25</v>
      </c>
      <c r="P18" s="208">
        <f>(O18*20%)/(M18-L18)</f>
        <v>0.24999999999999994</v>
      </c>
      <c r="Q18" s="111" t="s">
        <v>1907</v>
      </c>
      <c r="R18" s="111">
        <f>'Plan de Acción 2022'!AA132</f>
        <v>0.5</v>
      </c>
      <c r="S18" s="208">
        <f>(R18*20%)/(M18-L18)</f>
        <v>0.49999999999999989</v>
      </c>
      <c r="T18" s="440" t="s">
        <v>484</v>
      </c>
      <c r="U18" s="111">
        <f>'Plan de Acción 2022'!AE132</f>
        <v>60</v>
      </c>
      <c r="V18" s="208">
        <f>(U18*20)/(M18-L18)</f>
        <v>5999.9999999999982</v>
      </c>
      <c r="W18" s="445"/>
      <c r="X18" s="111">
        <f>'Plan de Acción 2022'!AH132</f>
        <v>0</v>
      </c>
      <c r="Y18" s="208">
        <f>(X18*20)/(M18-L18)</f>
        <v>0</v>
      </c>
      <c r="Z18" s="164"/>
    </row>
    <row r="19" spans="1:53" ht="94.5" x14ac:dyDescent="0.2">
      <c r="A19" s="908"/>
      <c r="B19" s="440">
        <v>1</v>
      </c>
      <c r="C19" s="153">
        <v>0</v>
      </c>
      <c r="D19" s="151" t="s">
        <v>1715</v>
      </c>
      <c r="E19" s="110" t="s">
        <v>1896</v>
      </c>
      <c r="F19" s="909"/>
      <c r="G19" s="908" t="s">
        <v>1908</v>
      </c>
      <c r="H19" s="440" t="s">
        <v>1909</v>
      </c>
      <c r="I19" s="211">
        <v>0.40000000000000008</v>
      </c>
      <c r="J19" s="111">
        <v>0.2</v>
      </c>
      <c r="K19" s="111">
        <v>0.6</v>
      </c>
      <c r="L19" s="157">
        <v>0.6</v>
      </c>
      <c r="M19" s="111">
        <f>'Plan de Acción 2022'!R133</f>
        <v>1</v>
      </c>
      <c r="N19" s="111">
        <v>1</v>
      </c>
      <c r="O19" s="374">
        <f>('Plan de Acción 2022'!W133)</f>
        <v>0</v>
      </c>
      <c r="P19" s="208">
        <f>(O19*40%)/(M19-L19)</f>
        <v>0</v>
      </c>
      <c r="Q19" s="111" t="s">
        <v>590</v>
      </c>
      <c r="R19" s="111">
        <f>('Plan de Acción 2022'!AA133)</f>
        <v>0.4</v>
      </c>
      <c r="S19" s="208">
        <f>(R19*40%)/(M19-L19)</f>
        <v>0.40000000000000008</v>
      </c>
      <c r="T19" s="111" t="str">
        <f>CONCATENATE('Plan de Acción 2022'!AB133)</f>
        <v>Los estudios previos se encuentran en estructuración con la Oficina de Jurídica Contratación y CDP 16922.</v>
      </c>
      <c r="U19" s="111">
        <f>('Plan de Acción 2022'!AE133)</f>
        <v>47</v>
      </c>
      <c r="V19" s="208">
        <f>(U19*40%)/(M19-L19)</f>
        <v>47</v>
      </c>
      <c r="W19" s="295"/>
      <c r="X19" s="111">
        <f>('Plan de Acción 2022'!AH133)</f>
        <v>0</v>
      </c>
      <c r="Y19" s="208">
        <f>(X19*40%)/(M19-L19)</f>
        <v>0</v>
      </c>
      <c r="Z19" s="164"/>
    </row>
    <row r="20" spans="1:53" ht="189" x14ac:dyDescent="0.2">
      <c r="A20" s="908"/>
      <c r="B20" s="440">
        <v>1</v>
      </c>
      <c r="C20" s="153">
        <v>0</v>
      </c>
      <c r="D20" s="151" t="s">
        <v>1715</v>
      </c>
      <c r="E20" s="110" t="s">
        <v>1896</v>
      </c>
      <c r="F20" s="909"/>
      <c r="G20" s="908"/>
      <c r="H20" s="440" t="s">
        <v>1910</v>
      </c>
      <c r="I20" s="211">
        <v>0.6</v>
      </c>
      <c r="J20" s="111">
        <v>0</v>
      </c>
      <c r="K20" s="111">
        <v>0.1</v>
      </c>
      <c r="L20" s="157">
        <v>0.1</v>
      </c>
      <c r="M20" s="111">
        <f>'Plan de Acción 2022'!R134</f>
        <v>0.3</v>
      </c>
      <c r="N20" s="111">
        <v>0.7</v>
      </c>
      <c r="O20" s="111">
        <f>'Plan de Acción 2022'!W134</f>
        <v>0.6</v>
      </c>
      <c r="P20" s="208">
        <f>(O20*20%)/(M20-L20)</f>
        <v>0.6</v>
      </c>
      <c r="Q20" s="111" t="s">
        <v>1911</v>
      </c>
      <c r="R20" s="111">
        <f>'Plan de Acción 2022'!AA134</f>
        <v>0.6</v>
      </c>
      <c r="S20" s="208">
        <f>(R20*20%)/(M20-L20)</f>
        <v>0.6</v>
      </c>
      <c r="T20" s="111" t="str">
        <f>CONCATENATE('Plan de Acción 2022'!AB134)</f>
        <v>Se encuentra en fabricación la cabina donde se guardará la silla salvaescalera tipo oruga, su valor es de $5.831.000</v>
      </c>
      <c r="U20" s="111">
        <f>'Plan de Acción 2022'!AE134</f>
        <v>100</v>
      </c>
      <c r="V20" s="208">
        <f>(U20*20)/(M20-L20)</f>
        <v>10000</v>
      </c>
      <c r="W20" s="295"/>
      <c r="X20" s="111">
        <f>'Plan de Acción 2022'!AH134</f>
        <v>0</v>
      </c>
      <c r="Y20" s="208">
        <f>(X20*20)/(M20-L20)</f>
        <v>0</v>
      </c>
      <c r="Z20" s="158"/>
    </row>
    <row r="21" spans="1:53" ht="126" x14ac:dyDescent="0.2">
      <c r="A21" s="908"/>
      <c r="B21" s="440">
        <v>1</v>
      </c>
      <c r="C21" s="153">
        <v>0</v>
      </c>
      <c r="D21" s="151" t="s">
        <v>1715</v>
      </c>
      <c r="E21" s="110" t="s">
        <v>1896</v>
      </c>
      <c r="F21" s="909"/>
      <c r="G21" s="440" t="s">
        <v>1912</v>
      </c>
      <c r="H21" s="440" t="s">
        <v>598</v>
      </c>
      <c r="I21" s="111">
        <v>0.08</v>
      </c>
      <c r="J21" s="111">
        <v>0.2</v>
      </c>
      <c r="K21" s="111">
        <v>0.4</v>
      </c>
      <c r="L21" s="157">
        <v>0.37</v>
      </c>
      <c r="M21" s="111">
        <f>'Plan de Acción 2022'!R135</f>
        <v>0.6</v>
      </c>
      <c r="N21" s="111">
        <v>1</v>
      </c>
      <c r="O21" s="374">
        <f>('Plan de Acción 2022'!W135+'Plan de Acción 2022'!W136)/2</f>
        <v>0</v>
      </c>
      <c r="P21" s="208">
        <f>(O21*23%)/(M21-L21)</f>
        <v>0</v>
      </c>
      <c r="Q21" s="111" t="s">
        <v>590</v>
      </c>
      <c r="R21" s="374">
        <f>('Plan de Acción 2022'!AA135+'Plan de Acción 2022'!AA136)/2</f>
        <v>7.5000000000000011E-2</v>
      </c>
      <c r="S21" s="208">
        <f>(R21*23%)/(M21-L21)</f>
        <v>7.5000000000000025E-2</v>
      </c>
      <c r="T21" s="480" t="s">
        <v>2096</v>
      </c>
      <c r="U21" s="107"/>
      <c r="V21" s="208">
        <f>(U21*23%)/(M21-L21)</f>
        <v>0</v>
      </c>
      <c r="W21" s="445"/>
      <c r="X21" s="157"/>
      <c r="Y21" s="208">
        <f>(X21*23%)/(M21-L21)</f>
        <v>0</v>
      </c>
      <c r="Z21" s="158"/>
    </row>
    <row r="22" spans="1:53" ht="121.5" customHeight="1" x14ac:dyDescent="0.2">
      <c r="A22" s="908"/>
      <c r="B22" s="440">
        <v>1</v>
      </c>
      <c r="C22" s="153">
        <v>0</v>
      </c>
      <c r="D22" s="151" t="s">
        <v>1715</v>
      </c>
      <c r="E22" s="110" t="s">
        <v>1896</v>
      </c>
      <c r="F22" s="909"/>
      <c r="G22" s="440" t="s">
        <v>1913</v>
      </c>
      <c r="H22" s="440" t="s">
        <v>605</v>
      </c>
      <c r="I22" s="111">
        <v>0.28999999999999998</v>
      </c>
      <c r="J22" s="111">
        <v>0.2</v>
      </c>
      <c r="K22" s="111">
        <v>0.4</v>
      </c>
      <c r="L22" s="160">
        <v>0.3</v>
      </c>
      <c r="M22" s="111">
        <f>'Plan de Acción 2022'!R137</f>
        <v>0.6</v>
      </c>
      <c r="N22" s="111">
        <v>1</v>
      </c>
      <c r="O22" s="111" t="e">
        <f>('Plan de Acción 2022'!W137+'Plan de Acción 2022'!W138+'Plan de Acción 2022'!W163+'Plan de Acción 2022'!W164+'Plan de Acción 2022'!W165+'Plan de Acción 2022'!#REF!+'Plan de Acción 2022'!#REF!+'Plan de Acción 2022'!W166+'Plan de Acción 2022'!#REF!+'Plan de Acción 2022'!#REF!+'Plan de Acción 2022'!#REF!+'Plan de Acción 2022'!W307+'Plan de Acción 2022'!W308)/13</f>
        <v>#REF!</v>
      </c>
      <c r="P22" s="208" t="e">
        <f>(O22*30%)/(M22-L22)</f>
        <v>#REF!</v>
      </c>
      <c r="Q22" s="111" t="s">
        <v>1914</v>
      </c>
      <c r="R22" s="111" t="e">
        <f>('Plan de Acción 2022'!AA137+'Plan de Acción 2022'!AA138+'Plan de Acción 2022'!AA163+'Plan de Acción 2022'!AA164+'Plan de Acción 2022'!AA165+'Plan de Acción 2022'!#REF!+'Plan de Acción 2022'!#REF!+'Plan de Acción 2022'!AA166+'Plan de Acción 2022'!#REF!+'Plan de Acción 2022'!#REF!+'Plan de Acción 2022'!#REF!+'Plan de Acción 2022'!AA306+'Plan de Acción 2022'!AA307+'Plan de Acción 2022'!AA308)/14</f>
        <v>#REF!</v>
      </c>
      <c r="S22" s="208" t="e">
        <f>(R22*30%)/(M22-L22)</f>
        <v>#REF!</v>
      </c>
      <c r="T22" s="440" t="s">
        <v>2097</v>
      </c>
      <c r="U22" s="111" t="e">
        <f>('Plan de Acción 2022'!AE137+'Plan de Acción 2022'!AE138+'Plan de Acción 2022'!AE163+'Plan de Acción 2022'!AE164+'Plan de Acción 2022'!AE165+'Plan de Acción 2022'!#REF!+'Plan de Acción 2022'!#REF!+'Plan de Acción 2022'!AE166+'Plan de Acción 2022'!#REF!+'Plan de Acción 2022'!#REF!+'Plan de Acción 2022'!#REF!+'Plan de Acción 2022'!AE306+'Plan de Acción 2022'!AE307+'Plan de Acción 2022'!AE308)/14</f>
        <v>#REF!</v>
      </c>
      <c r="V22" s="208" t="e">
        <f>(U22*30%)/(M22-L22)</f>
        <v>#REF!</v>
      </c>
      <c r="W22" s="159"/>
      <c r="X22" s="111" t="e">
        <f>('Plan de Acción 2022'!AH137+'Plan de Acción 2022'!AH138+'Plan de Acción 2022'!AH163+'Plan de Acción 2022'!AH164+'Plan de Acción 2022'!AH165+'Plan de Acción 2022'!#REF!+'Plan de Acción 2022'!#REF!+'Plan de Acción 2022'!AH166+'Plan de Acción 2022'!#REF!+'Plan de Acción 2022'!#REF!+'Plan de Acción 2022'!#REF!+'Plan de Acción 2022'!AH306+'Plan de Acción 2022'!AH307+'Plan de Acción 2022'!AH308)/14</f>
        <v>#REF!</v>
      </c>
      <c r="Y22" s="208" t="e">
        <f>(X22*30%)/(M22-L22)</f>
        <v>#REF!</v>
      </c>
      <c r="Z22" s="165"/>
    </row>
    <row r="23" spans="1:53" s="138" customFormat="1" ht="87.75" customHeight="1" x14ac:dyDescent="0.2">
      <c r="A23" s="951">
        <v>6</v>
      </c>
      <c r="B23" s="447">
        <v>0</v>
      </c>
      <c r="C23" s="166">
        <v>1</v>
      </c>
      <c r="D23" s="151" t="s">
        <v>1717</v>
      </c>
      <c r="E23" s="110" t="s">
        <v>1760</v>
      </c>
      <c r="F23" s="911" t="s">
        <v>1107</v>
      </c>
      <c r="G23" s="159" t="s">
        <v>1915</v>
      </c>
      <c r="H23" s="442" t="s">
        <v>1278</v>
      </c>
      <c r="I23" s="117">
        <v>0</v>
      </c>
      <c r="J23" s="117">
        <v>0</v>
      </c>
      <c r="K23" s="107">
        <v>0.25</v>
      </c>
      <c r="L23" s="155">
        <v>0.2</v>
      </c>
      <c r="M23" s="107">
        <f>'Plan de Acción 2022'!R284</f>
        <v>0.5</v>
      </c>
      <c r="N23" s="117">
        <v>1</v>
      </c>
      <c r="O23" s="117">
        <f>'Plan de Acción 2022'!W284</f>
        <v>0.15</v>
      </c>
      <c r="P23" s="208">
        <f>(O23*30%)/(M23-L23)</f>
        <v>0.15</v>
      </c>
      <c r="Q23" s="117" t="s">
        <v>1916</v>
      </c>
      <c r="R23" s="117">
        <f>'Plan de Acción 2022'!AA284</f>
        <v>0.2</v>
      </c>
      <c r="S23" s="208">
        <f>(R23*30%)/(M23-L23)</f>
        <v>0.2</v>
      </c>
      <c r="T23" s="107" t="s">
        <v>2100</v>
      </c>
      <c r="U23" s="117">
        <f>'Plan de Acción 2022'!AE284</f>
        <v>45</v>
      </c>
      <c r="V23" s="208">
        <f>(U23*30%)/(M23-L23)</f>
        <v>45</v>
      </c>
      <c r="W23" s="107"/>
      <c r="X23" s="117">
        <f>'Plan de Acción 2022'!AH284</f>
        <v>0</v>
      </c>
      <c r="Y23" s="208">
        <f>(X23*30%)/(M23-L23)</f>
        <v>0</v>
      </c>
      <c r="Z23" s="167"/>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row>
    <row r="24" spans="1:53" s="138" customFormat="1" ht="123" customHeight="1" x14ac:dyDescent="0.2">
      <c r="A24" s="951"/>
      <c r="B24" s="447">
        <v>0</v>
      </c>
      <c r="C24" s="166">
        <v>1</v>
      </c>
      <c r="D24" s="191" t="s">
        <v>1717</v>
      </c>
      <c r="E24" s="121" t="s">
        <v>1760</v>
      </c>
      <c r="F24" s="949"/>
      <c r="G24" s="443" t="s">
        <v>1259</v>
      </c>
      <c r="H24" s="443" t="s">
        <v>1262</v>
      </c>
      <c r="I24" s="117">
        <v>0</v>
      </c>
      <c r="J24" s="168">
        <v>0</v>
      </c>
      <c r="K24" s="169">
        <v>0.25</v>
      </c>
      <c r="L24" s="169">
        <v>0.1</v>
      </c>
      <c r="M24" s="169">
        <f>'Plan de Acción 2022'!R279</f>
        <v>0.5</v>
      </c>
      <c r="N24" s="168">
        <v>1</v>
      </c>
      <c r="O24" s="375">
        <f>'Plan de Acción 2022'!W279</f>
        <v>0</v>
      </c>
      <c r="P24" s="208">
        <f>(O24*40%)/(M24-L24)</f>
        <v>0</v>
      </c>
      <c r="Q24" s="168" t="s">
        <v>1264</v>
      </c>
      <c r="R24" s="168">
        <f>'Plan de Acción 2022'!AA279</f>
        <v>0.3</v>
      </c>
      <c r="S24" s="208">
        <f>(R24*40%)/(M24-L24)</f>
        <v>0.3</v>
      </c>
      <c r="T24" s="169" t="s">
        <v>2099</v>
      </c>
      <c r="U24" s="168">
        <f>'Plan de Acción 2022'!AE279</f>
        <v>45</v>
      </c>
      <c r="V24" s="208">
        <f>(U24*40%)/(M24-L24)</f>
        <v>45</v>
      </c>
      <c r="W24" s="169"/>
      <c r="X24" s="168">
        <f>'Plan de Acción 2022'!AH279</f>
        <v>0</v>
      </c>
      <c r="Y24" s="208">
        <f>(X24*40%)/(M24-L24)</f>
        <v>0</v>
      </c>
      <c r="Z24" s="192"/>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row>
    <row r="25" spans="1:53" s="138" customFormat="1" ht="158.25" thickBot="1" x14ac:dyDescent="0.25">
      <c r="A25" s="97"/>
      <c r="B25" s="97"/>
      <c r="C25" s="97"/>
      <c r="D25" s="191" t="s">
        <v>1717</v>
      </c>
      <c r="E25" s="121" t="s">
        <v>1760</v>
      </c>
      <c r="F25" s="950"/>
      <c r="G25" s="193" t="s">
        <v>1917</v>
      </c>
      <c r="H25" s="193" t="s">
        <v>1110</v>
      </c>
      <c r="I25" s="117">
        <v>0</v>
      </c>
      <c r="J25" s="168">
        <v>0</v>
      </c>
      <c r="K25" s="169">
        <v>0.25</v>
      </c>
      <c r="L25" s="169">
        <v>0.1</v>
      </c>
      <c r="M25" s="170">
        <f>'Plan de Acción 2022'!R240</f>
        <v>0.5</v>
      </c>
      <c r="N25" s="194">
        <v>1</v>
      </c>
      <c r="O25" s="194">
        <f>'Plan de Acción 2022'!W240</f>
        <v>0.05</v>
      </c>
      <c r="P25" s="208">
        <f>(O25*40%)/(M25-L25)</f>
        <v>5.000000000000001E-2</v>
      </c>
      <c r="Q25" s="194" t="s">
        <v>1111</v>
      </c>
      <c r="R25" s="194">
        <f>'Plan de Acción 2022'!AA240</f>
        <v>0.35</v>
      </c>
      <c r="S25" s="208">
        <f>(R25*40%)/(M25-L25)</f>
        <v>0.34999999999999992</v>
      </c>
      <c r="T25" s="170" t="s">
        <v>2098</v>
      </c>
      <c r="U25" s="194">
        <f>'Plan de Acción 2022'!AE240</f>
        <v>50</v>
      </c>
      <c r="V25" s="208">
        <f>(U25*40%)/(M25-L25)</f>
        <v>50</v>
      </c>
      <c r="W25" s="170"/>
      <c r="X25" s="194">
        <f>'Plan de Acción 2022'!AH240</f>
        <v>0</v>
      </c>
      <c r="Y25" s="208">
        <f>(X25*40%)/(M25-L25)</f>
        <v>0</v>
      </c>
      <c r="Z25" s="170"/>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row>
    <row r="26" spans="1:53" ht="63" x14ac:dyDescent="0.2">
      <c r="A26" s="93">
        <v>6</v>
      </c>
      <c r="B26" s="93"/>
      <c r="C26" s="93"/>
      <c r="D26" s="946"/>
      <c r="E26" s="947"/>
      <c r="F26" s="947"/>
      <c r="G26" s="947"/>
      <c r="H26" s="947"/>
      <c r="I26" s="947"/>
      <c r="J26" s="947"/>
      <c r="K26" s="948"/>
      <c r="L26" s="446"/>
      <c r="M26" s="446"/>
      <c r="N26" s="446"/>
      <c r="O26" s="219" t="s">
        <v>1868</v>
      </c>
      <c r="P26" s="220" t="e">
        <f>AVERAGE(P8:P25)</f>
        <v>#REF!</v>
      </c>
      <c r="Q26" s="219"/>
      <c r="R26" s="219" t="s">
        <v>1869</v>
      </c>
      <c r="S26" s="220" t="e">
        <f>AVERAGE(S8:S25)</f>
        <v>#REF!</v>
      </c>
      <c r="T26" s="221"/>
      <c r="U26" s="219" t="s">
        <v>1870</v>
      </c>
      <c r="V26" s="220" t="e">
        <f>AVERAGE(V8:V25)</f>
        <v>#REF!</v>
      </c>
      <c r="W26" s="221"/>
      <c r="X26" s="219" t="s">
        <v>1871</v>
      </c>
      <c r="Y26" s="220" t="e">
        <f>AVERAGE(Y8:Y25)</f>
        <v>#REF!</v>
      </c>
      <c r="Z26" s="222" t="e">
        <f>AVERAGE(Z27:Z29)/3</f>
        <v>#REF!</v>
      </c>
      <c r="AA26" s="171"/>
      <c r="AB26" s="171"/>
      <c r="AC26" s="171"/>
      <c r="AD26" s="171"/>
      <c r="AE26" s="171"/>
      <c r="AF26" s="171"/>
      <c r="AG26" s="171"/>
      <c r="AH26" s="171"/>
      <c r="AI26" s="171"/>
      <c r="AJ26" s="171"/>
      <c r="AK26" s="171"/>
      <c r="AL26" s="171"/>
      <c r="AM26" s="171"/>
      <c r="AN26" s="171"/>
      <c r="AO26" s="171"/>
      <c r="AP26" s="171"/>
      <c r="AQ26" s="171"/>
      <c r="AR26" s="171"/>
      <c r="AS26" s="171"/>
      <c r="AT26" s="171"/>
      <c r="AU26" s="171"/>
      <c r="AV26" s="171"/>
      <c r="AW26" s="171"/>
      <c r="AX26" s="171"/>
      <c r="AY26" s="171"/>
    </row>
    <row r="27" spans="1:53" ht="35.25" customHeight="1" x14ac:dyDescent="0.2">
      <c r="E27" s="129"/>
      <c r="O27" s="212" t="s">
        <v>1709</v>
      </c>
      <c r="P27" s="213" t="e">
        <f>AVERAGE(P8+P10+P11+P12)/4</f>
        <v>#REF!</v>
      </c>
      <c r="Q27" s="176"/>
      <c r="R27" s="176"/>
      <c r="S27" s="213" t="e">
        <f>AVERAGE(S8+S10+S11+S12)/4</f>
        <v>#REF!</v>
      </c>
      <c r="T27" s="176"/>
      <c r="U27" s="176"/>
      <c r="V27" s="213" t="e">
        <f>AVERAGE(V8+V10+V11+V12)/4</f>
        <v>#REF!</v>
      </c>
      <c r="W27" s="176"/>
      <c r="X27" s="176"/>
      <c r="Y27" s="213" t="e">
        <f>AVERAGE(Y8+Y10+Y11+Y12)/4</f>
        <v>#REF!</v>
      </c>
      <c r="Z27" s="213" t="e">
        <f>AVERAGE(P27+S27+V27+Y27)</f>
        <v>#REF!</v>
      </c>
    </row>
    <row r="28" spans="1:53" ht="51" x14ac:dyDescent="0.2">
      <c r="E28" s="129"/>
      <c r="O28" s="212" t="s">
        <v>1717</v>
      </c>
      <c r="P28" s="213">
        <f>AVERAGE(P9+P23+P24+P25)/4</f>
        <v>0.15000000000000002</v>
      </c>
      <c r="Q28" s="176"/>
      <c r="R28" s="176"/>
      <c r="S28" s="213">
        <f>AVERAGE(S9+S23+S24+S25)/4</f>
        <v>0.3125</v>
      </c>
      <c r="T28" s="176"/>
      <c r="U28" s="176"/>
      <c r="V28" s="213">
        <f>AVERAGE(V9+V23+V24+V25)/4</f>
        <v>1535</v>
      </c>
      <c r="W28" s="176"/>
      <c r="X28" s="176"/>
      <c r="Y28" s="213">
        <f>AVERAGE(Y9+Y23+Y24+Y25)/4</f>
        <v>0</v>
      </c>
      <c r="Z28" s="213">
        <f>AVERAGE(P28+S28+V28+Y28)</f>
        <v>1535.4625000000001</v>
      </c>
    </row>
    <row r="29" spans="1:53" ht="76.5" x14ac:dyDescent="0.2">
      <c r="E29" s="129"/>
      <c r="O29" s="212" t="s">
        <v>1715</v>
      </c>
      <c r="P29" s="213" t="e">
        <f>AVERAGE(P13+P14+P15+P16+P17+P18+P19+P20+P21+P22)/10</f>
        <v>#REF!</v>
      </c>
      <c r="Q29" s="176"/>
      <c r="R29" s="176"/>
      <c r="S29" s="213" t="e">
        <f>AVERAGE(S13+S14+S15+S16+S17+S18+S19+S20+S21+S22)/10</f>
        <v>#REF!</v>
      </c>
      <c r="T29" s="176"/>
      <c r="U29" s="176"/>
      <c r="V29" s="213" t="e">
        <f>AVERAGE(V13+V14+V15+V16+V17+V18+V19+V20+V21+V22)/10</f>
        <v>#REF!</v>
      </c>
      <c r="W29" s="176"/>
      <c r="X29" s="176"/>
      <c r="Y29" s="213" t="e">
        <f>AVERAGE(Y13+Y14+Y15+Y16+Y17+Y18+Y19+Y20+Y21+Y22)/10</f>
        <v>#REF!</v>
      </c>
      <c r="Z29" s="213" t="e">
        <f>AVERAGE(P29+S29+V29+Y29)</f>
        <v>#REF!</v>
      </c>
    </row>
    <row r="30" spans="1:53" ht="13.5" thickBot="1" x14ac:dyDescent="0.25"/>
    <row r="31" spans="1:53" s="6" customFormat="1" ht="13.5" customHeight="1" thickTop="1" x14ac:dyDescent="0.2">
      <c r="A31" s="928" t="s">
        <v>1695</v>
      </c>
      <c r="B31" s="929"/>
      <c r="C31" s="929"/>
      <c r="D31" s="929"/>
      <c r="E31" s="929"/>
      <c r="F31" s="929"/>
      <c r="G31" s="929"/>
      <c r="H31" s="929"/>
      <c r="I31" s="929"/>
      <c r="J31" s="930"/>
      <c r="K31" s="934" t="s">
        <v>1696</v>
      </c>
      <c r="L31" s="935"/>
      <c r="M31" s="935"/>
      <c r="N31" s="935"/>
      <c r="O31" s="935"/>
      <c r="P31" s="935"/>
      <c r="Q31" s="935"/>
      <c r="R31" s="936"/>
      <c r="S31" s="934" t="s">
        <v>1697</v>
      </c>
      <c r="T31" s="940"/>
      <c r="U31" s="928" t="s">
        <v>1698</v>
      </c>
      <c r="V31" s="929"/>
      <c r="W31" s="929"/>
      <c r="X31" s="929"/>
      <c r="Y31" s="942"/>
      <c r="Z31" s="944">
        <v>1</v>
      </c>
      <c r="AA31" s="327"/>
      <c r="AD31" s="327"/>
      <c r="AG31" s="327"/>
    </row>
    <row r="32" spans="1:53" s="6" customFormat="1" ht="5.25" customHeight="1" thickBot="1" x14ac:dyDescent="0.25">
      <c r="A32" s="931"/>
      <c r="B32" s="932"/>
      <c r="C32" s="932"/>
      <c r="D32" s="932"/>
      <c r="E32" s="932"/>
      <c r="F32" s="932"/>
      <c r="G32" s="932"/>
      <c r="H32" s="932"/>
      <c r="I32" s="932"/>
      <c r="J32" s="933"/>
      <c r="K32" s="937"/>
      <c r="L32" s="938"/>
      <c r="M32" s="938"/>
      <c r="N32" s="938"/>
      <c r="O32" s="938"/>
      <c r="P32" s="938"/>
      <c r="Q32" s="938"/>
      <c r="R32" s="939"/>
      <c r="S32" s="937"/>
      <c r="T32" s="941"/>
      <c r="U32" s="931"/>
      <c r="V32" s="932"/>
      <c r="W32" s="932"/>
      <c r="X32" s="932"/>
      <c r="Y32" s="943"/>
      <c r="Z32" s="945"/>
      <c r="AA32" s="327"/>
      <c r="AD32" s="327"/>
      <c r="AG32" s="327"/>
    </row>
    <row r="33" spans="19:22" x14ac:dyDescent="0.2">
      <c r="S33" s="172"/>
      <c r="T33" s="173"/>
      <c r="U33" s="173"/>
      <c r="V33" s="173"/>
    </row>
    <row r="34" spans="19:22" x14ac:dyDescent="0.2">
      <c r="S34" s="172"/>
    </row>
  </sheetData>
  <mergeCells count="26">
    <mergeCell ref="F13:F14"/>
    <mergeCell ref="G13:G14"/>
    <mergeCell ref="D5:N5"/>
    <mergeCell ref="O5:Q5"/>
    <mergeCell ref="B1:Z2"/>
    <mergeCell ref="A3:Z3"/>
    <mergeCell ref="A4:Z4"/>
    <mergeCell ref="R5:T5"/>
    <mergeCell ref="U5:W5"/>
    <mergeCell ref="X5:Z5"/>
    <mergeCell ref="AF5:AK5"/>
    <mergeCell ref="AL5:AQ5"/>
    <mergeCell ref="AR5:AW5"/>
    <mergeCell ref="A10:A12"/>
    <mergeCell ref="F10:F12"/>
    <mergeCell ref="D26:K26"/>
    <mergeCell ref="F23:F25"/>
    <mergeCell ref="A15:A22"/>
    <mergeCell ref="F15:F22"/>
    <mergeCell ref="G19:G20"/>
    <mergeCell ref="A23:A24"/>
    <mergeCell ref="A31:J32"/>
    <mergeCell ref="K31:R32"/>
    <mergeCell ref="S31:T32"/>
    <mergeCell ref="U31:Y32"/>
    <mergeCell ref="Z31:Z32"/>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3:Y65"/>
  <sheetViews>
    <sheetView showGridLines="0" topLeftCell="G10" zoomScale="70" zoomScaleNormal="55" workbookViewId="0">
      <selection activeCell="AG19" sqref="AG19"/>
    </sheetView>
  </sheetViews>
  <sheetFormatPr baseColWidth="10" defaultColWidth="11.42578125" defaultRowHeight="12.75" x14ac:dyDescent="0.2"/>
  <sheetData>
    <row r="63" spans="1:25" ht="13.5" thickBot="1" x14ac:dyDescent="0.25"/>
    <row r="64" spans="1:25" ht="13.5" thickTop="1" x14ac:dyDescent="0.2">
      <c r="A64" s="868" t="s">
        <v>1695</v>
      </c>
      <c r="B64" s="869"/>
      <c r="C64" s="869"/>
      <c r="D64" s="869"/>
      <c r="E64" s="869"/>
      <c r="F64" s="869"/>
      <c r="G64" s="869"/>
      <c r="H64" s="869"/>
      <c r="I64" s="870"/>
      <c r="J64" s="874" t="s">
        <v>1696</v>
      </c>
      <c r="K64" s="875"/>
      <c r="L64" s="875"/>
      <c r="M64" s="875"/>
      <c r="N64" s="875"/>
      <c r="O64" s="875"/>
      <c r="P64" s="875"/>
      <c r="Q64" s="876"/>
      <c r="R64" s="874" t="s">
        <v>1697</v>
      </c>
      <c r="S64" s="880"/>
      <c r="T64" s="868" t="s">
        <v>1698</v>
      </c>
      <c r="U64" s="869"/>
      <c r="V64" s="869"/>
      <c r="W64" s="869"/>
      <c r="X64" s="882"/>
      <c r="Y64" s="863">
        <v>1</v>
      </c>
    </row>
    <row r="65" spans="1:25" ht="13.5" thickBot="1" x14ac:dyDescent="0.25">
      <c r="A65" s="871"/>
      <c r="B65" s="872"/>
      <c r="C65" s="872"/>
      <c r="D65" s="872"/>
      <c r="E65" s="872"/>
      <c r="F65" s="872"/>
      <c r="G65" s="872"/>
      <c r="H65" s="872"/>
      <c r="I65" s="873"/>
      <c r="J65" s="877"/>
      <c r="K65" s="878"/>
      <c r="L65" s="878"/>
      <c r="M65" s="878"/>
      <c r="N65" s="878"/>
      <c r="O65" s="878"/>
      <c r="P65" s="878"/>
      <c r="Q65" s="879"/>
      <c r="R65" s="877"/>
      <c r="S65" s="881"/>
      <c r="T65" s="871"/>
      <c r="U65" s="872"/>
      <c r="V65" s="872"/>
      <c r="W65" s="872"/>
      <c r="X65" s="883"/>
      <c r="Y65" s="864"/>
    </row>
  </sheetData>
  <mergeCells count="5">
    <mergeCell ref="A64:I65"/>
    <mergeCell ref="J64:Q65"/>
    <mergeCell ref="R64:S65"/>
    <mergeCell ref="T64:X65"/>
    <mergeCell ref="Y64:Y6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3:Y79"/>
  <sheetViews>
    <sheetView showGridLines="0" topLeftCell="A43" zoomScale="70" zoomScaleNormal="70" workbookViewId="0">
      <selection activeCell="S47" sqref="S47"/>
    </sheetView>
  </sheetViews>
  <sheetFormatPr baseColWidth="10" defaultColWidth="11.42578125" defaultRowHeight="12.75" x14ac:dyDescent="0.2"/>
  <sheetData>
    <row r="63" ht="13.5" customHeight="1" x14ac:dyDescent="0.2"/>
    <row r="64" ht="13.5" customHeight="1" x14ac:dyDescent="0.2"/>
    <row r="65" spans="1:25" ht="13.5" customHeight="1" x14ac:dyDescent="0.2"/>
    <row r="66" spans="1:25" ht="13.5" customHeight="1" x14ac:dyDescent="0.2"/>
    <row r="67" spans="1:25" ht="13.5" customHeight="1" x14ac:dyDescent="0.2"/>
    <row r="68" spans="1:25" ht="13.5" customHeight="1" x14ac:dyDescent="0.2"/>
    <row r="69" spans="1:25" ht="13.5" customHeight="1" x14ac:dyDescent="0.2"/>
    <row r="70" spans="1:25" ht="13.5" customHeight="1" x14ac:dyDescent="0.2"/>
    <row r="72" spans="1:25" ht="12.75" customHeight="1" x14ac:dyDescent="0.2">
      <c r="A72" s="962" t="s">
        <v>1695</v>
      </c>
      <c r="B72" s="962"/>
      <c r="C72" s="962"/>
      <c r="D72" s="962"/>
      <c r="E72" s="962"/>
      <c r="F72" s="962"/>
      <c r="G72" s="962"/>
      <c r="H72" s="962"/>
      <c r="I72" s="962"/>
      <c r="J72" s="962" t="s">
        <v>1696</v>
      </c>
      <c r="K72" s="962"/>
      <c r="L72" s="962"/>
      <c r="M72" s="962"/>
      <c r="N72" s="962"/>
      <c r="O72" s="962"/>
      <c r="P72" s="962"/>
      <c r="Q72" s="962"/>
      <c r="R72" s="962" t="s">
        <v>1697</v>
      </c>
      <c r="S72" s="962"/>
      <c r="T72" s="962" t="s">
        <v>1698</v>
      </c>
      <c r="U72" s="962"/>
      <c r="V72" s="962"/>
      <c r="W72" s="962"/>
      <c r="X72" s="962"/>
      <c r="Y72" s="962">
        <v>1</v>
      </c>
    </row>
    <row r="73" spans="1:25" ht="12.75" customHeight="1" x14ac:dyDescent="0.2">
      <c r="A73" s="962"/>
      <c r="B73" s="962"/>
      <c r="C73" s="962"/>
      <c r="D73" s="962"/>
      <c r="E73" s="962"/>
      <c r="F73" s="962"/>
      <c r="G73" s="962"/>
      <c r="H73" s="962"/>
      <c r="I73" s="962"/>
      <c r="J73" s="962"/>
      <c r="K73" s="962"/>
      <c r="L73" s="962"/>
      <c r="M73" s="962"/>
      <c r="N73" s="962"/>
      <c r="O73" s="962"/>
      <c r="P73" s="962"/>
      <c r="Q73" s="962"/>
      <c r="R73" s="962"/>
      <c r="S73" s="962"/>
      <c r="T73" s="962"/>
      <c r="U73" s="962"/>
      <c r="V73" s="962"/>
      <c r="W73" s="962"/>
      <c r="X73" s="962"/>
      <c r="Y73" s="962"/>
    </row>
    <row r="79" spans="1:25" ht="15.75" customHeight="1" x14ac:dyDescent="0.2"/>
  </sheetData>
  <mergeCells count="5">
    <mergeCell ref="A72:I73"/>
    <mergeCell ref="J72:Q73"/>
    <mergeCell ref="R72:S73"/>
    <mergeCell ref="T72:X73"/>
    <mergeCell ref="Y72:Y7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50EC9DC28FEB84E8772A9ADEDC09552" ma:contentTypeVersion="14" ma:contentTypeDescription="Create a new document." ma:contentTypeScope="" ma:versionID="9adf6d63978f55f1afb20ba8e23806b6">
  <xsd:schema xmlns:xsd="http://www.w3.org/2001/XMLSchema" xmlns:xs="http://www.w3.org/2001/XMLSchema" xmlns:p="http://schemas.microsoft.com/office/2006/metadata/properties" xmlns:ns3="43b5c514-35a4-416e-aff7-df25cf72a503" xmlns:ns4="ab6efe54-1113-4d03-9a9b-53d2d06840d9" targetNamespace="http://schemas.microsoft.com/office/2006/metadata/properties" ma:root="true" ma:fieldsID="d5514b6ca1c366bc5c606047de09048a" ns3:_="" ns4:_="">
    <xsd:import namespace="43b5c514-35a4-416e-aff7-df25cf72a503"/>
    <xsd:import namespace="ab6efe54-1113-4d03-9a9b-53d2d06840d9"/>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AutoKeyPoints" minOccurs="0"/>
                <xsd:element ref="ns4:MediaServiceKeyPoints" minOccurs="0"/>
                <xsd:element ref="ns4:MediaLengthInSecond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b5c514-35a4-416e-aff7-df25cf72a503"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6efe54-1113-4d03-9a9b-53d2d06840d9"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63305D-6236-4C56-A7F5-E7F5B2DCAA6C}">
  <ds:schemaRefs>
    <ds:schemaRef ds:uri="http://purl.org/dc/dcmitype/"/>
    <ds:schemaRef ds:uri="http://schemas.microsoft.com/office/infopath/2007/PartnerControls"/>
    <ds:schemaRef ds:uri="http://schemas.microsoft.com/office/2006/metadata/properties"/>
    <ds:schemaRef ds:uri="http://schemas.microsoft.com/office/2006/documentManagement/types"/>
    <ds:schemaRef ds:uri="http://purl.org/dc/terms/"/>
    <ds:schemaRef ds:uri="43b5c514-35a4-416e-aff7-df25cf72a503"/>
    <ds:schemaRef ds:uri="http://schemas.openxmlformats.org/package/2006/metadata/core-properties"/>
    <ds:schemaRef ds:uri="http://www.w3.org/XML/1998/namespace"/>
    <ds:schemaRef ds:uri="http://purl.org/dc/elements/1.1/"/>
    <ds:schemaRef ds:uri="ab6efe54-1113-4d03-9a9b-53d2d06840d9"/>
  </ds:schemaRefs>
</ds:datastoreItem>
</file>

<file path=customXml/itemProps2.xml><?xml version="1.0" encoding="utf-8"?>
<ds:datastoreItem xmlns:ds="http://schemas.openxmlformats.org/officeDocument/2006/customXml" ds:itemID="{CBAB121C-0D54-449E-A3C1-DCD06D27E3A5}">
  <ds:schemaRefs>
    <ds:schemaRef ds:uri="http://schemas.microsoft.com/sharepoint/v3/contenttype/forms"/>
  </ds:schemaRefs>
</ds:datastoreItem>
</file>

<file path=customXml/itemProps3.xml><?xml version="1.0" encoding="utf-8"?>
<ds:datastoreItem xmlns:ds="http://schemas.openxmlformats.org/officeDocument/2006/customXml" ds:itemID="{121E2650-6E4D-4934-9173-A426324204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b5c514-35a4-416e-aff7-df25cf72a503"/>
    <ds:schemaRef ds:uri="ab6efe54-1113-4d03-9a9b-53d2d06840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Plan de Acción 2022</vt:lpstr>
      <vt:lpstr>AVANCES 2022</vt:lpstr>
      <vt:lpstr>LO INSTITUCIONAL</vt:lpstr>
      <vt:lpstr>Hoja2</vt:lpstr>
      <vt:lpstr>LO SOCIAL</vt:lpstr>
      <vt:lpstr>LO AMBIENTAL</vt:lpstr>
      <vt:lpstr>AVANCE GENERAL 2022</vt:lpstr>
      <vt:lpstr>REC</vt:lpstr>
      <vt:lpstr>ETAPA</vt:lpstr>
      <vt:lpstr>ETAPAS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FERNANDO PINZON GALVIS</dc:creator>
  <cp:keywords/>
  <dc:description/>
  <cp:lastModifiedBy>Plan de Accion ETITC</cp:lastModifiedBy>
  <cp:revision/>
  <dcterms:created xsi:type="dcterms:W3CDTF">2019-12-26T17:32:37Z</dcterms:created>
  <dcterms:modified xsi:type="dcterms:W3CDTF">2022-12-05T04:56:06Z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0x010100850EC9DC28FEB84E8772A9ADEDC09552</vt:lpwstr>
  </property>
</Properties>
</file>