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RES\Downloads\"/>
    </mc:Choice>
  </mc:AlternateContent>
  <bookViews>
    <workbookView xWindow="-120" yWindow="-120" windowWidth="20730" windowHeight="11160" tabRatio="882"/>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1" hidden="1">'Mapa final'!$A$8:$DO$24</definedName>
  </definedNames>
  <calcPr calcId="162913"/>
  <pivotCaches>
    <pivotCache cacheId="14" r:id="rId26"/>
  </pivotCaches>
</workbook>
</file>

<file path=xl/calcChain.xml><?xml version="1.0" encoding="utf-8"?>
<calcChain xmlns="http://schemas.openxmlformats.org/spreadsheetml/2006/main">
  <c r="R21" i="1" l="1"/>
  <c r="S21" i="1" s="1"/>
  <c r="AI21" i="1" s="1"/>
  <c r="AH21" i="1" s="1"/>
  <c r="N21" i="1"/>
  <c r="O21" i="1" s="1"/>
  <c r="AE21" i="1" s="1"/>
  <c r="N19" i="1"/>
  <c r="O19" i="1" s="1"/>
  <c r="AE19" i="1" s="1"/>
  <c r="Q19" i="1"/>
  <c r="R19" i="1" l="1"/>
  <c r="AG19" i="1"/>
  <c r="AE20" i="1" s="1"/>
  <c r="AF19" i="1"/>
  <c r="AF21" i="1"/>
  <c r="AJ21" i="1" s="1"/>
  <c r="AG21" i="1"/>
  <c r="T21" i="1"/>
  <c r="AG20" i="1" l="1"/>
  <c r="AF20" i="1"/>
  <c r="S19" i="1"/>
  <c r="AI19" i="1" s="1"/>
  <c r="T19" i="1"/>
  <c r="AI20" i="1" l="1"/>
  <c r="AH20" i="1" s="1"/>
  <c r="AJ20" i="1" s="1"/>
  <c r="AH19" i="1"/>
  <c r="AJ19" i="1" s="1"/>
  <c r="AA18" i="1" l="1"/>
  <c r="X18" i="1"/>
  <c r="AI18" i="1" s="1"/>
  <c r="AH18" i="1" s="1"/>
  <c r="Q18" i="1"/>
  <c r="R18" i="1" s="1"/>
  <c r="N18" i="1"/>
  <c r="O18" i="1" s="1"/>
  <c r="T18" i="1" l="1"/>
  <c r="AE18" i="1"/>
  <c r="AF18" i="1" l="1"/>
  <c r="AJ18" i="1" s="1"/>
  <c r="AG18" i="1"/>
  <c r="AA17" i="1" l="1"/>
  <c r="X17" i="1"/>
  <c r="Q17" i="1"/>
  <c r="R17" i="1" s="1"/>
  <c r="S17" i="1" s="1"/>
  <c r="N17" i="1"/>
  <c r="T17" i="1" l="1"/>
  <c r="AI17" i="1"/>
  <c r="AH17" i="1" s="1"/>
  <c r="O17" i="1"/>
  <c r="AE17" i="1" s="1"/>
  <c r="AF17" i="1" l="1"/>
  <c r="AJ17" i="1" s="1"/>
  <c r="AG17" i="1"/>
  <c r="N16" i="1" l="1"/>
  <c r="AA15" i="1"/>
  <c r="X15" i="1"/>
  <c r="Q15" i="1"/>
  <c r="R15" i="1" s="1"/>
  <c r="S15" i="1" s="1"/>
  <c r="AI15" i="1" s="1"/>
  <c r="AH15" i="1" s="1"/>
  <c r="N15" i="1"/>
  <c r="T15" i="1" l="1"/>
  <c r="O15" i="1"/>
  <c r="AE15" i="1" s="1"/>
  <c r="AG15" i="1" l="1"/>
  <c r="AF15" i="1"/>
  <c r="AJ15" i="1" s="1"/>
  <c r="AH14" i="1" l="1"/>
  <c r="AA14" i="1"/>
  <c r="X14" i="1"/>
  <c r="Q14" i="1"/>
  <c r="R14" i="1" s="1"/>
  <c r="T14" i="1" s="1"/>
  <c r="N14" i="1"/>
  <c r="O14" i="1" s="1"/>
  <c r="AE14" i="1" l="1"/>
  <c r="AG14" i="1" s="1"/>
  <c r="AF14" i="1" l="1"/>
  <c r="AJ14" i="1" s="1"/>
  <c r="AA13" i="1"/>
  <c r="W13" i="1"/>
  <c r="P13" i="1"/>
  <c r="Q13" i="1" s="1"/>
  <c r="R13" i="1" s="1"/>
  <c r="M13" i="1"/>
  <c r="S13" i="1" l="1"/>
  <c r="AI13" i="1"/>
  <c r="AH13" i="1" s="1"/>
  <c r="N13" i="1"/>
  <c r="AE13" i="1" s="1"/>
  <c r="AF13" i="1" l="1"/>
  <c r="AJ13" i="1" s="1"/>
  <c r="AG13" i="1"/>
  <c r="AA12" i="1" l="1"/>
  <c r="X12" i="1"/>
  <c r="Q12" i="1"/>
  <c r="R12" i="1" s="1"/>
  <c r="S12" i="1" s="1"/>
  <c r="N12" i="1"/>
  <c r="T12" i="1" l="1"/>
  <c r="AI12" i="1"/>
  <c r="AH12" i="1" s="1"/>
  <c r="O12" i="1"/>
  <c r="AE12" i="1" s="1"/>
  <c r="AF12" i="1" l="1"/>
  <c r="AJ12" i="1" s="1"/>
  <c r="AG12" i="1"/>
  <c r="AA11" i="1" l="1"/>
  <c r="X11" i="1"/>
  <c r="N11" i="1"/>
  <c r="Q11" i="1"/>
  <c r="R11" i="1" l="1"/>
  <c r="S11" i="1" s="1"/>
  <c r="AI11" i="1" s="1"/>
  <c r="AH11" i="1" s="1"/>
  <c r="O11" i="1"/>
  <c r="AE11" i="1" s="1"/>
  <c r="N9" i="1"/>
  <c r="O9" i="1" s="1"/>
  <c r="X9" i="1"/>
  <c r="AA9" i="1"/>
  <c r="AF11" i="1" l="1"/>
  <c r="AJ11" i="1" s="1"/>
  <c r="AG11" i="1"/>
  <c r="T11" i="1"/>
  <c r="AE9" i="1"/>
  <c r="AF9" i="1" s="1"/>
  <c r="AG9" i="1" l="1"/>
  <c r="N27" i="1" l="1"/>
  <c r="AA10" i="1" l="1"/>
  <c r="X10" i="1"/>
  <c r="N10" i="1"/>
  <c r="O10" i="1" s="1"/>
  <c r="AE10" i="1" l="1"/>
  <c r="AF10" i="1" l="1"/>
  <c r="AG10" i="1"/>
  <c r="F221" i="13" l="1"/>
  <c r="F211" i="13"/>
  <c r="F212" i="13"/>
  <c r="F213" i="13"/>
  <c r="F214" i="13"/>
  <c r="F215" i="13"/>
  <c r="F216" i="13"/>
  <c r="F217" i="13"/>
  <c r="F218" i="13"/>
  <c r="F219" i="13"/>
  <c r="F220" i="13"/>
  <c r="F210" i="13"/>
  <c r="B221" i="13" a="1"/>
  <c r="Q10" i="1"/>
  <c r="R10" i="1" l="1"/>
  <c r="B221" i="13"/>
  <c r="Q9" i="1" s="1"/>
  <c r="R9" i="1" s="1"/>
  <c r="T9" i="1" l="1"/>
  <c r="S9" i="1"/>
  <c r="AI9" i="1" s="1"/>
  <c r="AH9" i="1" s="1"/>
  <c r="AJ9" i="1" s="1"/>
  <c r="S10" i="1"/>
  <c r="AI10" i="1" s="1"/>
  <c r="AH10" i="1" s="1"/>
  <c r="AJ10" i="1" s="1"/>
  <c r="T10"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<sst xmlns="http://schemas.openxmlformats.org/spreadsheetml/2006/main" count="661" uniqueCount="375">
  <si>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</si>
  <si>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</si>
  <si>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</si>
  <si>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</si>
  <si>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</si>
  <si>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</si>
  <si>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</si>
  <si>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</si>
  <si>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</si>
  <si>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</si>
  <si>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</si>
  <si>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</si>
  <si>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</si>
  <si>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</si>
  <si>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</si>
  <si>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</si>
  <si>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</si>
  <si>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</si>
  <si>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</si>
  <si>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</si>
  <si>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</si>
  <si>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</si>
  <si>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</si>
  <si>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</si>
  <si>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</si>
  <si>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</si>
  <si>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</si>
  <si>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</si>
  <si>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</si>
  <si>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</si>
  <si>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</si>
  <si>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</si>
  <si>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</si>
  <si>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</si>
  <si>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</si>
  <si>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</si>
  <si>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</si>
  <si>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</si>
  <si>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</si>
  <si>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</si>
  <si>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</si>
  <si>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</si>
  <si>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</si>
  <si>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</si>
  <si>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</si>
  <si>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</si>
  <si>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</si>
  <si>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</si>
  <si>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</si>
  <si>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</si>
  <si>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</si>
  <si>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</si>
  <si>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</si>
  <si>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</si>
  <si>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</si>
  <si>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</si>
  <si>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</si>
  <si>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</si>
  <si>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</si>
  <si>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</si>
  <si>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</si>
  <si>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</si>
  <si>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</si>
  <si>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</si>
  <si>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</si>
  <si>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</si>
  <si>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</si>
  <si>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</si>
  <si>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</si>
  <si>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</si>
  <si>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</si>
  <si>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</si>
  <si>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</si>
  <si>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</si>
  <si>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</si>
  <si>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</si>
  <si>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</si>
  <si>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</si>
  <si>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</si>
  <si>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</si>
  <si>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</si>
  <si>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</si>
  <si>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</si>
  <si>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</si>
  <si>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</si>
  <si>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</si>
  <si>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</si>
  <si>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</si>
  <si>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</si>
  <si>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</si>
  <si>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</si>
  <si>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</si>
  <si>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</si>
  <si>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</si>
  <si>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</si>
  <si>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</si>
  <si>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</si>
  <si>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</si>
  <si>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</si>
  <si>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</si>
  <si>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</si>
  <si>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</si>
  <si>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</si>
  <si>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</si>
  <si>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</si>
  <si>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</si>
  <si>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</si>
  <si>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</si>
  <si>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</si>
  <si>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</si>
  <si>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</si>
  <si>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</si>
  <si>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</si>
  <si>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</si>
  <si>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</si>
  <si>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</si>
  <si>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</si>
  <si>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</si>
  <si>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</si>
  <si>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</si>
  <si>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</si>
  <si>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</si>
  <si>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</si>
  <si>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</si>
  <si>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</si>
  <si>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</si>
  <si>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</si>
  <si>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</si>
  <si>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</si>
  <si>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</si>
  <si>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</si>
  <si>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</si>
  <si>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</si>
  <si>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</si>
  <si>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</si>
  <si>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</si>
  <si>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</si>
  <si>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</si>
  <si>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</si>
  <si>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</si>
  <si>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</si>
  <si>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</si>
  <si>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</si>
  <si>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</si>
  <si>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</si>
  <si>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</si>
  <si>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</si>
  <si>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</si>
  <si>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</si>
  <si>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</si>
  <si>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</si>
  <si>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</si>
  <si>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</si>
  <si>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</si>
  <si>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</si>
  <si>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</si>
  <si>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</si>
  <si>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</si>
  <si>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</si>
  <si>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</si>
  <si>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</si>
  <si>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</si>
  <si>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</si>
  <si>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</si>
  <si>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</si>
  <si>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</si>
  <si>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</si>
  <si>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</si>
  <si>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</si>
  <si>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</si>
  <si>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</si>
  <si>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</si>
  <si>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</si>
  <si>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</si>
  <si>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</si>
  <si>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</si>
  <si>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</si>
  <si>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</si>
  <si>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</si>
  <si>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</si>
  <si>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</si>
  <si>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</si>
  <si>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</si>
  <si>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</si>
  <si>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</si>
  <si>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</si>
  <si>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</si>
  <si>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</si>
  <si>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</si>
  <si>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</si>
  <si>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</si>
  <si>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</si>
  <si>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</si>
  <si>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</si>
  <si>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</si>
  <si>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</si>
  <si>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</si>
  <si>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</si>
  <si>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</si>
  <si>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</si>
  <si>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</si>
  <si>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</si>
  <si>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</si>
  <si>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</si>
  <si>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</si>
  <si>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</si>
  <si>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</si>
  <si>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</si>
  <si>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</si>
  <si>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</si>
  <si>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CÓDIGO:   GDC-FO-09</t>
  </si>
  <si>
    <t>PÁGINA:    1 de 1</t>
  </si>
  <si>
    <t>CLASIF. DE CONFIDENCIALIDAD</t>
  </si>
  <si>
    <t>IPB</t>
  </si>
  <si>
    <t>CLASIF. DE INTEGRIDAD</t>
  </si>
  <si>
    <t>A</t>
  </si>
  <si>
    <t>CLASIF. DE DISPONIBILIDAD</t>
  </si>
  <si>
    <t>VERSIÓN:  7</t>
  </si>
  <si>
    <t>VIGENCIA: ENERO 25 DE 2022</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</si>
  <si>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</si>
  <si>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</si>
  <si>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</si>
  <si>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</si>
  <si>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</si>
  <si>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</si>
  <si>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</si>
  <si>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</si>
  <si>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</si>
  <si>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</si>
  <si>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</si>
  <si>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</si>
  <si>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</si>
  <si>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</si>
  <si>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</si>
  <si>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</si>
  <si>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</si>
  <si>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</si>
  <si>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</si>
  <si>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</si>
  <si>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</si>
  <si>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</si>
  <si>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</si>
  <si>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</si>
  <si>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</si>
  <si>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</si>
  <si>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</si>
  <si>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DIRECCIONAMIENTO INSTITUCIONAL</t>
  </si>
  <si>
    <t>Definir planes, programas y proyectos que garanticen el cumplimiento de la misión, visión, políticas y objetivos de la Escuela Tecnológica Instituto Técnico Central enmarcados en la normatividad vigente y en la planeación estratégica con miras de fortalecer el crecimiento de la institución a nivel nacional e internacional; favoreciendo la calidad y la formación integral e intercultural de nuestros educandos.</t>
  </si>
  <si>
    <t>40%</t>
  </si>
  <si>
    <t>Crear necesidades que no concuerdan con la realidad institucional.</t>
  </si>
  <si>
    <t>Discrecionalidad de la alta dirección para formular proyectos</t>
  </si>
  <si>
    <t>Jefe Oficina Asesora de Planeación
Contratista de apoyo a la OAP</t>
  </si>
  <si>
    <t>Discreción de la alta dirección de distribuir los recursos para cada proyecto y/o dependencia.</t>
  </si>
  <si>
    <t>Error humano involuntario al asignar recursos a las áreas.
No recibir plan de necesidades de las áreas</t>
  </si>
  <si>
    <t>Plan de necesidades consolidado
Plan de acción</t>
  </si>
  <si>
    <t>Posibilidad de afectación económica y reputacional debido a recibir dádivas o beneficios a nombre propio o de terceros por la asignación y distribución de los recursos  financieros.</t>
  </si>
  <si>
    <t>Posibilidad de afectación económica y reputacional por recibir o solicitar cualquier dádiva o beneficio a nombre propio o de terceros al formular proyectos direccionados que no respondan a ninguna necesidad.</t>
  </si>
  <si>
    <t>Enero - Diciembre</t>
  </si>
  <si>
    <t xml:space="preserve">El profesional de apoyo de la Oficina Asesora de Planeación de manera trimestral debe verificar que el presupuesto asignado para cada dependencia y registrado en el plan de acción cargado en el aplicativo Kawak y el Plan de Necesidades Institucional se ejecute acorde a los procesos de priorización de recursos y dinamicas de los procesos y áreas institucionales. El proceso de ejecución de recursos debe quedar registrado en los seguimientos del plan de acción y evidenciado en el aplicativo KAWAK y formato de seguimiento. </t>
  </si>
  <si>
    <t xml:space="preserve">A través del aplicativo KAWAK realizar el cargue de la asignación presupuestal para la realización de los proyectos integrados en el plan de acción vigencia 2023 </t>
  </si>
  <si>
    <t>Como soporte de la ejecución del control resulta la actualización de la Plataforma integrada de Inversión Pública (PIIP) en la formulación de actividades.</t>
  </si>
  <si>
    <t>Actualizar la Plataforma Integrada de Inversión Pública con la información de formulación de los proyectos de inversión de la ETITC.</t>
  </si>
  <si>
    <t>Formulación de actividades anual</t>
  </si>
  <si>
    <t>El profesional de apoyo de la Oficina Asesora de Planeación anualmente debe formular a las actividades de los proyectos de inversión registrados en el banco nacional de programas y proyectos de la Nación que correspondan a necesidades misionales o de apoyo para la operación de la ETITC mediante la validación de la cadena de valor de los proyectos.
Si se presenta una desviación en la ejecución del control, el Jefe de la Oficina Asesora de Planeación solicitará la explicación de la actividad que no corresponda a una necesidad de la ETITC, en caso de no contar con justificación, dicha actividad debe ser eliminada del proyecto.</t>
  </si>
  <si>
    <t>Fecha de actualización 31/01/2024</t>
  </si>
  <si>
    <t xml:space="preserve">MAPA Y PLAN DE TRATAMIENTO DE RIESGOS DE CORRUPCIÓN </t>
  </si>
  <si>
    <t>Reportar productos de manera erronea</t>
  </si>
  <si>
    <t>No validar la autenticidad de los docuementos que soportan existencia y calidad de los productos</t>
  </si>
  <si>
    <t xml:space="preserve">Posibilidad de afectación reputacional debido a la verificaciòn de registros en GrupLac y Cvlac con información indebidamente soportada para favorecimiento de terceros </t>
  </si>
  <si>
    <t>Ejecución y Administración de procesos</t>
  </si>
  <si>
    <t xml:space="preserve">Verificaciòn de la autenticidad de los productos </t>
  </si>
  <si>
    <t xml:space="preserve">Informe de verificación de existencia y calidad de  productos </t>
  </si>
  <si>
    <t>Plan de acompañamiento a grupos de investigación</t>
  </si>
  <si>
    <t>Contratista Apoyo a la investigación</t>
  </si>
  <si>
    <t>INVESTIGACIÓN</t>
  </si>
  <si>
    <t>Apoyar la investigación en la ETITC, mediante el fomento a las Actividades de Ciencia Tecnología e innovación ACTI, la generación del conocimiento y la gestión de la transferencia del conocimiento, para insertarse en el Sistema Nacional de Ciencia, Tecnología e Innovación.</t>
  </si>
  <si>
    <t xml:space="preserve">Admitir aspirantes que no realizan el proceso de admisiones </t>
  </si>
  <si>
    <t>Omisión en los requisitos de los estudiantes aspirantes</t>
  </si>
  <si>
    <t>Probabilidad de afectación reputacional por admitir aspirantes que no realizaron  el proceso de admisión o no cumplieron con los requisitos establecidos debido a omisión de los mismos  para beneficio propio o a favor de terceros</t>
  </si>
  <si>
    <t xml:space="preserve">Publicación de las actividades que hacen parte del proceso de admisiones.
</t>
  </si>
  <si>
    <t xml:space="preserve"> Cronograma del Proceso de Admisiones
Verificación de los documentos de los aspirantes
Publicación de los resultados de la prueba
la entrevista y aspirantes admitidos.</t>
  </si>
  <si>
    <t>Verificar  los documentos de los aspirantes</t>
  </si>
  <si>
    <t>Hno. Eliseo Baracaldo Garzón</t>
  </si>
  <si>
    <t>Octubre de 2024</t>
  </si>
  <si>
    <t>Ofrecer una educación integral con calidad y excelencia, a través de la implementación de estrategias y metodologías de aprendizaje técnico-académicas, que promuevan la construcción de conocimiento y talento humano.</t>
  </si>
  <si>
    <t>DOCENCIA IBTI</t>
  </si>
  <si>
    <t>Posibilidad de afectación económica y reputacional al presentar necesidades del área que no responden a los objetivos de la Escuela con el fin de que se formulen proyectos en favorecimiento propio o de terceros</t>
  </si>
  <si>
    <t>El Vicerrector Académico, cada vez que se requiera iniciar un nuevo proceso contractual, verificará y dará visto bueno a los estudios previos que presenten los líderes de proceso que compone la Vicerrectoría Académica, con el fin de establecer un filtro adicional a las necesidades presentadas por esas áreas.
Si el Vicerrector Académico identifica alguna falencia en los documentos precontractuales, enviará las observaciones pertinentes al profesional responsable para su ajuste previo al inicio de la estructuración del proceso contractual con el área de Contratación.</t>
  </si>
  <si>
    <t>Formato de estudios previos con firma del Vicerrector Académico para cada proceso contractual de la Vicerrectoría Académica.</t>
  </si>
  <si>
    <t xml:space="preserve">GAD-PC-02 Procedimiento para Adquisiciones </t>
  </si>
  <si>
    <t>Realizar anualmente actividades de capacitaciones, apoyadas por el área de talento humano, en donde se socialicen y traten de fondo temas de anticorrupción, así como su impacto y posibles consecuencias.</t>
  </si>
  <si>
    <t>Vicerrectoría Académica</t>
  </si>
  <si>
    <t>DOCENCIA PROGRAMAS DE EDUCACIÓN SUPERIOR (DOCENCIA PES)</t>
  </si>
  <si>
    <t xml:space="preserve">Formar personas integrales, creativas y competentes en los niveles técnico, tecnológica y de ingeniería, capaces de solucionar problemas a través de la investigación aplicada </t>
  </si>
  <si>
    <t>EXTENSIÓN Y PROYECCIÓN SOCIAL</t>
  </si>
  <si>
    <t>Alteración de información en la plataforma Academusoft</t>
  </si>
  <si>
    <t>Emitir certificado a personas que no cumplan con los requisitos (permanencia, calificaciones)</t>
  </si>
  <si>
    <t>Posibilidad de afectación reputacional por otorgar certificados sin el debido cumplimiento de los requisitos previos con el fin de beneficio propio o de un tercero</t>
  </si>
  <si>
    <t>Usuarios, productos y practicas, organizacionales</t>
  </si>
  <si>
    <r>
      <t xml:space="preserve">Verificar cumplimiento de requisitos desde los documentos soporte (formato de notas y notas definitivas academusoft) para la  expedición de diplomas y certificados.
2 veces al año (Finalizando semestre)
</t>
    </r>
    <r>
      <rPr>
        <b/>
        <sz val="10"/>
        <color theme="1"/>
        <rFont val="Arial Narrow"/>
        <family val="2"/>
      </rPr>
      <t xml:space="preserve">Desviacion del control
</t>
    </r>
    <r>
      <rPr>
        <sz val="10"/>
        <color theme="1"/>
        <rFont val="Arial Narrow"/>
        <family val="2"/>
      </rPr>
      <t xml:space="preserve">Solicitud de la divulgacion del los cambios </t>
    </r>
  </si>
  <si>
    <r>
      <t xml:space="preserve">Formato de notas docentes, notas definitivas en academusoft.
</t>
    </r>
    <r>
      <rPr>
        <b/>
        <sz val="10"/>
        <color theme="1"/>
        <rFont val="Arial Narrow"/>
        <family val="2"/>
      </rPr>
      <t>Documentacion del control
EXT-PC-01</t>
    </r>
  </si>
  <si>
    <t>Verificar el registsro de las notas en planillas Vs Academusoft</t>
  </si>
  <si>
    <t xml:space="preserve">GITEPS </t>
  </si>
  <si>
    <t>Contribuir con la Extensión y Proyección Social de la ETITC a través de programas de capacitación y asesorías y la interrelación con el sector productivo y egresados</t>
  </si>
  <si>
    <t>Evaluación subjetiva en la verificación de los requisitos contractuales. Inadecuada aplicación de la normatividad vigente, manual de contratación y procedimientos asociados.</t>
  </si>
  <si>
    <t xml:space="preserve">Inadecuada adjudicacion del proceso de selección del contrato </t>
  </si>
  <si>
    <t>Posibilidad de afectación económica y reputacional por inadecuada adjudicacion del proceso de selección del contrato debido a evaluación subjetiva de requisitos contractuales por inaplicación de norma.</t>
  </si>
  <si>
    <t>De acuerdo al calendario contractual, los integrantes del Comité evaluador cada vez que evalúan serán los encargados de verificar el cumplimiento de los proponentes en cada proceso de acuerdo a la lista de chequeo dispuesta para cada modalidad contractual, así como verificar el marco normativo aplicable para realizar la contratación, teniendo en cuenta los criterios técnicos, económicos y jurídicos que aplican para cada modalidad de contratación, con la finalidad de verificar el lleno de requisitos legales, económicos y técnicos de los proponentes para ser adjudicatarios del proceso de contratación. 
En caso de que los evaluadores del proceso no puedan evaluar por la complejidad del proceso contractual, se adendará y modificará el proceso contractual.</t>
  </si>
  <si>
    <t>Informes de evaluación parcial y denifitivo de los procesos de contratación, y acta de aprobación de los informes por parte del Comité de Contratación.
Adenda del proceso contractual cuando aplique.
Informe del Comité de Contratación.</t>
  </si>
  <si>
    <t>Procedimientos:
- GAD-PC-03 Contratación directa 
- Mínima cuantía 
- Concurso de méritos
- Selección abreviada
- GAD-PC-04 Menor Cuantía 
- Licitación pública
- GAD-PC-05 Subasta 
- Adquisición por Tienda Virtual del Estado Colombiano 
Nota: No todos los procedimientos se encuentran codificados, ya que el área de Calidad no los ha enviado para publicación.</t>
  </si>
  <si>
    <t xml:space="preserve">1. Contratación Directa. Certificación de idoneidad de los contratistas de prestación de servicios profesionales y de apoyo a la gestión </t>
  </si>
  <si>
    <t xml:space="preserve">Líder del área requirente del bien o servicio </t>
  </si>
  <si>
    <t>2. Contratación de mínima, menor y mayor cuantía, evaluación parcial y definitiva por parte del comité evaluador designado para cada modalidad de contratación</t>
  </si>
  <si>
    <t>Integrantes del comité evaluador</t>
  </si>
  <si>
    <t>GESTIÓN DE ADQUISICIONES</t>
  </si>
  <si>
    <t xml:space="preserve">Apoyar la  adquisición de bienes y servicios requeridos por la Escuela Tecnológica Instituto Técnico Central. </t>
  </si>
  <si>
    <t>Jurídico - Disciplinario</t>
  </si>
  <si>
    <t>Puede generar Impunidad,
Sanciones disciplinarias por acción u omisión,
deterioro imagen institucional,                           
evaluación inadecuada en el trámite de la Queja</t>
  </si>
  <si>
    <t xml:space="preserve">
1. Falta de publicidad y comunicación de recursos a los sujetos procesales.
</t>
  </si>
  <si>
    <t xml:space="preserve">Posibilidad de afectación reputacional por recibir o solicitar dádivas, por parte del instructor y/o del  operador disciplinario,  a nombre propio o de un tercero para omitir o prorrogar acciones disciplinarias, por no adelantar el proceso disciplinario, por no publicitar el proceso, por no conceder los recursos de ley, para favorecer intereses propios o ajenos.
</t>
  </si>
  <si>
    <t>El Secretario General, cada vez que se proyecte una decisión dentro de una acción disciplinaria, por parte de la profesional de Asuntos Jurídicos y Disciplinarios, verificará que la misma se ajuste a los términos de Ley, con el fin de garantizar el debido proceso y la correcta sustanciación del proceso conforme a las disposiciones de la nueva Ley Disciplinaria.
Si el Secretario General identifica que el documento no se encuentra conforme, realiza las observaciones la profesional de Asuntos Jurídicos y Disciplinarios para los ajustes pertinentes.</t>
  </si>
  <si>
    <t>Revisión y visto bueno de todas las actuaciones disciplinarias  emitido, por parte del Secretario General, mediante correo electrónico.</t>
  </si>
  <si>
    <t>No se encuentra documentado</t>
  </si>
  <si>
    <t>Actuaciones Disciplinarias revisadas y con visto bueno por parte del Secretario General.</t>
  </si>
  <si>
    <t>Profesional Asuntos Disciplinarios
y
Secretario General</t>
  </si>
  <si>
    <t>01 de enero de 2024</t>
  </si>
  <si>
    <t>GESTIÓN DE CONTROL DISCIPLINARIO</t>
  </si>
  <si>
    <t>Llevar a cabo de manera adecuada las actuaciones disciplinarias al interior de la entidad, con la finalidad de promover los principios de la función pública en los servidores de la ETITC previsto en la Ley 1952 de 2019  y sus modificaciones.</t>
  </si>
  <si>
    <t>Vinculación de los servidores publico sin cumplir requisitos</t>
  </si>
  <si>
    <t>Incumplimiento del proceso de selección y vinculación, el manual de funciones y  competencias, de los procedimientos de selección y normatividad vigente</t>
  </si>
  <si>
    <t>Posibilidad de afectación económica y reputacional por seleccionar un determinado candidato obviando el perfil y algunos requisitos para la vinculación, para beneficio propio o de terceros.</t>
  </si>
  <si>
    <t>El profesional especializado de Selección y Vinculación, cada vez que se realice una nueva vinculación verificará el cumplimiento del procedimiento de selección y vinculación, con el fin de garantizar la selección objetiva del talento humano nuevo que se vincule a la ETITC.
En caso de que el profesional especializado de Selección y Vinculación identifique un potencial conflicto de intereses con el candidato a vincular, debe declararse impedido para continuar con el proceso de selección.</t>
  </si>
  <si>
    <t xml:space="preserve">Formatos diligenciados:
- GTH-FO-10 Matriz de Evaluación de Candidatos
- GTH-FO-11 Entrevista Preliminar
- GTH-FO-12 Informe Entrevista y Pruebas Psicotécnicas
- GTH-FO-21 Listado de Chequeo Documentos de Ingreso 
- GTH-FO-22 Declaración de situaciones de conflicto de interés (en caso de que aplique)
</t>
  </si>
  <si>
    <t xml:space="preserve">GTH-PC-01 Selección, Vinculación y Retiro de Personal </t>
  </si>
  <si>
    <t xml:space="preserve">Vinculación de nuevo personal acorde al procedimiento GTH-PC-01 Selección, Vinculación y Retiro de Personal </t>
  </si>
  <si>
    <t>Profesional de Talento Humano</t>
  </si>
  <si>
    <t>GESTIÓN DE TALENTO HUMANO</t>
  </si>
  <si>
    <t>Generar políticas e Implementar planes y programas de la Gestión del Talento Humano bajo el principio de Justicia, equidad y trasparencia, al realizar, selección, vinculación, inducción, capacitación y formación, evaluación de Desempeño, Bienestar Laboral e incentivos y retiro, Desarrollando y generando conciencia en la seguridad y salud en el trabajo y el desempeño ambiental en los servidores públicos de la ETITC, bajo el marco de la normatividad legal vigente que conlleve al cumplimiento de los objetivos estratégicos de la institución</t>
  </si>
  <si>
    <t>GESTIÓN DOCUMENTAL</t>
  </si>
  <si>
    <t>Desarrollar las actividades administrativas y técnicas con conocimiento con la planificación de los procesos archivísticos en relación con la organización administración, valoración y preservación de los documentos de archivo producidos y/o recibidos por la entidad en cumplimiento de sus funciones, con el fin de garantizar el acceso oportuno de la información así como brindar el servicio de la atención e información al ciudadano, a través del sistema de PQRSD, respondiendo de esta manera al cumplimiento de los fines institucionales</t>
  </si>
  <si>
    <t>Afectación en la gestión institucional.
Investigaciones disciplinarias.
Pérdida o cambio de información institucional</t>
  </si>
  <si>
    <t>Omitir el procedimiento definido para el préstamo o consulta de los documentos.
Posibilidad de acceso a los archivos de personal no autorizado</t>
  </si>
  <si>
    <t>Posibilidad de afectación económica y reputacional por recibir o solicitar cualquier dádiva o beneficio a nombre propio o de terceros al manipular/ incluir / extraer documentos a cualquier expediente en custodia del archivo central.</t>
  </si>
  <si>
    <r>
      <t xml:space="preserve">El lider del proceso debe cumplir el procedimiento para el préstamo o la consulta de documentos, diligenciando los respectivos formatos 
</t>
    </r>
    <r>
      <rPr>
        <b/>
        <sz val="11"/>
        <color theme="1"/>
        <rFont val="Arial Narrow"/>
        <family val="2"/>
      </rPr>
      <t xml:space="preserve">DESVIACIÓN DEL CONTROL:
</t>
    </r>
    <r>
      <rPr>
        <sz val="11"/>
        <color theme="1"/>
        <rFont val="Arial Narrow"/>
        <family val="2"/>
      </rPr>
      <t>Registrar en planilla provisional y luego legalizar</t>
    </r>
  </si>
  <si>
    <t>Diligenciar el formato de control de préstamos.  Documentación del control GDO-FO-08 Formato Control Consultas y/o Prestamos de Expedientes</t>
  </si>
  <si>
    <t>Se debe diligenciar el formato  de control de consultas y prestamos, con el fin de tener un reporte de las personas que lo solicitan.</t>
  </si>
  <si>
    <t xml:space="preserve">Profesional de Gestión Documental y Atención al Ciudadano
</t>
  </si>
  <si>
    <t>Cada vez que se consulte o preste un documento</t>
  </si>
  <si>
    <r>
      <t xml:space="preserve">El lider del proceso debe restricción de entrada sólo de personal autorizado.
Si por necesidad o por solicitud debe ingresar algún externo del proceso al archivo, este debe dilgenciar la planilla de control de visita.
 </t>
    </r>
    <r>
      <rPr>
        <b/>
        <sz val="11"/>
        <color theme="1"/>
        <rFont val="Arial Narrow"/>
        <family val="2"/>
      </rPr>
      <t>DESVIACIÓN DEL CONTROL:</t>
    </r>
    <r>
      <rPr>
        <sz val="11"/>
        <color theme="1"/>
        <rFont val="Arial Narrow"/>
        <family val="2"/>
      </rPr>
      <t xml:space="preserve">
Permitir el ingreso y luego legalizar la firma de la planilla de apoyo</t>
    </r>
  </si>
  <si>
    <r>
      <t xml:space="preserve">Diligenciar la planilla de control de visita al archivo central diligenciada. Documentación del control </t>
    </r>
    <r>
      <rPr>
        <sz val="11"/>
        <color theme="4"/>
        <rFont val="Arial Narrow"/>
        <family val="2"/>
      </rPr>
      <t>GDO-FO-## 
se envio correo para generar el nuevo documento en el SIG</t>
    </r>
  </si>
  <si>
    <t>Realizar el control de ingreso de las visitas al archivo central, mediante las planillas estipuladas.</t>
  </si>
  <si>
    <t>Cuando ingresa personal externo del proceso al archivo central</t>
  </si>
  <si>
    <t>Denuncias penales.
Incumplimiento de la ley 1712 de 2014.
Perdida de información relevante para la entidad.
Investigaciones disciplinarias.</t>
  </si>
  <si>
    <t>Uso indebido de la información a personal no autorizado</t>
  </si>
  <si>
    <t>Posibilidad de afectación económica y reputacional por utilizar información en beneficio propio o de un tercero</t>
  </si>
  <si>
    <r>
      <t xml:space="preserve">El lider del proceso debe sensibilización al equipo de trabajo de responsabilidades y cumplimiento de política de seguridad de la información  
</t>
    </r>
    <r>
      <rPr>
        <b/>
        <sz val="11"/>
        <color theme="1"/>
        <rFont val="Arial Narrow"/>
        <family val="2"/>
      </rPr>
      <t>DESVIACIÓN DEL CONTROL:</t>
    </r>
    <r>
      <rPr>
        <sz val="11"/>
        <color theme="1"/>
        <rFont val="Arial Narrow"/>
        <family val="2"/>
      </rPr>
      <t xml:space="preserve">
Reprogramar la acción de forma inmediata. </t>
    </r>
  </si>
  <si>
    <t xml:space="preserve">Correo u oficio a los colaboradores del área de Atención al Ciudadano y Gestión Documental donde se notifique la responsabilidad de la información que tiene a su cargo.
Documentado en la carpeta de correspondencia de la vigencia. </t>
  </si>
  <si>
    <t>Cumplir con el acuerdo de cofiabilidad establecido por la entidad.</t>
  </si>
  <si>
    <t xml:space="preserve">Profesional de Gestión Documental y Atención al Ciudadano </t>
  </si>
  <si>
    <t>Anualmente recordar el acuerdo a los colaboradores del área de Atención al  Ciudadano y Gestión Documental.</t>
  </si>
  <si>
    <t>Recibir o solciitar Dádivas</t>
  </si>
  <si>
    <t>Emitir un concepto que no se encuentre acorde con la normatividad y que este direccionado a justificar, cubrir y/o favorecer a un tercero.</t>
  </si>
  <si>
    <t>Posibilidad afectación económica por recibir o solicitar dádiva con el fin de elaborar documentos errados o emitir concepto no acorde con la normatividad, para justificar, cubrir y/o favorecer a un tercero.</t>
  </si>
  <si>
    <t>Leve</t>
  </si>
  <si>
    <t>La profesional de Gestión Jurídica y el contratista de apoyo, dos veces a la semana verifican los servicios de seguimiento y vigilancia a los procesos   de manera tal que generen alertas de los movimientos en los diferentes procesos.
En caso de que la página web de la rama judicial no se encuentre en funcionamiento, se realiza la revisión diaria del canal de notificaciones judiciales.</t>
  </si>
  <si>
    <t>Cuadernillo de seguimiento a la página web de rama judicial.
Correo electrónico: notificacionesjudiciales@itc.edu.co</t>
  </si>
  <si>
    <t>El líder de gestión jurídica compartirá el seguimiento y vigilancia de procesos judiciales con el contratista de apoyo del área con el fin de generar las alertas a las que haya lugar</t>
  </si>
  <si>
    <t>Líder de Gestión Jurídica</t>
  </si>
  <si>
    <t>20 de enero de 2024</t>
  </si>
  <si>
    <t>El Secretario General, cada vez que se proyecta un documento por cualquier funcionario de la Secretaría General  verifica cada concepto que se elabore, antes de emitirse, con el fin de contar con una validación final a los documentos.
Si el Secretario General identifica que el documento no se encuentra conforme, realiza las observaciones al funcionario responsable para los ajustes pertinentes.</t>
  </si>
  <si>
    <t>Constancia de vistos buenos en los documentos emitidos por el área, mediante correo electrónico.</t>
  </si>
  <si>
    <t xml:space="preserve">Los documentos que son proyectados por los profesionales jurídicos de la Secretaría Genenral antes de su sociliazacion serán verificados por el Secretario General o la Lider de Gestión Jurídica. </t>
  </si>
  <si>
    <t>Profesionales Jurídicos Secretaría General</t>
  </si>
  <si>
    <t>GESTIÓN JURÍDICA</t>
  </si>
  <si>
    <t>Orientar, asistir, asesorar y defender la Institución, en asuntos jurídico-administrativos internos y externos de su competencia, de manera oportuna y eficaz buscando garantizar los intereses de la Escuela en cumplimiento de la Constitución Política, la Ley y la normatividad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</si>
</sst>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2"/>
      <color theme="0"/>
      <name val="Arial Narrow"/>
      <family val="2"/>
    </font>
    <font>
      <sz val="6"/>
      <color theme="1"/>
      <name val="Arial"/>
      <family val="2"/>
    </font>
    <font>
      <sz val="14"/>
      <name val="Arial Narrow"/>
      <family val="2"/>
    </font>
    <font>
      <b/>
      <sz val="14"/>
      <color rgb="FF000000"/>
      <name val="Arial"/>
      <family val="2"/>
    </font>
    <font>
      <sz val="14"/>
      <color rgb="FF000000"/>
      <name val="Arial"/>
      <family val="2"/>
    </font>
    <font>
      <sz val="11"/>
      <color theme="3"/>
      <name val="Arial Narrow"/>
      <family val="2"/>
    </font>
    <font>
      <b/>
      <sz val="10"/>
      <color theme="1"/>
      <name val="Arial Narrow"/>
      <family val="2"/>
    </font>
    <font>
      <sz val="11"/>
      <color theme="4"/>
      <name val="Arial Narrow"/>
      <family val="2"/>
    </font>
    <font>
      <sz val="10"/>
      <color theme="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6">
    <xf numFmtId="0" fontId="0" fillId="0" borderId="0"/>
    <xf numFmtId="9" fontId="14" fillId="0" borderId="0" applyFont="0" applyFill="0" applyBorder="0" applyAlignment="0" applyProtection="0"/>
    <xf numFmtId="0" fontId="46" fillId="0" borderId="0"/>
    <xf numFmtId="0" fontId="47" fillId="0" borderId="0"/>
    <xf numFmtId="0" fontId="5" fillId="0" borderId="0"/>
    <xf numFmtId="43" fontId="14" fillId="0" borderId="0" applyFont="0" applyFill="0" applyBorder="0" applyAlignment="0" applyProtection="0"/>
  </cellStyleXfs>
  <cellXfs count="482">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2" fillId="0" borderId="21"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top" wrapText="1"/>
      <protection locked="0"/>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center" vertical="center"/>
      <protection hidden="1"/>
    </xf>
    <xf numFmtId="9" fontId="1" fillId="0" borderId="21" xfId="0" applyNumberFormat="1" applyFont="1" applyBorder="1" applyAlignment="1" applyProtection="1">
      <alignment horizontal="center" vertical="center"/>
      <protection hidden="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1" fillId="0" borderId="0" xfId="0" applyFont="1" applyAlignment="1">
      <alignment horizontal="center"/>
    </xf>
    <xf numFmtId="0" fontId="0" fillId="0" borderId="0" xfId="0" applyAlignment="1">
      <alignment wrapText="1"/>
    </xf>
    <xf numFmtId="0" fontId="0" fillId="0" borderId="0" xfId="0" applyAlignment="1">
      <alignment vertical="center"/>
    </xf>
    <xf numFmtId="0" fontId="64" fillId="0" borderId="0" xfId="0" applyFont="1" applyAlignment="1">
      <alignment vertical="center" wrapText="1"/>
    </xf>
    <xf numFmtId="0" fontId="64" fillId="0" borderId="67" xfId="0" applyFont="1" applyBorder="1" applyAlignment="1">
      <alignment horizontal="center" vertical="center" wrapText="1"/>
    </xf>
    <xf numFmtId="0" fontId="63" fillId="0" borderId="67" xfId="0" applyFont="1" applyBorder="1" applyAlignment="1">
      <alignment vertical="center" wrapText="1"/>
    </xf>
    <xf numFmtId="0" fontId="1" fillId="0" borderId="2" xfId="0" applyFont="1" applyBorder="1" applyAlignment="1">
      <alignment horizontal="center" vertical="center"/>
    </xf>
    <xf numFmtId="9" fontId="1" fillId="0" borderId="21" xfId="0" applyNumberFormat="1" applyFont="1" applyBorder="1" applyAlignment="1" applyProtection="1">
      <alignment vertical="top" wrapText="1"/>
      <protection hidden="1"/>
    </xf>
    <xf numFmtId="0" fontId="1" fillId="0" borderId="21" xfId="0" applyFont="1" applyBorder="1" applyAlignment="1" applyProtection="1">
      <alignment horizontal="center" vertical="top" wrapText="1"/>
      <protection locked="0"/>
    </xf>
    <xf numFmtId="0" fontId="1" fillId="0" borderId="21" xfId="0" applyFont="1" applyBorder="1" applyAlignment="1" applyProtection="1">
      <alignment horizontal="center" vertical="top"/>
      <protection hidden="1"/>
    </xf>
    <xf numFmtId="43" fontId="1" fillId="3" borderId="0" xfId="5" applyFont="1" applyFill="1"/>
    <xf numFmtId="0" fontId="1" fillId="0" borderId="2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6" fillId="0" borderId="21" xfId="0" applyFont="1" applyBorder="1" applyAlignment="1" applyProtection="1">
      <alignment horizontal="justify" vertical="center" wrapText="1"/>
      <protection locked="0"/>
    </xf>
    <xf numFmtId="0" fontId="1" fillId="0" borderId="21" xfId="0" applyFont="1" applyBorder="1" applyAlignment="1" applyProtection="1">
      <alignment horizontal="center" vertical="center" textRotation="90"/>
      <protection locked="0"/>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0" fillId="7" borderId="21" xfId="0" applyFont="1" applyFill="1" applyBorder="1" applyAlignment="1">
      <alignment horizontal="center" vertical="center"/>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wrapText="1"/>
    </xf>
    <xf numFmtId="0" fontId="63" fillId="0" borderId="67" xfId="0" applyFont="1" applyBorder="1" applyAlignment="1">
      <alignment horizontal="center" vertical="center" wrapText="1"/>
    </xf>
    <xf numFmtId="0" fontId="64" fillId="0" borderId="67" xfId="0" applyFont="1" applyBorder="1" applyAlignment="1">
      <alignment horizontal="center" vertical="center" wrapText="1"/>
    </xf>
    <xf numFmtId="0" fontId="49" fillId="0" borderId="65" xfId="0" applyFont="1" applyBorder="1" applyAlignment="1">
      <alignment horizontal="left" vertical="center" wrapText="1"/>
    </xf>
    <xf numFmtId="0" fontId="49" fillId="0" borderId="64" xfId="0" applyFont="1" applyBorder="1" applyAlignment="1">
      <alignment horizontal="left" vertical="center" wrapText="1"/>
    </xf>
    <xf numFmtId="0" fontId="49" fillId="0" borderId="66" xfId="0" applyFont="1" applyBorder="1" applyAlignment="1">
      <alignment horizontal="left" vertical="center" wrapText="1"/>
    </xf>
    <xf numFmtId="0" fontId="1" fillId="0" borderId="2" xfId="0" applyFont="1" applyBorder="1" applyAlignment="1">
      <alignment horizontal="left" vertical="center" wrapText="1"/>
    </xf>
    <xf numFmtId="0" fontId="1" fillId="0" borderId="63" xfId="0" applyFont="1" applyBorder="1" applyAlignment="1">
      <alignment horizontal="left" vertical="center" wrapText="1"/>
    </xf>
    <xf numFmtId="0" fontId="62" fillId="0" borderId="21" xfId="0" applyFont="1" applyBorder="1" applyAlignment="1">
      <alignment horizontal="left" vertical="center" wrapText="1"/>
    </xf>
    <xf numFmtId="0" fontId="59" fillId="0" borderId="21" xfId="0" applyFont="1" applyBorder="1" applyAlignment="1" applyProtection="1">
      <alignment horizontal="center" wrapText="1"/>
      <protection locked="0"/>
    </xf>
    <xf numFmtId="0" fontId="60" fillId="7" borderId="21" xfId="0" applyFont="1" applyFill="1" applyBorder="1" applyAlignment="1">
      <alignment horizontal="center" vertical="center" textRotation="90"/>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57" fillId="0" borderId="21" xfId="0" applyFont="1" applyBorder="1" applyAlignment="1">
      <alignment vertical="center" wrapText="1"/>
    </xf>
    <xf numFmtId="0" fontId="58" fillId="0" borderId="6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58" fillId="0" borderId="70" xfId="0" applyFont="1" applyBorder="1" applyAlignment="1" applyProtection="1">
      <alignment horizontal="center" vertical="center"/>
      <protection locked="0"/>
    </xf>
    <xf numFmtId="0" fontId="58" fillId="0" borderId="71" xfId="0" applyFont="1" applyBorder="1" applyAlignment="1" applyProtection="1">
      <alignment horizontal="center" vertical="center"/>
      <protection locked="0"/>
    </xf>
    <xf numFmtId="0" fontId="58" fillId="0" borderId="0" xfId="0" applyFont="1" applyBorder="1" applyAlignment="1" applyProtection="1">
      <alignment horizontal="center" vertical="center"/>
      <protection locked="0"/>
    </xf>
    <xf numFmtId="0" fontId="58" fillId="0" borderId="72" xfId="0" applyFont="1" applyBorder="1" applyAlignment="1" applyProtection="1">
      <alignment horizontal="center" vertical="center"/>
      <protection locked="0"/>
    </xf>
    <xf numFmtId="0" fontId="65" fillId="0" borderId="21" xfId="0" applyFont="1" applyBorder="1" applyAlignment="1" applyProtection="1">
      <alignment horizontal="center" vertical="center" wrapText="1"/>
      <protection locked="0"/>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9" fontId="1" fillId="0" borderId="21" xfId="0" applyNumberFormat="1" applyFont="1" applyBorder="1" applyAlignment="1" applyProtection="1">
      <alignment horizontal="left" vertical="center"/>
      <protection hidden="1"/>
    </xf>
    <xf numFmtId="9" fontId="6" fillId="0" borderId="21" xfId="0" applyNumberFormat="1" applyFont="1" applyBorder="1" applyAlignment="1" applyProtection="1">
      <alignment vertical="center" wrapText="1"/>
      <protection hidden="1"/>
    </xf>
    <xf numFmtId="0" fontId="6" fillId="0" borderId="21" xfId="0" applyFont="1" applyBorder="1" applyAlignment="1">
      <alignment horizontal="center" vertical="center"/>
    </xf>
    <xf numFmtId="0" fontId="6" fillId="0" borderId="21" xfId="0" quotePrefix="1" applyFont="1" applyBorder="1" applyAlignment="1" applyProtection="1">
      <alignment horizontal="justify" vertical="center" wrapText="1"/>
      <protection locked="0"/>
    </xf>
    <xf numFmtId="0" fontId="6" fillId="0" borderId="21" xfId="0" applyFont="1" applyBorder="1" applyAlignment="1" applyProtection="1">
      <alignment horizontal="center" vertical="center"/>
      <protection hidden="1"/>
    </xf>
    <xf numFmtId="0" fontId="6" fillId="0" borderId="21" xfId="0" applyFont="1" applyBorder="1" applyAlignment="1" applyProtection="1">
      <alignment horizontal="center" vertical="center" wrapText="1"/>
      <protection hidden="1"/>
    </xf>
    <xf numFmtId="0" fontId="6" fillId="0" borderId="21" xfId="0" applyFont="1" applyBorder="1" applyAlignment="1" applyProtection="1">
      <alignment horizontal="center" vertical="top" textRotation="90"/>
      <protection locked="0"/>
    </xf>
    <xf numFmtId="9" fontId="6" fillId="0" borderId="21" xfId="0" applyNumberFormat="1" applyFont="1" applyBorder="1" applyAlignment="1" applyProtection="1">
      <alignment horizontal="center" vertical="top"/>
      <protection hidden="1"/>
    </xf>
    <xf numFmtId="164" fontId="6" fillId="0" borderId="21" xfId="1" applyNumberFormat="1" applyFont="1" applyBorder="1" applyAlignment="1">
      <alignment horizontal="center" vertical="top"/>
    </xf>
    <xf numFmtId="9" fontId="6" fillId="0" borderId="21" xfId="0" applyNumberFormat="1" applyFont="1" applyBorder="1" applyAlignment="1" applyProtection="1">
      <alignment horizontal="center" vertical="center"/>
      <protection hidden="1"/>
    </xf>
    <xf numFmtId="0" fontId="66" fillId="0" borderId="21" xfId="0" applyFont="1" applyBorder="1" applyAlignment="1" applyProtection="1">
      <alignment horizontal="center" vertical="top" textRotation="90" wrapText="1"/>
      <protection hidden="1"/>
    </xf>
    <xf numFmtId="0" fontId="66" fillId="0" borderId="21" xfId="0" applyFont="1" applyBorder="1" applyAlignment="1" applyProtection="1">
      <alignment horizontal="center" vertical="top" textRotation="90"/>
      <protection hidden="1"/>
    </xf>
    <xf numFmtId="0" fontId="6" fillId="0" borderId="21" xfId="0" quotePrefix="1" applyFont="1" applyBorder="1" applyAlignment="1" applyProtection="1">
      <alignment horizontal="left" vertical="center" wrapText="1"/>
      <protection locked="0"/>
    </xf>
    <xf numFmtId="0" fontId="6" fillId="0" borderId="21" xfId="0" quotePrefix="1"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left" vertical="center"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0" fontId="2" fillId="3" borderId="21" xfId="0" applyFont="1" applyFill="1" applyBorder="1" applyAlignment="1">
      <alignment horizontal="center" vertical="center" wrapText="1"/>
    </xf>
    <xf numFmtId="15" fontId="2" fillId="3" borderId="21" xfId="0" applyNumberFormat="1" applyFont="1" applyFill="1" applyBorder="1" applyAlignment="1">
      <alignment horizontal="center" vertical="center" wrapText="1"/>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21" xfId="0" applyFont="1" applyBorder="1" applyAlignment="1" applyProtection="1">
      <alignment horizontal="center" vertical="center"/>
      <protection locked="0"/>
    </xf>
    <xf numFmtId="0" fontId="51" fillId="0" borderId="21" xfId="0" applyFont="1" applyBorder="1" applyAlignment="1" applyProtection="1">
      <alignment horizontal="center" vertical="center" wrapText="1"/>
      <protection hidden="1"/>
    </xf>
    <xf numFmtId="9" fontId="2"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hidden="1"/>
    </xf>
    <xf numFmtId="0" fontId="51" fillId="0" borderId="21" xfId="0" applyFont="1" applyBorder="1" applyAlignment="1" applyProtection="1">
      <alignment horizontal="center" vertical="center"/>
      <protection hidden="1"/>
    </xf>
    <xf numFmtId="0" fontId="48" fillId="0" borderId="21" xfId="0" applyFont="1" applyBorder="1" applyAlignment="1" applyProtection="1">
      <alignment horizontal="justify" vertical="center" wrapText="1"/>
      <protection locked="0"/>
    </xf>
    <xf numFmtId="0" fontId="2" fillId="0" borderId="21" xfId="0" applyFont="1" applyBorder="1" applyAlignment="1" applyProtection="1">
      <alignment horizontal="center" vertical="center"/>
      <protection hidden="1"/>
    </xf>
    <xf numFmtId="0" fontId="2" fillId="0" borderId="21" xfId="0" applyFont="1" applyBorder="1" applyAlignment="1" applyProtection="1">
      <alignment horizontal="center" vertical="center" textRotation="90"/>
      <protection locked="0"/>
    </xf>
    <xf numFmtId="9" fontId="2" fillId="0" borderId="21" xfId="0" applyNumberFormat="1" applyFont="1" applyBorder="1" applyAlignment="1" applyProtection="1">
      <alignment horizontal="center" vertical="center"/>
      <protection hidden="1"/>
    </xf>
    <xf numFmtId="164" fontId="2" fillId="0" borderId="21" xfId="1" applyNumberFormat="1" applyFont="1" applyFill="1" applyBorder="1" applyAlignment="1">
      <alignment horizontal="center" vertical="center"/>
    </xf>
    <xf numFmtId="0" fontId="51" fillId="0" borderId="21" xfId="0" applyFont="1" applyBorder="1" applyAlignment="1" applyProtection="1">
      <alignment horizontal="center" vertical="center" textRotation="90" wrapText="1"/>
      <protection hidden="1"/>
    </xf>
    <xf numFmtId="0" fontId="51" fillId="0" borderId="21" xfId="0" applyFont="1" applyBorder="1" applyAlignment="1" applyProtection="1">
      <alignment horizontal="center" vertical="center" textRotation="90"/>
      <protection hidden="1"/>
    </xf>
    <xf numFmtId="14" fontId="2" fillId="0" borderId="21" xfId="0" applyNumberFormat="1" applyFont="1" applyBorder="1" applyAlignment="1" applyProtection="1">
      <alignment horizontal="center" vertical="center"/>
      <protection locked="0"/>
    </xf>
    <xf numFmtId="0" fontId="1" fillId="0" borderId="21" xfId="0" applyFont="1" applyBorder="1" applyAlignment="1">
      <alignment horizontal="left" vertical="top"/>
    </xf>
    <xf numFmtId="0" fontId="1" fillId="0" borderId="21" xfId="0" applyFont="1" applyBorder="1" applyAlignment="1">
      <alignment horizontal="left" vertical="top" wrapText="1"/>
    </xf>
    <xf numFmtId="0" fontId="2"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protection locked="0"/>
    </xf>
    <xf numFmtId="0" fontId="4" fillId="0" borderId="21" xfId="0" applyFont="1" applyBorder="1" applyAlignment="1" applyProtection="1">
      <alignment horizontal="left" vertical="top"/>
      <protection hidden="1"/>
    </xf>
    <xf numFmtId="0" fontId="1" fillId="0" borderId="21" xfId="0" applyFont="1" applyBorder="1" applyAlignment="1" applyProtection="1">
      <alignment horizontal="left" vertical="top"/>
      <protection hidden="1"/>
    </xf>
    <xf numFmtId="0" fontId="1" fillId="0" borderId="21" xfId="0" applyFont="1" applyBorder="1" applyAlignment="1" applyProtection="1">
      <alignment horizontal="left" vertical="top" textRotation="90"/>
      <protection locked="0"/>
    </xf>
    <xf numFmtId="9" fontId="1" fillId="0" borderId="21" xfId="0" applyNumberFormat="1" applyFont="1" applyBorder="1" applyAlignment="1" applyProtection="1">
      <alignment horizontal="left" vertical="top"/>
      <protection hidden="1"/>
    </xf>
    <xf numFmtId="164" fontId="1" fillId="0" borderId="21" xfId="1" applyNumberFormat="1" applyFont="1" applyBorder="1" applyAlignment="1">
      <alignment horizontal="left" vertical="top"/>
    </xf>
    <xf numFmtId="0" fontId="4" fillId="0" borderId="21" xfId="0" applyFont="1" applyBorder="1" applyAlignment="1" applyProtection="1">
      <alignment horizontal="left" vertical="top" textRotation="90"/>
      <protection hidden="1"/>
    </xf>
    <xf numFmtId="0" fontId="1" fillId="3" borderId="21" xfId="0" applyFont="1" applyFill="1" applyBorder="1" applyAlignment="1" applyProtection="1">
      <alignment horizontal="left" vertical="center" wrapText="1"/>
      <protection locked="0"/>
    </xf>
    <xf numFmtId="0" fontId="1" fillId="3" borderId="21" xfId="0" applyFont="1" applyFill="1" applyBorder="1" applyAlignment="1" applyProtection="1">
      <alignment horizontal="left" vertical="top" wrapText="1"/>
      <protection locked="0"/>
    </xf>
    <xf numFmtId="0" fontId="1"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4" fillId="0" borderId="21" xfId="0"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hidden="1"/>
    </xf>
    <xf numFmtId="0" fontId="1" fillId="0" borderId="0" xfId="0" applyFont="1"/>
    <xf numFmtId="0" fontId="4" fillId="2" borderId="0" xfId="0" applyFont="1" applyFill="1" applyAlignment="1">
      <alignment horizontal="center" vertical="center"/>
    </xf>
    <xf numFmtId="0" fontId="4" fillId="3" borderId="0" xfId="0" applyFont="1" applyFill="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60" fillId="7" borderId="21" xfId="0" applyFont="1" applyFill="1" applyBorder="1" applyAlignment="1">
      <alignment horizontal="center" vertical="center" textRotation="90"/>
    </xf>
    <xf numFmtId="0" fontId="1"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hidden="1"/>
    </xf>
    <xf numFmtId="0" fontId="1" fillId="0" borderId="21" xfId="0" applyFont="1" applyBorder="1" applyAlignment="1" applyProtection="1">
      <alignment horizontal="left" vertical="top" textRotation="90" wrapText="1"/>
      <protection locked="0"/>
    </xf>
    <xf numFmtId="9" fontId="1" fillId="0" borderId="21" xfId="0" applyNumberFormat="1" applyFont="1" applyBorder="1" applyAlignment="1" applyProtection="1">
      <alignment horizontal="left" vertical="top" wrapText="1"/>
      <protection hidden="1"/>
    </xf>
    <xf numFmtId="0" fontId="4" fillId="0" borderId="21" xfId="0" applyFont="1" applyBorder="1" applyAlignment="1" applyProtection="1">
      <alignment horizontal="left" vertical="top" textRotation="90" wrapText="1"/>
      <protection hidden="1"/>
    </xf>
    <xf numFmtId="9" fontId="1" fillId="0" borderId="21" xfId="1" applyFont="1" applyBorder="1" applyAlignment="1">
      <alignment horizontal="left" vertical="top" wrapText="1"/>
    </xf>
    <xf numFmtId="0" fontId="0" fillId="0" borderId="21" xfId="0" applyBorder="1" applyAlignment="1">
      <alignment horizontal="center" vertical="center" wrapText="1"/>
    </xf>
    <xf numFmtId="0" fontId="1" fillId="0" borderId="21" xfId="0" applyFont="1" applyBorder="1" applyAlignment="1" applyProtection="1">
      <alignment vertical="top" wrapText="1"/>
      <protection locked="0"/>
    </xf>
    <xf numFmtId="14" fontId="1" fillId="0" borderId="21" xfId="0" applyNumberFormat="1" applyFont="1" applyBorder="1" applyAlignment="1" applyProtection="1">
      <alignment horizontal="center" vertical="top" wrapText="1"/>
      <protection locked="0"/>
    </xf>
    <xf numFmtId="0" fontId="68" fillId="0" borderId="21" xfId="0" applyFont="1" applyBorder="1" applyAlignment="1">
      <alignment horizontal="left" vertical="center" wrapText="1"/>
    </xf>
    <xf numFmtId="0" fontId="2" fillId="0" borderId="21" xfId="0" applyFont="1" applyBorder="1" applyAlignment="1" applyProtection="1">
      <alignment horizontal="left" vertical="center" wrapText="1"/>
      <protection locked="0"/>
    </xf>
    <xf numFmtId="0" fontId="68" fillId="0" borderId="21"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locked="0"/>
    </xf>
    <xf numFmtId="0" fontId="1" fillId="0" borderId="21" xfId="0" applyFont="1" applyBorder="1" applyAlignment="1">
      <alignment horizontal="left" vertical="center" wrapText="1"/>
    </xf>
    <xf numFmtId="0" fontId="6" fillId="0" borderId="21" xfId="0" applyFont="1" applyBorder="1" applyAlignment="1" applyProtection="1">
      <alignment horizontal="left" vertical="center" wrapText="1"/>
      <protection locked="0"/>
    </xf>
    <xf numFmtId="14" fontId="1" fillId="0" borderId="21" xfId="0" applyNumberFormat="1"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hidden="1"/>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wrapText="1"/>
    </xf>
    <xf numFmtId="0" fontId="60" fillId="7" borderId="21" xfId="0" applyFont="1" applyFill="1" applyBorder="1" applyAlignment="1">
      <alignment horizontal="center" vertical="center"/>
    </xf>
    <xf numFmtId="0" fontId="4" fillId="0" borderId="21" xfId="0" applyFont="1" applyBorder="1" applyAlignment="1" applyProtection="1">
      <alignment horizontal="left" vertical="center"/>
      <protection hidden="1"/>
    </xf>
    <xf numFmtId="0" fontId="1" fillId="0" borderId="21" xfId="0" applyFont="1" applyBorder="1" applyAlignment="1">
      <alignment horizontal="left" vertical="center"/>
    </xf>
    <xf numFmtId="9" fontId="1" fillId="0" borderId="21" xfId="0" applyNumberFormat="1" applyFont="1" applyBorder="1" applyAlignment="1" applyProtection="1">
      <alignment horizontal="left" vertical="center" wrapText="1"/>
      <protection locked="0"/>
    </xf>
    <xf numFmtId="14" fontId="2" fillId="0" borderId="66" xfId="0" applyNumberFormat="1" applyFont="1" applyBorder="1" applyAlignment="1" applyProtection="1">
      <alignment horizontal="center" vertical="center" wrapText="1"/>
      <protection locked="0"/>
    </xf>
    <xf numFmtId="0" fontId="59" fillId="0" borderId="68" xfId="0" applyFont="1" applyBorder="1" applyAlignment="1" applyProtection="1">
      <alignment horizontal="center" wrapText="1"/>
      <protection locked="0"/>
    </xf>
    <xf numFmtId="0" fontId="57" fillId="0" borderId="68" xfId="0" applyFont="1" applyBorder="1" applyAlignment="1">
      <alignment vertical="center" wrapText="1"/>
    </xf>
    <xf numFmtId="0" fontId="1" fillId="3" borderId="21" xfId="0" applyFont="1" applyFill="1" applyBorder="1"/>
    <xf numFmtId="0" fontId="4" fillId="3" borderId="21" xfId="0" applyFont="1" applyFill="1" applyBorder="1" applyAlignment="1">
      <alignment horizontal="center" vertical="center"/>
    </xf>
    <xf numFmtId="0" fontId="1" fillId="0" borderId="21" xfId="0" applyFont="1" applyBorder="1" applyAlignment="1">
      <alignment horizontal="center"/>
    </xf>
    <xf numFmtId="0" fontId="4" fillId="0" borderId="21" xfId="0" applyFont="1" applyBorder="1" applyAlignment="1" applyProtection="1">
      <alignment vertical="center" wrapText="1"/>
      <protection hidden="1"/>
    </xf>
    <xf numFmtId="0" fontId="1" fillId="0" borderId="21" xfId="0" applyFont="1" applyBorder="1" applyAlignment="1">
      <alignment vertical="center"/>
    </xf>
    <xf numFmtId="0" fontId="6" fillId="0" borderId="21" xfId="0" applyFont="1" applyBorder="1" applyAlignment="1">
      <alignment vertical="center"/>
    </xf>
    <xf numFmtId="0" fontId="6" fillId="0" borderId="21" xfId="0" applyFont="1" applyBorder="1" applyAlignment="1" applyProtection="1">
      <alignment vertical="center" wrapText="1"/>
      <protection locked="0"/>
    </xf>
    <xf numFmtId="0" fontId="48" fillId="0" borderId="21" xfId="0" applyFont="1" applyBorder="1" applyAlignment="1" applyProtection="1">
      <alignment horizontal="left" vertical="center" wrapText="1"/>
      <protection locked="0"/>
    </xf>
    <xf numFmtId="0" fontId="6" fillId="0" borderId="21" xfId="0" applyFont="1" applyBorder="1" applyAlignment="1" applyProtection="1">
      <alignment horizontal="center" vertical="center"/>
      <protection locked="0"/>
    </xf>
    <xf numFmtId="0" fontId="66" fillId="0" borderId="21" xfId="0" applyFont="1" applyBorder="1" applyAlignment="1" applyProtection="1">
      <alignment horizontal="center" vertical="center" wrapText="1"/>
      <protection hidden="1"/>
    </xf>
    <xf numFmtId="9" fontId="6" fillId="0" borderId="21" xfId="0" applyNumberFormat="1" applyFont="1" applyBorder="1" applyAlignment="1" applyProtection="1">
      <alignment vertical="center" wrapText="1"/>
      <protection locked="0"/>
    </xf>
    <xf numFmtId="0" fontId="6" fillId="0" borderId="21" xfId="0" applyFont="1" applyBorder="1" applyAlignment="1" applyProtection="1">
      <alignment vertical="center" wrapText="1"/>
      <protection hidden="1"/>
    </xf>
    <xf numFmtId="9" fontId="6" fillId="0" borderId="21" xfId="0" applyNumberFormat="1" applyFont="1" applyBorder="1" applyAlignment="1" applyProtection="1">
      <alignment horizontal="center" vertical="center" wrapText="1"/>
      <protection hidden="1"/>
    </xf>
    <xf numFmtId="0" fontId="66" fillId="0" borderId="21" xfId="0" applyFont="1" applyBorder="1" applyAlignment="1" applyProtection="1">
      <alignment vertical="center"/>
      <protection hidden="1"/>
    </xf>
    <xf numFmtId="0" fontId="66" fillId="0" borderId="21" xfId="0" applyFont="1" applyBorder="1" applyAlignment="1" applyProtection="1">
      <alignment horizontal="center" vertical="center" textRotation="90" wrapText="1"/>
      <protection hidden="1"/>
    </xf>
    <xf numFmtId="0" fontId="6" fillId="0" borderId="21" xfId="0" applyFont="1" applyBorder="1" applyAlignment="1" applyProtection="1">
      <alignment vertical="top" textRotation="90"/>
      <protection locked="0"/>
    </xf>
    <xf numFmtId="0" fontId="1" fillId="0" borderId="21" xfId="0" applyFont="1" applyBorder="1" applyAlignment="1">
      <alignment horizontal="center" vertical="center" wrapText="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4" fillId="0" borderId="21" xfId="0" applyFont="1" applyBorder="1" applyAlignment="1" applyProtection="1">
      <alignment horizontal="center" vertical="top" textRotation="90"/>
      <protection hidden="1"/>
    </xf>
    <xf numFmtId="0" fontId="4" fillId="0" borderId="21" xfId="0" applyFont="1" applyBorder="1" applyAlignment="1" applyProtection="1">
      <alignment horizontal="left" vertical="center"/>
      <protection hidden="1"/>
    </xf>
    <xf numFmtId="0" fontId="68" fillId="0" borderId="21" xfId="0" applyFont="1" applyBorder="1" applyAlignment="1">
      <alignment horizontal="center" vertical="center" wrapText="1"/>
    </xf>
  </cellXfs>
  <cellStyles count="6">
    <cellStyle name="Millares" xfId="5" builtinId="3"/>
    <cellStyle name="Normal" xfId="0" builtinId="0"/>
    <cellStyle name="Normal - Style1 2" xfId="2"/>
    <cellStyle name="Normal 2" xfId="4"/>
    <cellStyle name="Normal 2 2" xfId="3"/>
    <cellStyle name="Porcentaje" xfId="1" builtinId="5"/>
  </cellStyles>
  <dxfs count="223">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theme" Target="theme/theme1.xml"/><Relationship Id="rId30"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789095</xdr:colOff>
      <xdr:row>0</xdr:row>
      <xdr:rowOff>98053</xdr:rowOff>
    </xdr:from>
    <xdr:to>
      <xdr:col>4</xdr:col>
      <xdr:colOff>2071</xdr:colOff>
      <xdr:row>2</xdr:row>
      <xdr:rowOff>266636</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0428" y="98053"/>
          <a:ext cx="811060" cy="77183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personal/estadistica_itc_edu_co/Documents/D.F.P.G/2022/6.%20Riesgos/Inv%20-%20copi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apaderiesgodisciplinario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itceduco-my.sharepoint.com/personal/estadistica_itc_edu_co/Documents/D.F.P.G/2022/6.%20Riesgos/TH%20-%20copi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apaderiesgoth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itceduco-my.sharepoint.com/Users/plandeaccion/OneDrive%20-%20Escuela%20Tecnologica%20Instituto%20Tecnico%20Central/A.%20Vigencia%202022/PAAC%202022/2&#186;%20L&#204;NEA%20DE%20DEFENCSA/GESTI&#211;N%20DE%20RECURSOS%20F&#205;SICO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apaderiesgodocumental2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plandeaccion/OneDrive%20-%20Escuela%20Tecnologica%20Instituto%20Tecnico%20Central/A.%20Vigencia%202022/PAAC%202022/2&#186;%20L&#204;NEA%20DE%20DEFENCSA/GESTI&#211;N%20DE%20RECURSOS%20F&#205;SIC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paderiesgoinvestigacion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paderiesgodocenciaibti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NDRES/OneDrive%20-%20Escuela%20Tecnologica%20Instituto%20Tecnico%20Central/A.%20Vigencia%202022/RIESGOS%202022/recop.%20Mapa%20de%20riesgos%202022/M.PT.R.GEST.REC.F&#205;S.2022.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PA%20DE%20RIESGOS%20IBTI%202022%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paderiesgodocenciapes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tceduco-my.sharepoint.com/personal/estadistica_itc_edu_co/Documents/D.F.P.G/2022/6.%20Riesgos/Extensi&#243;n%20y%20Proyecci&#243;n%20So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apaderiesgoextension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apaderiesgosadquisiones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Impact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Valoración controles"/>
      <sheetName val="Tabla probabilidad"/>
      <sheetName val="Tabla Impacto"/>
      <sheetName val="Sheet1"/>
      <sheetName val="Opciones Tratamiento"/>
      <sheetName val="Hoja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Lista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222" dataDxfId="221">
  <autoFilter ref="B209:C219"/>
  <tableColumns count="2">
    <tableColumn id="1" name="Criterios" dataDxfId="220"/>
    <tableColumn id="2" name="Subcriterios" dataDxfId="21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abSelected="1"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64" t="s">
        <v>159</v>
      </c>
      <c r="C2" s="165"/>
      <c r="D2" s="165"/>
      <c r="E2" s="165"/>
      <c r="F2" s="165"/>
      <c r="G2" s="165"/>
      <c r="H2" s="166"/>
    </row>
    <row r="3" spans="2:8" x14ac:dyDescent="0.25">
      <c r="B3" s="76"/>
      <c r="C3" s="77"/>
      <c r="D3" s="77"/>
      <c r="E3" s="77"/>
      <c r="F3" s="77"/>
      <c r="G3" s="77"/>
      <c r="H3" s="78"/>
    </row>
    <row r="4" spans="2:8" ht="63" customHeight="1" x14ac:dyDescent="0.25">
      <c r="B4" s="167" t="s">
        <v>202</v>
      </c>
      <c r="C4" s="168"/>
      <c r="D4" s="168"/>
      <c r="E4" s="168"/>
      <c r="F4" s="168"/>
      <c r="G4" s="168"/>
      <c r="H4" s="169"/>
    </row>
    <row r="5" spans="2:8" ht="63" customHeight="1" x14ac:dyDescent="0.25">
      <c r="B5" s="170"/>
      <c r="C5" s="171"/>
      <c r="D5" s="171"/>
      <c r="E5" s="171"/>
      <c r="F5" s="171"/>
      <c r="G5" s="171"/>
      <c r="H5" s="172"/>
    </row>
    <row r="6" spans="2:8" ht="16.5" x14ac:dyDescent="0.25">
      <c r="B6" s="173" t="s">
        <v>157</v>
      </c>
      <c r="C6" s="174"/>
      <c r="D6" s="174"/>
      <c r="E6" s="174"/>
      <c r="F6" s="174"/>
      <c r="G6" s="174"/>
      <c r="H6" s="175"/>
    </row>
    <row r="7" spans="2:8" ht="95.25" customHeight="1" x14ac:dyDescent="0.25">
      <c r="B7" s="183" t="s">
        <v>162</v>
      </c>
      <c r="C7" s="184"/>
      <c r="D7" s="184"/>
      <c r="E7" s="184"/>
      <c r="F7" s="184"/>
      <c r="G7" s="184"/>
      <c r="H7" s="185"/>
    </row>
    <row r="8" spans="2:8" ht="16.5" x14ac:dyDescent="0.25">
      <c r="B8" s="112"/>
      <c r="C8" s="113"/>
      <c r="D8" s="113"/>
      <c r="E8" s="113"/>
      <c r="F8" s="113"/>
      <c r="G8" s="113"/>
      <c r="H8" s="114"/>
    </row>
    <row r="9" spans="2:8" ht="16.5" customHeight="1" x14ac:dyDescent="0.25">
      <c r="B9" s="176" t="s">
        <v>195</v>
      </c>
      <c r="C9" s="177"/>
      <c r="D9" s="177"/>
      <c r="E9" s="177"/>
      <c r="F9" s="177"/>
      <c r="G9" s="177"/>
      <c r="H9" s="178"/>
    </row>
    <row r="10" spans="2:8" ht="44.25" customHeight="1" x14ac:dyDescent="0.25">
      <c r="B10" s="176"/>
      <c r="C10" s="177"/>
      <c r="D10" s="177"/>
      <c r="E10" s="177"/>
      <c r="F10" s="177"/>
      <c r="G10" s="177"/>
      <c r="H10" s="178"/>
    </row>
    <row r="11" spans="2:8" ht="15.75" thickBot="1" x14ac:dyDescent="0.3">
      <c r="B11" s="101"/>
      <c r="C11" s="104"/>
      <c r="D11" s="109"/>
      <c r="E11" s="110"/>
      <c r="F11" s="110"/>
      <c r="G11" s="111"/>
      <c r="H11" s="105"/>
    </row>
    <row r="12" spans="2:8" ht="15.75" thickTop="1" x14ac:dyDescent="0.25">
      <c r="B12" s="101"/>
      <c r="C12" s="179" t="s">
        <v>158</v>
      </c>
      <c r="D12" s="180"/>
      <c r="E12" s="181" t="s">
        <v>196</v>
      </c>
      <c r="F12" s="182"/>
      <c r="G12" s="104"/>
      <c r="H12" s="105"/>
    </row>
    <row r="13" spans="2:8" ht="35.25" customHeight="1" x14ac:dyDescent="0.25">
      <c r="B13" s="101"/>
      <c r="C13" s="151" t="s">
        <v>189</v>
      </c>
      <c r="D13" s="152"/>
      <c r="E13" s="153" t="s">
        <v>194</v>
      </c>
      <c r="F13" s="154"/>
      <c r="G13" s="104"/>
      <c r="H13" s="105"/>
    </row>
    <row r="14" spans="2:8" ht="17.25" customHeight="1" x14ac:dyDescent="0.25">
      <c r="B14" s="101"/>
      <c r="C14" s="151" t="s">
        <v>190</v>
      </c>
      <c r="D14" s="152"/>
      <c r="E14" s="153" t="s">
        <v>192</v>
      </c>
      <c r="F14" s="154"/>
      <c r="G14" s="104"/>
      <c r="H14" s="105"/>
    </row>
    <row r="15" spans="2:8" ht="19.5" customHeight="1" x14ac:dyDescent="0.25">
      <c r="B15" s="101"/>
      <c r="C15" s="151" t="s">
        <v>191</v>
      </c>
      <c r="D15" s="152"/>
      <c r="E15" s="153" t="s">
        <v>193</v>
      </c>
      <c r="F15" s="154"/>
      <c r="G15" s="104"/>
      <c r="H15" s="105"/>
    </row>
    <row r="16" spans="2:8" ht="69.75" customHeight="1" x14ac:dyDescent="0.25">
      <c r="B16" s="101"/>
      <c r="C16" s="151" t="s">
        <v>160</v>
      </c>
      <c r="D16" s="152"/>
      <c r="E16" s="153" t="s">
        <v>161</v>
      </c>
      <c r="F16" s="154"/>
      <c r="G16" s="104"/>
      <c r="H16" s="105"/>
    </row>
    <row r="17" spans="2:8" ht="34.5" customHeight="1" x14ac:dyDescent="0.25">
      <c r="B17" s="101"/>
      <c r="C17" s="155" t="s">
        <v>2</v>
      </c>
      <c r="D17" s="156"/>
      <c r="E17" s="147" t="s">
        <v>203</v>
      </c>
      <c r="F17" s="148"/>
      <c r="G17" s="104"/>
      <c r="H17" s="105"/>
    </row>
    <row r="18" spans="2:8" ht="27.75" customHeight="1" x14ac:dyDescent="0.25">
      <c r="B18" s="101"/>
      <c r="C18" s="155" t="s">
        <v>3</v>
      </c>
      <c r="D18" s="156"/>
      <c r="E18" s="147" t="s">
        <v>204</v>
      </c>
      <c r="F18" s="148"/>
      <c r="G18" s="104"/>
      <c r="H18" s="105"/>
    </row>
    <row r="19" spans="2:8" ht="28.5" customHeight="1" x14ac:dyDescent="0.25">
      <c r="B19" s="101"/>
      <c r="C19" s="155" t="s">
        <v>40</v>
      </c>
      <c r="D19" s="156"/>
      <c r="E19" s="147" t="s">
        <v>205</v>
      </c>
      <c r="F19" s="148"/>
      <c r="G19" s="104"/>
      <c r="H19" s="105"/>
    </row>
    <row r="20" spans="2:8" ht="72.75" customHeight="1" x14ac:dyDescent="0.25">
      <c r="B20" s="101"/>
      <c r="C20" s="155" t="s">
        <v>1</v>
      </c>
      <c r="D20" s="156"/>
      <c r="E20" s="147" t="s">
        <v>206</v>
      </c>
      <c r="F20" s="148"/>
      <c r="G20" s="104"/>
      <c r="H20" s="105"/>
    </row>
    <row r="21" spans="2:8" ht="64.5" customHeight="1" x14ac:dyDescent="0.25">
      <c r="B21" s="101"/>
      <c r="C21" s="155" t="s">
        <v>46</v>
      </c>
      <c r="D21" s="156"/>
      <c r="E21" s="147" t="s">
        <v>164</v>
      </c>
      <c r="F21" s="148"/>
      <c r="G21" s="104"/>
      <c r="H21" s="105"/>
    </row>
    <row r="22" spans="2:8" ht="71.25" customHeight="1" x14ac:dyDescent="0.25">
      <c r="B22" s="101"/>
      <c r="C22" s="155" t="s">
        <v>163</v>
      </c>
      <c r="D22" s="156"/>
      <c r="E22" s="147" t="s">
        <v>165</v>
      </c>
      <c r="F22" s="148"/>
      <c r="G22" s="104"/>
      <c r="H22" s="105"/>
    </row>
    <row r="23" spans="2:8" ht="55.5" customHeight="1" x14ac:dyDescent="0.25">
      <c r="B23" s="101"/>
      <c r="C23" s="149" t="s">
        <v>166</v>
      </c>
      <c r="D23" s="150"/>
      <c r="E23" s="147" t="s">
        <v>167</v>
      </c>
      <c r="F23" s="148"/>
      <c r="G23" s="104"/>
      <c r="H23" s="105"/>
    </row>
    <row r="24" spans="2:8" ht="42" customHeight="1" x14ac:dyDescent="0.25">
      <c r="B24" s="101"/>
      <c r="C24" s="149" t="s">
        <v>44</v>
      </c>
      <c r="D24" s="150"/>
      <c r="E24" s="147" t="s">
        <v>168</v>
      </c>
      <c r="F24" s="148"/>
      <c r="G24" s="104"/>
      <c r="H24" s="105"/>
    </row>
    <row r="25" spans="2:8" ht="59.25" customHeight="1" x14ac:dyDescent="0.25">
      <c r="B25" s="101"/>
      <c r="C25" s="149" t="s">
        <v>156</v>
      </c>
      <c r="D25" s="150"/>
      <c r="E25" s="147" t="s">
        <v>169</v>
      </c>
      <c r="F25" s="148"/>
      <c r="G25" s="104"/>
      <c r="H25" s="105"/>
    </row>
    <row r="26" spans="2:8" ht="23.25" customHeight="1" x14ac:dyDescent="0.25">
      <c r="B26" s="101"/>
      <c r="C26" s="149" t="s">
        <v>12</v>
      </c>
      <c r="D26" s="150"/>
      <c r="E26" s="147" t="s">
        <v>170</v>
      </c>
      <c r="F26" s="148"/>
      <c r="G26" s="104"/>
      <c r="H26" s="105"/>
    </row>
    <row r="27" spans="2:8" ht="30.75" customHeight="1" x14ac:dyDescent="0.25">
      <c r="B27" s="101"/>
      <c r="C27" s="149" t="s">
        <v>174</v>
      </c>
      <c r="D27" s="150"/>
      <c r="E27" s="147" t="s">
        <v>171</v>
      </c>
      <c r="F27" s="148"/>
      <c r="G27" s="104"/>
      <c r="H27" s="105"/>
    </row>
    <row r="28" spans="2:8" ht="35.25" customHeight="1" x14ac:dyDescent="0.25">
      <c r="B28" s="101"/>
      <c r="C28" s="149" t="s">
        <v>175</v>
      </c>
      <c r="D28" s="150"/>
      <c r="E28" s="147" t="s">
        <v>172</v>
      </c>
      <c r="F28" s="148"/>
      <c r="G28" s="104"/>
      <c r="H28" s="105"/>
    </row>
    <row r="29" spans="2:8" ht="33" customHeight="1" x14ac:dyDescent="0.25">
      <c r="B29" s="101"/>
      <c r="C29" s="149" t="s">
        <v>175</v>
      </c>
      <c r="D29" s="150"/>
      <c r="E29" s="147" t="s">
        <v>172</v>
      </c>
      <c r="F29" s="148"/>
      <c r="G29" s="104"/>
      <c r="H29" s="105"/>
    </row>
    <row r="30" spans="2:8" ht="30" customHeight="1" x14ac:dyDescent="0.25">
      <c r="B30" s="101"/>
      <c r="C30" s="149" t="s">
        <v>176</v>
      </c>
      <c r="D30" s="150"/>
      <c r="E30" s="147" t="s">
        <v>173</v>
      </c>
      <c r="F30" s="148"/>
      <c r="G30" s="104"/>
      <c r="H30" s="105"/>
    </row>
    <row r="31" spans="2:8" ht="35.25" customHeight="1" x14ac:dyDescent="0.25">
      <c r="B31" s="101"/>
      <c r="C31" s="149" t="s">
        <v>177</v>
      </c>
      <c r="D31" s="150"/>
      <c r="E31" s="147" t="s">
        <v>178</v>
      </c>
      <c r="F31" s="148"/>
      <c r="G31" s="104"/>
      <c r="H31" s="105"/>
    </row>
    <row r="32" spans="2:8" ht="31.5" customHeight="1" x14ac:dyDescent="0.25">
      <c r="B32" s="101"/>
      <c r="C32" s="149" t="s">
        <v>179</v>
      </c>
      <c r="D32" s="150"/>
      <c r="E32" s="147" t="s">
        <v>180</v>
      </c>
      <c r="F32" s="148"/>
      <c r="G32" s="104"/>
      <c r="H32" s="105"/>
    </row>
    <row r="33" spans="2:8" ht="35.25" customHeight="1" x14ac:dyDescent="0.25">
      <c r="B33" s="101"/>
      <c r="C33" s="149" t="s">
        <v>181</v>
      </c>
      <c r="D33" s="150"/>
      <c r="E33" s="147" t="s">
        <v>182</v>
      </c>
      <c r="F33" s="148"/>
      <c r="G33" s="104"/>
      <c r="H33" s="105"/>
    </row>
    <row r="34" spans="2:8" ht="59.25" customHeight="1" x14ac:dyDescent="0.25">
      <c r="B34" s="101"/>
      <c r="C34" s="149" t="s">
        <v>183</v>
      </c>
      <c r="D34" s="150"/>
      <c r="E34" s="147" t="s">
        <v>184</v>
      </c>
      <c r="F34" s="148"/>
      <c r="G34" s="104"/>
      <c r="H34" s="105"/>
    </row>
    <row r="35" spans="2:8" ht="29.25" customHeight="1" x14ac:dyDescent="0.25">
      <c r="B35" s="101"/>
      <c r="C35" s="149" t="s">
        <v>29</v>
      </c>
      <c r="D35" s="150"/>
      <c r="E35" s="147" t="s">
        <v>185</v>
      </c>
      <c r="F35" s="148"/>
      <c r="G35" s="104"/>
      <c r="H35" s="105"/>
    </row>
    <row r="36" spans="2:8" ht="82.5" customHeight="1" x14ac:dyDescent="0.25">
      <c r="B36" s="101"/>
      <c r="C36" s="149" t="s">
        <v>187</v>
      </c>
      <c r="D36" s="150"/>
      <c r="E36" s="147" t="s">
        <v>186</v>
      </c>
      <c r="F36" s="148"/>
      <c r="G36" s="104"/>
      <c r="H36" s="105"/>
    </row>
    <row r="37" spans="2:8" ht="46.5" customHeight="1" x14ac:dyDescent="0.25">
      <c r="B37" s="101"/>
      <c r="C37" s="149" t="s">
        <v>37</v>
      </c>
      <c r="D37" s="150"/>
      <c r="E37" s="147" t="s">
        <v>188</v>
      </c>
      <c r="F37" s="148"/>
      <c r="G37" s="104"/>
      <c r="H37" s="105"/>
    </row>
    <row r="38" spans="2:8" ht="6.75" customHeight="1" thickBot="1" x14ac:dyDescent="0.3">
      <c r="B38" s="101"/>
      <c r="C38" s="160"/>
      <c r="D38" s="161"/>
      <c r="E38" s="162"/>
      <c r="F38" s="163"/>
      <c r="G38" s="104"/>
      <c r="H38" s="105"/>
    </row>
    <row r="39" spans="2:8" ht="15.75" thickTop="1" x14ac:dyDescent="0.25">
      <c r="B39" s="101"/>
      <c r="C39" s="102"/>
      <c r="D39" s="102"/>
      <c r="E39" s="103"/>
      <c r="F39" s="103"/>
      <c r="G39" s="104"/>
      <c r="H39" s="105"/>
    </row>
    <row r="40" spans="2:8" ht="21" customHeight="1" x14ac:dyDescent="0.25">
      <c r="B40" s="157" t="s">
        <v>197</v>
      </c>
      <c r="C40" s="158"/>
      <c r="D40" s="158"/>
      <c r="E40" s="158"/>
      <c r="F40" s="158"/>
      <c r="G40" s="158"/>
      <c r="H40" s="159"/>
    </row>
    <row r="41" spans="2:8" ht="20.25" customHeight="1" x14ac:dyDescent="0.25">
      <c r="B41" s="157" t="s">
        <v>198</v>
      </c>
      <c r="C41" s="158"/>
      <c r="D41" s="158"/>
      <c r="E41" s="158"/>
      <c r="F41" s="158"/>
      <c r="G41" s="158"/>
      <c r="H41" s="159"/>
    </row>
    <row r="42" spans="2:8" ht="20.25" customHeight="1" x14ac:dyDescent="0.25">
      <c r="B42" s="157" t="s">
        <v>199</v>
      </c>
      <c r="C42" s="158"/>
      <c r="D42" s="158"/>
      <c r="E42" s="158"/>
      <c r="F42" s="158"/>
      <c r="G42" s="158"/>
      <c r="H42" s="159"/>
    </row>
    <row r="43" spans="2:8" ht="20.25" customHeight="1" x14ac:dyDescent="0.25">
      <c r="B43" s="157" t="s">
        <v>200</v>
      </c>
      <c r="C43" s="158"/>
      <c r="D43" s="158"/>
      <c r="E43" s="158"/>
      <c r="F43" s="158"/>
      <c r="G43" s="158"/>
      <c r="H43" s="159"/>
    </row>
    <row r="44" spans="2:8" x14ac:dyDescent="0.25">
      <c r="B44" s="157" t="s">
        <v>201</v>
      </c>
      <c r="C44" s="158"/>
      <c r="D44" s="158"/>
      <c r="E44" s="158"/>
      <c r="F44" s="158"/>
      <c r="G44" s="158"/>
      <c r="H44" s="159"/>
    </row>
    <row r="45" spans="2:8" ht="15.75" thickBot="1" x14ac:dyDescent="0.3">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38</v>
      </c>
    </row>
    <row r="21" spans="1:1" x14ac:dyDescent="0.2">
      <c r="A21" s="7"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DO29"/>
  <sheetViews>
    <sheetView showGridLines="0" topLeftCell="A18" zoomScale="55" zoomScaleNormal="55" workbookViewId="0">
      <selection activeCell="G30" sqref="G30"/>
    </sheetView>
  </sheetViews>
  <sheetFormatPr baseColWidth="10" defaultColWidth="11.42578125" defaultRowHeight="35.1" customHeight="1" x14ac:dyDescent="0.3"/>
  <cols>
    <col min="1" max="1" width="4.7109375" style="2" customWidth="1"/>
    <col min="2" max="2" width="9.140625" style="144" customWidth="1"/>
    <col min="3" max="3" width="11.85546875" style="144" customWidth="1"/>
    <col min="4" max="4" width="12" style="2" customWidth="1"/>
    <col min="5" max="5" width="12" style="144" customWidth="1"/>
    <col min="6" max="6" width="14.140625" style="2" customWidth="1"/>
    <col min="7" max="7" width="13.140625" style="2" customWidth="1"/>
    <col min="8" max="8" width="16.140625" style="2" customWidth="1"/>
    <col min="9" max="9" width="32.42578125" style="1" customWidth="1"/>
    <col min="10" max="12" width="19" style="4" customWidth="1"/>
    <col min="13" max="13" width="17.7109375" style="1" customWidth="1"/>
    <col min="14" max="14" width="16.42578125" style="1" customWidth="1"/>
    <col min="15" max="15" width="6.28515625" style="1" customWidth="1"/>
    <col min="16" max="16" width="27.28515625" style="1" customWidth="1"/>
    <col min="17" max="17" width="30.42578125" style="1" customWidth="1"/>
    <col min="18" max="18" width="17.42578125" style="1" customWidth="1"/>
    <col min="19" max="19" width="6.28515625" style="1" customWidth="1"/>
    <col min="20" max="20" width="16" style="1" customWidth="1"/>
    <col min="21" max="21" width="5.7109375" style="1" customWidth="1"/>
    <col min="22" max="22" width="37.28515625" style="1" customWidth="1"/>
    <col min="23" max="23" width="31" style="1" customWidth="1"/>
    <col min="24" max="24" width="15.140625" style="1" bestFit="1" customWidth="1"/>
    <col min="25" max="25" width="6.7109375" style="1" hidden="1" customWidth="1"/>
    <col min="26" max="26" width="5" style="1" hidden="1" customWidth="1"/>
    <col min="27" max="27" width="5.42578125" style="1" hidden="1" customWidth="1"/>
    <col min="28" max="28" width="7.140625" style="1" hidden="1" customWidth="1"/>
    <col min="29" max="29" width="6.7109375" style="1" hidden="1" customWidth="1"/>
    <col min="30" max="31" width="7.42578125" style="1" hidden="1" customWidth="1"/>
    <col min="32" max="32" width="8.7109375" style="1" hidden="1" customWidth="1"/>
    <col min="33" max="33" width="10.42578125" style="1" hidden="1" customWidth="1"/>
    <col min="34" max="34" width="9.28515625" style="1" hidden="1" customWidth="1"/>
    <col min="35" max="35" width="9.140625" style="1" hidden="1" customWidth="1"/>
    <col min="36" max="36" width="8.42578125" style="1" hidden="1" customWidth="1"/>
    <col min="37" max="37" width="7.28515625" style="1" hidden="1" customWidth="1"/>
    <col min="38" max="38" width="23" style="1" customWidth="1"/>
    <col min="39" max="39" width="18.7109375" style="1" customWidth="1"/>
    <col min="40" max="40" width="28.28515625" style="1" customWidth="1"/>
    <col min="41" max="43" width="11.42578125" style="1"/>
    <col min="44" max="44" width="13.5703125" style="1" bestFit="1" customWidth="1"/>
    <col min="45" max="16384" width="11.42578125" style="1"/>
  </cols>
  <sheetData>
    <row r="1" spans="1:119" ht="26.25" customHeight="1" x14ac:dyDescent="0.3">
      <c r="A1" s="197" t="s">
        <v>209</v>
      </c>
      <c r="B1" s="197"/>
      <c r="C1" s="197"/>
      <c r="D1" s="197"/>
      <c r="E1" s="197"/>
      <c r="F1" s="197"/>
      <c r="G1" s="349" t="s">
        <v>265</v>
      </c>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1"/>
      <c r="AN1" s="348" t="s">
        <v>210</v>
      </c>
    </row>
    <row r="2" spans="1:119" ht="21" customHeight="1" x14ac:dyDescent="0.3">
      <c r="A2" s="197"/>
      <c r="B2" s="197"/>
      <c r="C2" s="197"/>
      <c r="D2" s="197"/>
      <c r="E2" s="197"/>
      <c r="F2" s="197"/>
      <c r="G2" s="352"/>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4"/>
      <c r="AN2" s="348" t="s">
        <v>217</v>
      </c>
    </row>
    <row r="3" spans="1:119" ht="26.25" customHeight="1" x14ac:dyDescent="0.3">
      <c r="A3" s="197"/>
      <c r="B3" s="197"/>
      <c r="C3" s="197"/>
      <c r="D3" s="197"/>
      <c r="E3" s="197"/>
      <c r="F3" s="197"/>
      <c r="G3" s="352"/>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4"/>
      <c r="AN3" s="348" t="s">
        <v>218</v>
      </c>
    </row>
    <row r="4" spans="1:119" ht="21.75" customHeight="1" x14ac:dyDescent="0.3">
      <c r="A4" s="457"/>
      <c r="B4" s="457"/>
      <c r="C4" s="457"/>
      <c r="D4" s="457"/>
      <c r="E4" s="457"/>
      <c r="F4" s="457"/>
      <c r="G4" s="352"/>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4"/>
      <c r="AN4" s="458" t="s">
        <v>211</v>
      </c>
    </row>
    <row r="5" spans="1:119" ht="35.1" customHeight="1" x14ac:dyDescent="0.3">
      <c r="A5" s="186" t="s">
        <v>134</v>
      </c>
      <c r="B5" s="186"/>
      <c r="C5" s="186"/>
      <c r="D5" s="186"/>
      <c r="E5" s="186"/>
      <c r="F5" s="186"/>
      <c r="G5" s="186"/>
      <c r="H5" s="186"/>
      <c r="I5" s="186"/>
      <c r="J5" s="186"/>
      <c r="K5" s="186"/>
      <c r="L5" s="186"/>
      <c r="M5" s="186"/>
      <c r="N5" s="186" t="s">
        <v>135</v>
      </c>
      <c r="O5" s="186"/>
      <c r="P5" s="186"/>
      <c r="Q5" s="186"/>
      <c r="R5" s="186"/>
      <c r="S5" s="186"/>
      <c r="T5" s="186"/>
      <c r="U5" s="186" t="s">
        <v>136</v>
      </c>
      <c r="V5" s="186"/>
      <c r="W5" s="186"/>
      <c r="X5" s="186"/>
      <c r="Y5" s="186"/>
      <c r="Z5" s="186"/>
      <c r="AA5" s="186"/>
      <c r="AB5" s="186"/>
      <c r="AC5" s="186"/>
      <c r="AD5" s="186"/>
      <c r="AE5" s="186" t="s">
        <v>137</v>
      </c>
      <c r="AF5" s="186"/>
      <c r="AG5" s="186"/>
      <c r="AH5" s="186"/>
      <c r="AI5" s="186"/>
      <c r="AJ5" s="186"/>
      <c r="AK5" s="186"/>
      <c r="AL5" s="186" t="s">
        <v>34</v>
      </c>
      <c r="AM5" s="186"/>
      <c r="AN5" s="186"/>
      <c r="AO5" s="459"/>
      <c r="AP5" s="5"/>
      <c r="AQ5" s="5"/>
      <c r="AR5" s="5"/>
      <c r="AS5" s="5"/>
      <c r="AT5" s="5"/>
    </row>
    <row r="6" spans="1:119" ht="35.1" customHeight="1" x14ac:dyDescent="0.3">
      <c r="A6" s="198" t="s">
        <v>0</v>
      </c>
      <c r="B6" s="187" t="s">
        <v>189</v>
      </c>
      <c r="C6" s="187" t="s">
        <v>190</v>
      </c>
      <c r="D6" s="186" t="s">
        <v>13</v>
      </c>
      <c r="E6" s="187" t="s">
        <v>228</v>
      </c>
      <c r="F6" s="186" t="s">
        <v>2</v>
      </c>
      <c r="G6" s="187" t="s">
        <v>3</v>
      </c>
      <c r="H6" s="187" t="s">
        <v>40</v>
      </c>
      <c r="I6" s="186" t="s">
        <v>1</v>
      </c>
      <c r="J6" s="187" t="s">
        <v>46</v>
      </c>
      <c r="K6" s="187" t="s">
        <v>244</v>
      </c>
      <c r="L6" s="187" t="s">
        <v>245</v>
      </c>
      <c r="M6" s="187" t="s">
        <v>130</v>
      </c>
      <c r="N6" s="187" t="s">
        <v>33</v>
      </c>
      <c r="O6" s="186" t="s">
        <v>5</v>
      </c>
      <c r="P6" s="187" t="s">
        <v>83</v>
      </c>
      <c r="Q6" s="187" t="s">
        <v>88</v>
      </c>
      <c r="R6" s="187" t="s">
        <v>41</v>
      </c>
      <c r="S6" s="186" t="s">
        <v>5</v>
      </c>
      <c r="T6" s="187" t="s">
        <v>44</v>
      </c>
      <c r="U6" s="188" t="s">
        <v>11</v>
      </c>
      <c r="V6" s="187" t="s">
        <v>156</v>
      </c>
      <c r="W6" s="187" t="s">
        <v>208</v>
      </c>
      <c r="X6" s="187" t="s">
        <v>12</v>
      </c>
      <c r="Y6" s="187" t="s">
        <v>8</v>
      </c>
      <c r="Z6" s="187"/>
      <c r="AA6" s="187"/>
      <c r="AB6" s="187"/>
      <c r="AC6" s="187"/>
      <c r="AD6" s="187"/>
      <c r="AE6" s="188" t="s">
        <v>133</v>
      </c>
      <c r="AF6" s="188" t="s">
        <v>42</v>
      </c>
      <c r="AG6" s="188" t="s">
        <v>5</v>
      </c>
      <c r="AH6" s="188" t="s">
        <v>43</v>
      </c>
      <c r="AI6" s="188" t="s">
        <v>5</v>
      </c>
      <c r="AJ6" s="188" t="s">
        <v>45</v>
      </c>
      <c r="AK6" s="188" t="s">
        <v>29</v>
      </c>
      <c r="AL6" s="187" t="s">
        <v>34</v>
      </c>
      <c r="AM6" s="187" t="s">
        <v>35</v>
      </c>
      <c r="AN6" s="187" t="s">
        <v>36</v>
      </c>
      <c r="AO6" s="459"/>
      <c r="AP6" s="5"/>
      <c r="AQ6" s="5"/>
      <c r="AR6" s="5"/>
      <c r="AS6" s="5"/>
      <c r="AT6" s="5"/>
    </row>
    <row r="7" spans="1:119" s="3" customFormat="1" ht="35.1" customHeight="1" x14ac:dyDescent="0.3">
      <c r="A7" s="198"/>
      <c r="B7" s="187"/>
      <c r="C7" s="187"/>
      <c r="D7" s="186"/>
      <c r="E7" s="187"/>
      <c r="F7" s="186"/>
      <c r="G7" s="187"/>
      <c r="H7" s="187"/>
      <c r="I7" s="186"/>
      <c r="J7" s="187"/>
      <c r="K7" s="187"/>
      <c r="L7" s="187"/>
      <c r="M7" s="187"/>
      <c r="N7" s="187"/>
      <c r="O7" s="186"/>
      <c r="P7" s="187"/>
      <c r="Q7" s="187"/>
      <c r="R7" s="186"/>
      <c r="S7" s="186"/>
      <c r="T7" s="187"/>
      <c r="U7" s="188"/>
      <c r="V7" s="187"/>
      <c r="W7" s="187"/>
      <c r="X7" s="187"/>
      <c r="Y7" s="430" t="s">
        <v>13</v>
      </c>
      <c r="Z7" s="430" t="s">
        <v>17</v>
      </c>
      <c r="AA7" s="430" t="s">
        <v>28</v>
      </c>
      <c r="AB7" s="430" t="s">
        <v>18</v>
      </c>
      <c r="AC7" s="430" t="s">
        <v>21</v>
      </c>
      <c r="AD7" s="430" t="s">
        <v>24</v>
      </c>
      <c r="AE7" s="188"/>
      <c r="AF7" s="188"/>
      <c r="AG7" s="188"/>
      <c r="AH7" s="188"/>
      <c r="AI7" s="188"/>
      <c r="AJ7" s="188"/>
      <c r="AK7" s="188"/>
      <c r="AL7" s="187"/>
      <c r="AM7" s="187"/>
      <c r="AN7" s="187"/>
      <c r="AO7" s="460"/>
      <c r="AP7" s="21"/>
      <c r="AQ7" s="21"/>
      <c r="AR7" s="21"/>
      <c r="AS7" s="21"/>
      <c r="AT7" s="2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row>
    <row r="8" spans="1:119" s="420" customFormat="1" ht="15.75" customHeight="1" x14ac:dyDescent="0.3">
      <c r="A8" s="430"/>
      <c r="B8" s="450"/>
      <c r="C8" s="450"/>
      <c r="D8" s="452"/>
      <c r="E8" s="450"/>
      <c r="F8" s="452"/>
      <c r="G8" s="450"/>
      <c r="H8" s="450"/>
      <c r="I8" s="452"/>
      <c r="J8" s="450"/>
      <c r="K8" s="450"/>
      <c r="L8" s="450"/>
      <c r="M8" s="450"/>
      <c r="N8" s="450"/>
      <c r="O8" s="452"/>
      <c r="P8" s="450"/>
      <c r="Q8" s="450"/>
      <c r="R8" s="452"/>
      <c r="S8" s="452"/>
      <c r="T8" s="450"/>
      <c r="U8" s="451"/>
      <c r="V8" s="450"/>
      <c r="W8" s="450"/>
      <c r="X8" s="450"/>
      <c r="Y8" s="430"/>
      <c r="Z8" s="430"/>
      <c r="AA8" s="430"/>
      <c r="AB8" s="430"/>
      <c r="AC8" s="430"/>
      <c r="AD8" s="430"/>
      <c r="AE8" s="451"/>
      <c r="AF8" s="451"/>
      <c r="AG8" s="451"/>
      <c r="AH8" s="451"/>
      <c r="AI8" s="451"/>
      <c r="AJ8" s="451"/>
      <c r="AK8" s="451"/>
      <c r="AL8" s="450"/>
      <c r="AM8" s="450"/>
      <c r="AN8" s="450"/>
      <c r="AO8" s="460"/>
      <c r="AP8" s="421"/>
      <c r="AQ8" s="421"/>
      <c r="AR8" s="421"/>
      <c r="AS8" s="421"/>
      <c r="AT8" s="421"/>
      <c r="AU8" s="419"/>
      <c r="AV8" s="419"/>
      <c r="AW8" s="419"/>
      <c r="AX8" s="419"/>
      <c r="AY8" s="419"/>
      <c r="AZ8" s="419"/>
      <c r="BA8" s="419"/>
      <c r="BB8" s="419"/>
      <c r="BC8" s="419"/>
      <c r="BD8" s="419"/>
      <c r="BE8" s="419"/>
      <c r="BF8" s="419"/>
      <c r="BG8" s="419"/>
      <c r="BH8" s="419"/>
      <c r="BI8" s="419"/>
      <c r="BJ8" s="419"/>
      <c r="BK8" s="419"/>
      <c r="BL8" s="419"/>
      <c r="BM8" s="419"/>
      <c r="BN8" s="419"/>
      <c r="BO8" s="419"/>
      <c r="BP8" s="419"/>
      <c r="BQ8" s="419"/>
      <c r="BR8" s="419"/>
      <c r="BS8" s="419"/>
      <c r="BT8" s="419"/>
      <c r="BU8" s="419"/>
      <c r="BV8" s="419"/>
      <c r="BW8" s="419"/>
      <c r="BX8" s="419"/>
      <c r="BY8" s="419"/>
      <c r="BZ8" s="419"/>
      <c r="CA8" s="419"/>
      <c r="CB8" s="419"/>
      <c r="CC8" s="419"/>
      <c r="CD8" s="419"/>
      <c r="CE8" s="419"/>
      <c r="CF8" s="419"/>
      <c r="CG8" s="419"/>
      <c r="CH8" s="419"/>
      <c r="CI8" s="419"/>
      <c r="CJ8" s="419"/>
      <c r="CK8" s="419"/>
      <c r="CL8" s="419"/>
      <c r="CM8" s="419"/>
      <c r="CN8" s="419"/>
      <c r="CO8" s="419"/>
      <c r="CP8" s="419"/>
      <c r="CQ8" s="419"/>
      <c r="CR8" s="419"/>
      <c r="CS8" s="419"/>
      <c r="CT8" s="419"/>
      <c r="CU8" s="419"/>
      <c r="CV8" s="419"/>
      <c r="CW8" s="419"/>
      <c r="CX8" s="419"/>
      <c r="CY8" s="419"/>
      <c r="CZ8" s="419"/>
      <c r="DA8" s="419"/>
      <c r="DB8" s="419"/>
      <c r="DC8" s="419"/>
      <c r="DD8" s="419"/>
      <c r="DE8" s="419"/>
      <c r="DF8" s="419"/>
      <c r="DG8" s="419"/>
      <c r="DH8" s="419"/>
      <c r="DI8" s="419"/>
      <c r="DJ8" s="419"/>
      <c r="DK8" s="419"/>
      <c r="DL8" s="419"/>
      <c r="DM8" s="419"/>
      <c r="DN8" s="419"/>
      <c r="DO8" s="419"/>
    </row>
    <row r="9" spans="1:119" ht="184.5" customHeight="1" x14ac:dyDescent="0.3">
      <c r="A9" s="116">
        <v>1</v>
      </c>
      <c r="B9" s="142" t="s">
        <v>246</v>
      </c>
      <c r="C9" s="142" t="s">
        <v>247</v>
      </c>
      <c r="D9" s="116" t="s">
        <v>220</v>
      </c>
      <c r="E9" s="142" t="s">
        <v>232</v>
      </c>
      <c r="F9" s="422" t="s">
        <v>129</v>
      </c>
      <c r="G9" s="422" t="s">
        <v>249</v>
      </c>
      <c r="H9" s="422" t="s">
        <v>250</v>
      </c>
      <c r="I9" s="117" t="s">
        <v>256</v>
      </c>
      <c r="J9" s="422" t="s">
        <v>121</v>
      </c>
      <c r="K9" s="422" t="s">
        <v>237</v>
      </c>
      <c r="L9" s="422" t="s">
        <v>239</v>
      </c>
      <c r="M9" s="423">
        <v>2</v>
      </c>
      <c r="N9" s="118" t="str">
        <f>IF(M9&lt;=0,"",IF(M9&lt;=2,"Muy Baja",IF(M9&lt;=24,"Baja",IF(M9&lt;=500,"Media",IF(M9&lt;=5000,"Alta","Muy Alta")))))</f>
        <v>Muy Baja</v>
      </c>
      <c r="O9" s="119">
        <f>IF(N9="","",IF(N9="Muy Baja",0.2,IF(N9="Baja",0.4,IF(N9="Media",0.6,IF(N9="Alta",0.8,IF(N9="Muy Alta",1,))))))</f>
        <v>0.2</v>
      </c>
      <c r="P9" s="120" t="s">
        <v>145</v>
      </c>
      <c r="Q9" s="138" t="str">
        <f>IF(NOT(ISERROR(MATCH(P9,'Tabla Impacto'!$B$221:$B$223,0))),'Tabla Impacto'!$F$223&amp;"Por favor no seleccionar los criterios de impacto(Afectación Económica o presupuestal y Pérdida Reputacional)",P9)</f>
        <v xml:space="preserve">     Mayor a 500 SMLMV </v>
      </c>
      <c r="R9" s="118" t="str">
        <f>IF(OR(Q9='Tabla Impacto'!$C$11,Q9='Tabla Impacto'!$D$11),"Leve",IF(OR(Q9='Tabla Impacto'!$C$12,Q9='Tabla Impacto'!$D$12),"Menor",IF(OR(Q9='Tabla Impacto'!$C$13,Q9='Tabla Impacto'!$D$13),"Moderado",IF(OR(Q9='Tabla Impacto'!$C$14,Q9='Tabla Impacto'!$D$14),"Mayor",IF(OR(Q9='Tabla Impacto'!$C$15,Q9='Tabla Impacto'!$D$15),"Catastrófico","")))))</f>
        <v>Catastrófico</v>
      </c>
      <c r="S9" s="119">
        <f>IF(R9="","",IF(R9="Leve",0.2,IF(R9="Menor",0.4,IF(R9="Moderado",0.6,IF(R9="Mayor",0.8,IF(R9="Catastrófico",1,))))))</f>
        <v>1</v>
      </c>
      <c r="T9" s="121" t="str">
        <f>IF(OR(AND(N9="Muy Baja",R9="Leve"),AND(N9="Muy Baja",R9="Menor"),AND(N9="Baja",R9="Leve")),"Bajo",IF(OR(AND(N9="Muy baja",R9="Moderado"),AND(N9="Baja",R9="Menor"),AND(N9="Baja",R9="Moderado"),AND(N9="Media",R9="Leve"),AND(N9="Media",R9="Menor"),AND(N9="Media",R9="Moderado"),AND(N9="Alta",R9="Leve"),AND(N9="Alta",R9="Menor")),"Moderado",IF(OR(AND(N9="Muy Baja",R9="Mayor"),AND(N9="Baja",R9="Mayor"),AND(N9="Media",R9="Mayor"),AND(N9="Alta",R9="Moderado"),AND(N9="Alta",R9="Mayor"),AND(N9="Muy Alta",R9="Leve"),AND(N9="Muy Alta",R9="Menor"),AND(N9="Muy Alta",R9="Moderado"),AND(N9="Muy Alta",R9="Mayor")),"Alto",IF(OR(AND(N9="Muy Baja",R9="Catastrófico"),AND(N9="Baja",R9="Catastrófico"),AND(N9="Media",R9="Catastrófico"),AND(N9="Alta",R9="Catastrófico"),AND(N9="Muy Alta",R9="Catastrófico")),"Extremo",""))))</f>
        <v>Extremo</v>
      </c>
      <c r="U9" s="116">
        <v>1</v>
      </c>
      <c r="V9" s="145" t="s">
        <v>263</v>
      </c>
      <c r="W9" s="447" t="s">
        <v>260</v>
      </c>
      <c r="X9" s="124" t="str">
        <f>IF(OR(Y9="Preventivo",Y9="Detectivo"),"Probabilidad",IF(Y9="Correctivo","Impacto",""))</f>
        <v>Probabilidad</v>
      </c>
      <c r="Y9" s="424" t="s">
        <v>14</v>
      </c>
      <c r="Z9" s="424" t="s">
        <v>9</v>
      </c>
      <c r="AA9" s="425" t="str">
        <f>IF(AND(Y9="Preventivo",Z9="Automático"),"50%",IF(AND(Y9="Preventivo",Z9="Manual"),"40%",IF(AND(Y9="Detectivo",Z9="Automático"),"40%",IF(AND(Y9="Detectivo",Z9="Manual"),"30%",IF(AND(Y9="Correctivo",Z9="Automático"),"35%",IF(AND(Y9="Correctivo",Z9="Manual"),"25%",""))))))</f>
        <v>40%</v>
      </c>
      <c r="AB9" s="424" t="s">
        <v>19</v>
      </c>
      <c r="AC9" s="424" t="s">
        <v>22</v>
      </c>
      <c r="AD9" s="424" t="s">
        <v>115</v>
      </c>
      <c r="AE9" s="426">
        <f>IFERROR(IF(X9="Probabilidad",(O9-(+O9*AA9)),IF(X9="Impacto",O9,"")),"")</f>
        <v>0.12</v>
      </c>
      <c r="AF9" s="427" t="str">
        <f>IFERROR(IF(AE9="","",IF(AE9&lt;=0.2,"Muy Baja",IF(AE9&lt;=0.4,"Baja",IF(AE9&lt;=0.6,"Media",IF(AE9&lt;=0.8,"Alta","Muy Alta"))))),"")</f>
        <v>Muy Baja</v>
      </c>
      <c r="AG9" s="125">
        <f>+AE9</f>
        <v>0.12</v>
      </c>
      <c r="AH9" s="427" t="str">
        <f>IFERROR(IF(AI9="","",IF(AI9&lt;=0.2,"Leve",IF(AI9&lt;=0.4,"Menor",IF(AI9&lt;=0.6,"Moderado",IF(AI9&lt;=0.8,"Mayor","Catastrófico"))))),"")</f>
        <v>Catastrófico</v>
      </c>
      <c r="AI9" s="125">
        <f>IFERROR(IF(X9="Impacto",(S9-(+S9*AA9)),IF(X9="Probabilidad",S9,"")),"")</f>
        <v>1</v>
      </c>
      <c r="AJ9" s="428" t="str">
        <f>IFERROR(IF(OR(AND(AF9="Muy Baja",AH9="Leve"),AND(AF9="Muy Baja",AH9="Menor"),AND(AF9="Baja",AH9="Leve")),"Bajo",IF(OR(AND(AF9="Muy baja",AH9="Moderado"),AND(AF9="Baja",AH9="Menor"),AND(AF9="Baja",AH9="Moderado"),AND(AF9="Media",AH9="Leve"),AND(AF9="Media",AH9="Menor"),AND(AF9="Media",AH9="Moderado"),AND(AF9="Alta",AH9="Leve"),AND(AF9="Alta",AH9="Menor")),"Moderado",IF(OR(AND(AF9="Muy Baja",AH9="Mayor"),AND(AF9="Baja",AH9="Mayor"),AND(AF9="Media",AH9="Mayor"),AND(AF9="Alta",AH9="Moderado"),AND(AF9="Alta",AH9="Mayor"),AND(AF9="Muy Alta",AH9="Leve"),AND(AF9="Muy Alta",AH9="Menor"),AND(AF9="Muy Alta",AH9="Moderado"),AND(AF9="Muy Alta",AH9="Mayor")),"Alto",IF(OR(AND(AF9="Muy Baja",AH9="Catastrófico"),AND(AF9="Baja",AH9="Catastrófico"),AND(AF9="Media",AH9="Catastrófico"),AND(AF9="Alta",AH9="Catastrófico"),AND(AF9="Muy Alta",AH9="Catastrófico")),"Extremo","")))),"")</f>
        <v>Extremo</v>
      </c>
      <c r="AK9" s="424" t="s">
        <v>131</v>
      </c>
      <c r="AL9" s="422" t="s">
        <v>261</v>
      </c>
      <c r="AM9" s="448" t="s">
        <v>251</v>
      </c>
      <c r="AN9" s="448" t="s">
        <v>262</v>
      </c>
      <c r="AO9" s="459"/>
      <c r="AP9" s="5"/>
      <c r="AQ9" s="5"/>
      <c r="AR9" s="141"/>
      <c r="AS9" s="5"/>
      <c r="AT9" s="5"/>
    </row>
    <row r="10" spans="1:119" ht="213" customHeight="1" x14ac:dyDescent="0.3">
      <c r="A10" s="116">
        <v>2</v>
      </c>
      <c r="B10" s="142" t="s">
        <v>246</v>
      </c>
      <c r="C10" s="142" t="s">
        <v>247</v>
      </c>
      <c r="D10" s="116" t="s">
        <v>220</v>
      </c>
      <c r="E10" s="142" t="s">
        <v>232</v>
      </c>
      <c r="F10" s="422" t="s">
        <v>129</v>
      </c>
      <c r="G10" s="422" t="s">
        <v>253</v>
      </c>
      <c r="H10" s="422" t="s">
        <v>252</v>
      </c>
      <c r="I10" s="117" t="s">
        <v>255</v>
      </c>
      <c r="J10" s="422" t="s">
        <v>121</v>
      </c>
      <c r="K10" s="422" t="s">
        <v>237</v>
      </c>
      <c r="L10" s="422" t="s">
        <v>239</v>
      </c>
      <c r="M10" s="423">
        <v>2</v>
      </c>
      <c r="N10" s="118" t="str">
        <f>IF(M10&lt;=0,"",IF(M10&lt;=2,"Muy Baja",IF(M10&lt;=24,"Baja",IF(M10&lt;=500,"Media",IF(M10&lt;=5000,"Alta","Muy Alta")))))</f>
        <v>Muy Baja</v>
      </c>
      <c r="O10" s="119">
        <f>IF(N10="","",IF(N10="Muy Baja",0.2,IF(N10="Baja",0.4,IF(N10="Media",0.6,IF(N10="Alta",0.8,IF(N10="Muy Alta",1,))))))</f>
        <v>0.2</v>
      </c>
      <c r="P10" s="120" t="s">
        <v>145</v>
      </c>
      <c r="Q10" s="138" t="str">
        <f ca="1">IF(NOT(ISERROR(MATCH(P10,_xlfn.ANCHORARRAY(#REF!),0))),#REF!&amp;"Por favor no seleccionar los criterios de impacto",P10)</f>
        <v xml:space="preserve">     Mayor a 500 SMLMV </v>
      </c>
      <c r="R10" s="118" t="str">
        <f ca="1">IF(OR(Q10='Tabla Impacto'!$C$11,Q10='Tabla Impacto'!$D$11),"Leve",IF(OR(Q10='Tabla Impacto'!$C$12,Q10='Tabla Impacto'!$D$12),"Menor",IF(OR(Q10='Tabla Impacto'!$C$13,Q10='Tabla Impacto'!$D$13),"Moderado",IF(OR(Q10='Tabla Impacto'!$C$14,Q10='Tabla Impacto'!$D$14),"Mayor",IF(OR(Q10='Tabla Impacto'!$C$15,Q10='Tabla Impacto'!$D$15),"Catastrófico","")))))</f>
        <v>Catastrófico</v>
      </c>
      <c r="S10" s="119">
        <f ca="1">IF(R10="","",IF(R10="Leve",0.2,IF(R10="Menor",0.4,IF(R10="Moderado",0.6,IF(R10="Mayor",0.8,IF(R10="Catastrófico",1,))))))</f>
        <v>1</v>
      </c>
      <c r="T10" s="121" t="str">
        <f ca="1">IF(OR(AND(N10="Muy Baja",R10="Leve"),AND(N10="Muy Baja",R10="Menor"),AND(N10="Baja",R10="Leve")),"Bajo",IF(OR(AND(N10="Muy baja",R10="Moderado"),AND(N10="Baja",R10="Menor"),AND(N10="Baja",R10="Moderado"),AND(N10="Media",R10="Leve"),AND(N10="Media",R10="Menor"),AND(N10="Media",R10="Moderado"),AND(N10="Alta",R10="Leve"),AND(N10="Alta",R10="Menor")),"Moderado",IF(OR(AND(N10="Muy Baja",R10="Mayor"),AND(N10="Baja",R10="Mayor"),AND(N10="Media",R10="Mayor"),AND(N10="Alta",R10="Moderado"),AND(N10="Alta",R10="Mayor"),AND(N10="Muy Alta",R10="Leve"),AND(N10="Muy Alta",R10="Menor"),AND(N10="Muy Alta",R10="Moderado"),AND(N10="Muy Alta",R10="Mayor")),"Alto",IF(OR(AND(N10="Muy Baja",R10="Catastrófico"),AND(N10="Baja",R10="Catastrófico"),AND(N10="Media",R10="Catastrófico"),AND(N10="Alta",R10="Catastrófico"),AND(N10="Muy Alta",R10="Catastrófico")),"Extremo",""))))</f>
        <v>Extremo</v>
      </c>
      <c r="U10" s="116">
        <v>1</v>
      </c>
      <c r="V10" s="122" t="s">
        <v>258</v>
      </c>
      <c r="W10" s="123" t="s">
        <v>254</v>
      </c>
      <c r="X10" s="124" t="str">
        <f>IF(OR(Y10="Preventivo",Y10="Detectivo"),"Probabilidad",IF(Y10="Correctivo","Impacto",""))</f>
        <v>Probabilidad</v>
      </c>
      <c r="Y10" s="424" t="s">
        <v>14</v>
      </c>
      <c r="Z10" s="424" t="s">
        <v>10</v>
      </c>
      <c r="AA10" s="425" t="str">
        <f>IF(AND(Y10="Preventivo",Z10="Automático"),"50%",IF(AND(Y10="Preventivo",Z10="Manual"),"40%",IF(AND(Y10="Detectivo",Z10="Automático"),"40%",IF(AND(Y10="Detectivo",Z10="Manual"),"30%",IF(AND(Y10="Correctivo",Z10="Automático"),"35%",IF(AND(Y10="Correctivo",Z10="Manual"),"25%",""))))))</f>
        <v>50%</v>
      </c>
      <c r="AB10" s="424" t="s">
        <v>20</v>
      </c>
      <c r="AC10" s="424" t="s">
        <v>22</v>
      </c>
      <c r="AD10" s="424" t="s">
        <v>115</v>
      </c>
      <c r="AE10" s="426">
        <f>IFERROR(IF(X10="Probabilidad",(O10-(+O10*AA10)),IF(X10="Impacto",O10,"")),"")</f>
        <v>0.1</v>
      </c>
      <c r="AF10" s="427" t="str">
        <f>IFERROR(IF(AE10="","",IF(AE10&lt;=0.2,"Muy Baja",IF(AE10&lt;=0.4,"Baja",IF(AE10&lt;=0.6,"Media",IF(AE10&lt;=0.8,"Alta","Muy Alta"))))),"")</f>
        <v>Muy Baja</v>
      </c>
      <c r="AG10" s="125">
        <f>+AE10</f>
        <v>0.1</v>
      </c>
      <c r="AH10" s="427" t="str">
        <f ca="1">IFERROR(IF(AI10="","",IF(AI10&lt;=0.2,"Leve",IF(AI10&lt;=0.4,"Menor",IF(AI10&lt;=0.6,"Moderado",IF(AI10&lt;=0.8,"Mayor","Catastrófico"))))),"")</f>
        <v>Catastrófico</v>
      </c>
      <c r="AI10" s="125">
        <f ca="1">IFERROR(IF(X10="Impacto",(S10-(+S10*AA10)),IF(X10="Probabilidad",S10,"")),"")</f>
        <v>1</v>
      </c>
      <c r="AJ10" s="428" t="str">
        <f ca="1">IFERROR(IF(OR(AND(AF10="Muy Baja",AH10="Leve"),AND(AF10="Muy Baja",AH10="Menor"),AND(AF10="Baja",AH10="Leve")),"Bajo",IF(OR(AND(AF10="Muy baja",AH10="Moderado"),AND(AF10="Baja",AH10="Menor"),AND(AF10="Baja",AH10="Moderado"),AND(AF10="Media",AH10="Leve"),AND(AF10="Media",AH10="Menor"),AND(AF10="Media",AH10="Moderado"),AND(AF10="Alta",AH10="Leve"),AND(AF10="Alta",AH10="Menor")),"Moderado",IF(OR(AND(AF10="Muy Baja",AH10="Mayor"),AND(AF10="Baja",AH10="Mayor"),AND(AF10="Media",AH10="Mayor"),AND(AF10="Alta",AH10="Moderado"),AND(AF10="Alta",AH10="Mayor"),AND(AF10="Muy Alta",AH10="Leve"),AND(AF10="Muy Alta",AH10="Menor"),AND(AF10="Muy Alta",AH10="Moderado"),AND(AF10="Muy Alta",AH10="Mayor")),"Alto",IF(OR(AND(AF10="Muy Baja",AH10="Catastrófico"),AND(AF10="Baja",AH10="Catastrófico"),AND(AF10="Media",AH10="Catastrófico"),AND(AF10="Alta",AH10="Catastrófico"),AND(AF10="Muy Alta",AH10="Catastrófico")),"Extremo","")))),"")</f>
        <v>Extremo</v>
      </c>
      <c r="AK10" s="424" t="s">
        <v>131</v>
      </c>
      <c r="AL10" s="422" t="s">
        <v>259</v>
      </c>
      <c r="AM10" s="448" t="s">
        <v>251</v>
      </c>
      <c r="AN10" s="448" t="s">
        <v>257</v>
      </c>
      <c r="AO10" s="459"/>
      <c r="AP10" s="5"/>
      <c r="AQ10" s="5"/>
      <c r="AR10" s="5"/>
      <c r="AS10" s="5"/>
      <c r="AT10" s="5"/>
    </row>
    <row r="11" spans="1:119" ht="213" customHeight="1" x14ac:dyDescent="0.3">
      <c r="A11" s="116">
        <v>3</v>
      </c>
      <c r="B11" s="142" t="s">
        <v>274</v>
      </c>
      <c r="C11" s="142" t="s">
        <v>275</v>
      </c>
      <c r="D11" s="116" t="s">
        <v>220</v>
      </c>
      <c r="E11" s="142" t="s">
        <v>232</v>
      </c>
      <c r="F11" s="422" t="s">
        <v>127</v>
      </c>
      <c r="G11" s="422" t="s">
        <v>266</v>
      </c>
      <c r="H11" s="422" t="s">
        <v>267</v>
      </c>
      <c r="I11" s="422" t="s">
        <v>268</v>
      </c>
      <c r="J11" s="422" t="s">
        <v>269</v>
      </c>
      <c r="K11" s="422" t="s">
        <v>236</v>
      </c>
      <c r="L11" s="422" t="s">
        <v>242</v>
      </c>
      <c r="M11" s="423">
        <v>10</v>
      </c>
      <c r="N11" s="118" t="str">
        <f t="shared" ref="N11" si="0">IF(M11&lt;=0,"",IF(M11&lt;=2,"Muy Baja",IF(M11&lt;=24,"Baja",IF(M11&lt;=500,"Media",IF(M11&lt;=5000,"Alta","Muy Alta")))))</f>
        <v>Baja</v>
      </c>
      <c r="O11" s="119">
        <f t="shared" ref="O11" si="1">IF(N11="","",IF(N11="Muy Baja",0.2,IF(N11="Baja",0.4,IF(N11="Media",0.6,IF(N11="Alta",0.8,IF(N11="Muy Alta",1,))))))</f>
        <v>0.4</v>
      </c>
      <c r="P11" s="120" t="s">
        <v>148</v>
      </c>
      <c r="Q11" s="119" t="str">
        <f ca="1">IF(NOT(ISERROR(MATCH(P11,_xlfn.ANCHORARRAY(#REF!),0))),#REF!&amp;"Por favor no seleccionar los criterios de impacto",P11)</f>
        <v xml:space="preserve">     El riesgo afecta la imagen de la entidad con algunos usuarios de relevancia frente al logro de los objetivos</v>
      </c>
      <c r="R11" s="118" t="str">
        <f ca="1">IF(OR(Q11='[1]Tabla Impacto'!$C$11,Q11='[1]Tabla Impacto'!$D$11),"Leve",IF(OR(Q11='[1]Tabla Impacto'!$C$12,Q11='[1]Tabla Impacto'!$D$12),"Menor",IF(OR(Q11='[1]Tabla Impacto'!$C$13,Q11='[1]Tabla Impacto'!$D$13),"Moderado",IF(OR(Q11='[1]Tabla Impacto'!$C$14,Q11='[1]Tabla Impacto'!$D$14),"Mayor",IF(OR(Q11='[1]Tabla Impacto'!$C$15,Q11='[1]Tabla Impacto'!$D$15),"Catastrófico","")))))</f>
        <v>Moderado</v>
      </c>
      <c r="S11" s="119">
        <f t="shared" ref="S11" ca="1" si="2">IF(R11="","",IF(R11="Leve",0.2,IF(R11="Menor",0.4,IF(R11="Moderado",0.6,IF(R11="Mayor",0.8,IF(R11="Catastrófico",1,))))))</f>
        <v>0.6</v>
      </c>
      <c r="T11" s="121" t="str">
        <f t="shared" ref="T11" ca="1" si="3">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Moderado</v>
      </c>
      <c r="U11" s="116">
        <v>3</v>
      </c>
      <c r="V11" s="355" t="s">
        <v>270</v>
      </c>
      <c r="W11" s="355" t="s">
        <v>271</v>
      </c>
      <c r="X11" s="124" t="str">
        <f t="shared" ref="X11" si="4">IF(OR(Y11="Preventivo",Y11="Detectivo"),"Probabilidad",IF(Y11="Correctivo","Impacto",""))</f>
        <v>Probabilidad</v>
      </c>
      <c r="Y11" s="146" t="s">
        <v>14</v>
      </c>
      <c r="Z11" s="146" t="s">
        <v>9</v>
      </c>
      <c r="AA11" s="125" t="str">
        <f t="shared" ref="AA11" si="5">IF(AND(Y11="Preventivo",Z11="Automático"),"50%",IF(AND(Y11="Preventivo",Z11="Manual"),"40%",IF(AND(Y11="Detectivo",Z11="Automático"),"40%",IF(AND(Y11="Detectivo",Z11="Manual"),"30%",IF(AND(Y11="Correctivo",Z11="Automático"),"35%",IF(AND(Y11="Correctivo",Z11="Manual"),"25%",""))))))</f>
        <v>40%</v>
      </c>
      <c r="AB11" s="146" t="s">
        <v>19</v>
      </c>
      <c r="AC11" s="146" t="s">
        <v>22</v>
      </c>
      <c r="AD11" s="146" t="s">
        <v>115</v>
      </c>
      <c r="AE11" s="356">
        <f t="shared" ref="AE11" si="6">IFERROR(IF(X11="Probabilidad",(O11-(+O11*AA11)),IF(X11="Impacto",O11,"")),"")</f>
        <v>0.24</v>
      </c>
      <c r="AF11" s="357" t="str">
        <f t="shared" ref="AF11" si="7">IFERROR(IF(AE11="","",IF(AE11&lt;=0.2,"Muy Baja",IF(AE11&lt;=0.4,"Baja",IF(AE11&lt;=0.6,"Media",IF(AE11&lt;=0.8,"Alta","Muy Alta"))))),"")</f>
        <v>Baja</v>
      </c>
      <c r="AG11" s="125">
        <f t="shared" ref="AG11" si="8">+AE11</f>
        <v>0.24</v>
      </c>
      <c r="AH11" s="357" t="str">
        <f t="shared" ref="AH11" ca="1" si="9">IFERROR(IF(AI11="","",IF(AI11&lt;=0.2,"Leve",IF(AI11&lt;=0.4,"Menor",IF(AI11&lt;=0.6,"Moderado",IF(AI11&lt;=0.8,"Mayor","Catastrófico"))))),"")</f>
        <v>Moderado</v>
      </c>
      <c r="AI11" s="125">
        <f t="shared" ref="AI11" ca="1" si="10">IFERROR(IF(X11="Impacto",(S11-(+S11*AA11)),IF(X11="Probabilidad",S11,"")),"")</f>
        <v>0.6</v>
      </c>
      <c r="AJ11" s="358" t="str">
        <f t="shared" ref="AJ11" ca="1" si="11">IFERROR(IF(OR(AND(AF11="Muy Baja",AH11="Leve"),AND(AF11="Muy Baja",AH11="Menor"),AND(AF11="Baja",AH11="Leve")),"Bajo",IF(OR(AND(AF11="Muy baja",AH11="Moderado"),AND(AF11="Baja",AH11="Menor"),AND(AF11="Baja",AH11="Moderado"),AND(AF11="Media",AH11="Leve"),AND(AF11="Media",AH11="Menor"),AND(AF11="Media",AH11="Moderado"),AND(AF11="Alta",AH11="Leve"),AND(AF11="Alta",AH11="Menor")),"Moderado",IF(OR(AND(AF11="Muy Baja",AH11="Mayor"),AND(AF11="Baja",AH11="Mayor"),AND(AF11="Media",AH11="Mayor"),AND(AF11="Alta",AH11="Moderado"),AND(AF11="Alta",AH11="Mayor"),AND(AF11="Muy Alta",AH11="Leve"),AND(AF11="Muy Alta",AH11="Menor"),AND(AF11="Muy Alta",AH11="Moderado"),AND(AF11="Muy Alta",AH11="Mayor")),"Alto",IF(OR(AND(AF11="Muy Baja",AH11="Catastrófico"),AND(AF11="Baja",AH11="Catastrófico"),AND(AF11="Media",AH11="Catastrófico"),AND(AF11="Alta",AH11="Catastrófico"),AND(AF11="Muy Alta",AH11="Catastrófico")),"Extremo","")))),"")</f>
        <v>Moderado</v>
      </c>
      <c r="AK11" s="146" t="s">
        <v>32</v>
      </c>
      <c r="AL11" s="422" t="s">
        <v>272</v>
      </c>
      <c r="AM11" s="422" t="s">
        <v>273</v>
      </c>
      <c r="AN11" s="429">
        <v>45657</v>
      </c>
      <c r="AO11" s="459"/>
      <c r="AP11" s="5"/>
      <c r="AQ11" s="5"/>
      <c r="AR11" s="5"/>
      <c r="AS11" s="5"/>
      <c r="AT11" s="5"/>
    </row>
    <row r="12" spans="1:119" ht="213" customHeight="1" x14ac:dyDescent="0.3">
      <c r="A12" s="116">
        <v>4</v>
      </c>
      <c r="B12" s="142" t="s">
        <v>285</v>
      </c>
      <c r="C12" s="142" t="s">
        <v>284</v>
      </c>
      <c r="D12" s="116" t="s">
        <v>220</v>
      </c>
      <c r="E12" s="116" t="s">
        <v>231</v>
      </c>
      <c r="F12" s="422" t="s">
        <v>127</v>
      </c>
      <c r="G12" s="422" t="s">
        <v>276</v>
      </c>
      <c r="H12" s="422" t="s">
        <v>277</v>
      </c>
      <c r="I12" s="117" t="s">
        <v>278</v>
      </c>
      <c r="J12" s="422" t="s">
        <v>121</v>
      </c>
      <c r="K12" s="422" t="s">
        <v>237</v>
      </c>
      <c r="L12" s="461"/>
      <c r="M12" s="423">
        <v>365</v>
      </c>
      <c r="N12" s="118" t="str">
        <f>IF(M12&lt;=0,"",IF(M12&lt;=2,"Muy Baja",IF(M12&lt;=24,"Baja",IF(M12&lt;=500,"Media",IF(M12&lt;=5000,"Alta","Muy Alta")))))</f>
        <v>Media</v>
      </c>
      <c r="O12" s="119">
        <f>IF(N12="","",IF(N12="Muy Baja",0.2,IF(N12="Baja",0.4,IF(N12="Media",0.6,IF(N12="Alta",0.8,IF(N12="Muy Alta",1,))))))</f>
        <v>0.6</v>
      </c>
      <c r="P12" s="120" t="s">
        <v>146</v>
      </c>
      <c r="Q12" s="138" t="str">
        <f>IF(NOT(ISERROR(MATCH(P12,'[3]Tabla Impacto'!$B$221:$B$223,0))),'[3]Tabla Impacto'!$F$223&amp;"Por favor no seleccionar los criterios de impacto(Afectación Económica o presupuestal y Pérdida Reputacional)",P12)</f>
        <v xml:space="preserve">     El riesgo afecta la imagen de alguna área de la organización</v>
      </c>
      <c r="R12" s="462" t="str">
        <f>IF(OR(Q12='[4]Tabla Impacto'!$C$11,Q12='[4]Tabla Impacto'!$D$11),"Leve",IF(OR(Q12='[4]Tabla Impacto'!$C$12,Q12='[4]Tabla Impacto'!$D$12),"Menor",IF(OR(Q12='[4]Tabla Impacto'!$C$13,Q12='[4]Tabla Impacto'!$D$13),"Moderado",IF(OR(Q12='[4]Tabla Impacto'!$C$14,Q12='[4]Tabla Impacto'!$D$14),"Mayor",IF(OR(Q12='[4]Tabla Impacto'!$C$15,Q12='[4]Tabla Impacto'!$D$15),"Catastrófico","")))))</f>
        <v>Leve</v>
      </c>
      <c r="S12" s="119">
        <f>IF(R12="","",IF(R12="Leve",0.2,IF(R12="Menor",0.4,IF(R12="Moderado",0.6,IF(R12="Mayor",0.8,IF(R12="Catastrófico",1,))))))</f>
        <v>0.2</v>
      </c>
      <c r="T12" s="121" t="str">
        <f>IF(OR(AND(N12="Muy Baja",R12="Leve"),AND(N12="Muy Baja",R12="Menor"),AND(N12="Baja",R12="Leve")),"Bajo",IF(OR(AND(N12="Muy baja",R12="Moderado"),AND(N12="Baja",R12="Menor"),AND(N12="Baja",R12="Moderado"),AND(N12="Media",R12="Leve"),AND(N12="Media",R12="Menor"),AND(N12="Media",R12="Moderado"),AND(N12="Alta",R12="Leve"),AND(N12="Alta",R12="Menor")),"Moderado",IF(OR(AND(N12="Muy Baja",R12="Mayor"),AND(N12="Baja",R12="Mayor"),AND(N12="Media",R12="Mayor"),AND(N12="Alta",R12="Moderado"),AND(N12="Alta",R12="Mayor"),AND(N12="Muy Alta",R12="Leve"),AND(N12="Muy Alta",R12="Menor"),AND(N12="Muy Alta",R12="Moderado"),AND(N12="Muy Alta",R12="Mayor")),"Alto",IF(OR(AND(N12="Muy Baja",R12="Catastrófico"),AND(N12="Baja",R12="Catastrófico"),AND(N12="Media",R12="Catastrófico"),AND(N12="Alta",R12="Catastrófico"),AND(N12="Muy Alta",R12="Catastrófico")),"Extremo",""))))</f>
        <v>Moderado</v>
      </c>
      <c r="U12" s="116">
        <v>1</v>
      </c>
      <c r="V12" s="122" t="s">
        <v>279</v>
      </c>
      <c r="W12" s="123" t="s">
        <v>280</v>
      </c>
      <c r="X12" s="124" t="str">
        <f>IF(OR(Y12="Preventivo",Y12="Detectivo"),"Probabilidad",IF(Y12="Correctivo","Impacto",""))</f>
        <v>Probabilidad</v>
      </c>
      <c r="Y12" s="424" t="s">
        <v>14</v>
      </c>
      <c r="Z12" s="424" t="s">
        <v>9</v>
      </c>
      <c r="AA12" s="425" t="str">
        <f>IF(AND(Y12="Preventivo",Z12="Automático"),"50%",IF(AND(Y12="Preventivo",Z12="Manual"),"40%",IF(AND(Y12="Detectivo",Z12="Automático"),"40%",IF(AND(Y12="Detectivo",Z12="Manual"),"30%",IF(AND(Y12="Correctivo",Z12="Automático"),"35%",IF(AND(Y12="Correctivo",Z12="Manual"),"25%",""))))))</f>
        <v>40%</v>
      </c>
      <c r="AB12" s="424" t="s">
        <v>19</v>
      </c>
      <c r="AC12" s="424" t="s">
        <v>22</v>
      </c>
      <c r="AD12" s="424" t="s">
        <v>115</v>
      </c>
      <c r="AE12" s="426">
        <f>IFERROR(IF(X12="Probabilidad",(O12-(+O12*AA12)),IF(X12="Impacto",O12,"")),"")</f>
        <v>0.36</v>
      </c>
      <c r="AF12" s="427" t="str">
        <f>IFERROR(IF(AE12="","",IF(AE12&lt;=0.2,"Muy Baja",IF(AE12&lt;=0.4,"Baja",IF(AE12&lt;=0.6,"Media",IF(AE12&lt;=0.8,"Alta","Muy Alta"))))),"")</f>
        <v>Baja</v>
      </c>
      <c r="AG12" s="359">
        <f>+AE12</f>
        <v>0.36</v>
      </c>
      <c r="AH12" s="427" t="str">
        <f>IFERROR(IF(AI12="","",IF(AI12&lt;=0.2,"Leve",IF(AI12&lt;=0.4,"Menor",IF(AI12&lt;=0.6,"Moderado",IF(AI12&lt;=0.8,"Mayor","Catastrófico"))))),"")</f>
        <v>Leve</v>
      </c>
      <c r="AI12" s="359">
        <f>IFERROR(IF(X12="Impacto",(S12-(+S12*AA12)),IF(X12="Probabilidad",S12,"")),"")</f>
        <v>0.2</v>
      </c>
      <c r="AJ12" s="428" t="str">
        <f>IFERROR(IF(OR(AND(AF12="Muy Baja",AH12="Leve"),AND(AF12="Muy Baja",AH12="Menor"),AND(AF12="Baja",AH12="Leve")),"Bajo",IF(OR(AND(AF12="Muy baja",AH12="Moderado"),AND(AF12="Baja",AH12="Menor"),AND(AF12="Baja",AH12="Moderado"),AND(AF12="Media",AH12="Leve"),AND(AF12="Media",AH12="Menor"),AND(AF12="Media",AH12="Moderado"),AND(AF12="Alta",AH12="Leve"),AND(AF12="Alta",AH12="Menor")),"Moderado",IF(OR(AND(AF12="Muy Baja",AH12="Mayor"),AND(AF12="Baja",AH12="Mayor"),AND(AF12="Media",AH12="Mayor"),AND(AF12="Alta",AH12="Moderado"),AND(AF12="Alta",AH12="Mayor"),AND(AF12="Muy Alta",AH12="Leve"),AND(AF12="Muy Alta",AH12="Menor"),AND(AF12="Muy Alta",AH12="Moderado"),AND(AF12="Muy Alta",AH12="Mayor")),"Alto",IF(OR(AND(AF12="Muy Baja",AH12="Catastrófico"),AND(AF12="Baja",AH12="Catastrófico"),AND(AF12="Media",AH12="Catastrófico"),AND(AF12="Alta",AH12="Catastrófico"),AND(AF12="Muy Alta",AH12="Catastrófico")),"Extremo","")))),"")</f>
        <v>Bajo</v>
      </c>
      <c r="AK12" s="424" t="s">
        <v>131</v>
      </c>
      <c r="AL12" s="422" t="s">
        <v>281</v>
      </c>
      <c r="AM12" s="422" t="s">
        <v>282</v>
      </c>
      <c r="AN12" s="448" t="s">
        <v>283</v>
      </c>
      <c r="AO12" s="459"/>
      <c r="AP12" s="5"/>
      <c r="AQ12" s="5"/>
      <c r="AR12" s="5"/>
      <c r="AS12" s="5"/>
      <c r="AT12" s="5"/>
    </row>
    <row r="13" spans="1:119" ht="213" customHeight="1" x14ac:dyDescent="0.3">
      <c r="A13" s="116">
        <v>5</v>
      </c>
      <c r="B13" s="142" t="s">
        <v>292</v>
      </c>
      <c r="C13" s="142" t="s">
        <v>293</v>
      </c>
      <c r="D13" s="463" t="s">
        <v>220</v>
      </c>
      <c r="E13" s="464" t="s">
        <v>232</v>
      </c>
      <c r="F13" s="465" t="s">
        <v>129</v>
      </c>
      <c r="G13" s="447" t="s">
        <v>249</v>
      </c>
      <c r="H13" s="466" t="s">
        <v>286</v>
      </c>
      <c r="I13" s="373" t="s">
        <v>121</v>
      </c>
      <c r="J13" s="373" t="s">
        <v>237</v>
      </c>
      <c r="K13" s="373" t="s">
        <v>242</v>
      </c>
      <c r="L13" s="467">
        <v>2</v>
      </c>
      <c r="M13" s="468" t="str">
        <f t="shared" ref="M13" si="12">IF(L13&lt;=0,"",IF(L13&lt;=2,"Muy Baja",IF(L13&lt;=24,"Baja",IF(L13&lt;=500,"Media",IF(L13&lt;=5000,"Alta","Muy Alta")))))</f>
        <v>Muy Baja</v>
      </c>
      <c r="N13" s="360">
        <f t="shared" ref="N13" si="13">IF(M13="","",IF(M13="Muy Baja",0.2,IF(M13="Baja",0.4,IF(M13="Media",0.6,IF(M13="Alta",0.8,IF(M13="Muy Alta",1,))))))</f>
        <v>0.2</v>
      </c>
      <c r="O13" s="469" t="s">
        <v>146</v>
      </c>
      <c r="P13" s="360" t="str">
        <f>IF(NOT(ISERROR(MATCH(O13,'[6]Tabla Impacto'!$B$221:$B$223,0))),'[6]Tabla Impacto'!$F$223&amp;"Por favor no seleccionar los criterios de impacto(Afectación Económica o presupuestal y Pérdida Reputacional)",O13)</f>
        <v xml:space="preserve">     El riesgo afecta la imagen de alguna área de la organización</v>
      </c>
      <c r="Q13" s="470" t="str">
        <f>IF(OR(P13='[6]Tabla Impacto'!$C$11,P13='[6]Tabla Impacto'!$D$11),"Leve",IF(OR(P13='[6]Tabla Impacto'!$C$12,P13='[6]Tabla Impacto'!$D$12),"Menor",IF(OR(P13='[6]Tabla Impacto'!$C$13,P13='[6]Tabla Impacto'!$D$13),"Moderado",IF(OR(P13='[6]Tabla Impacto'!$C$14,P13='[6]Tabla Impacto'!$D$14),"Mayor",IF(OR(P13='[6]Tabla Impacto'!$C$15,P13='[6]Tabla Impacto'!$D$15),"Catastrófico","")))))</f>
        <v>Leve</v>
      </c>
      <c r="R13" s="471">
        <f t="shared" ref="R13" si="14">IF(Q13="","",IF(Q13="Leve",0.2,IF(Q13="Menor",0.4,IF(Q13="Moderado",0.6,IF(Q13="Mayor",0.8,IF(Q13="Catastrófico",1,))))))</f>
        <v>0.2</v>
      </c>
      <c r="S13" s="472" t="str">
        <f>IF(OR(AND(M13="Muy Baja",Q13="Leve"),AND(M13="Muy Baja",Q13="Menor"),AND(M13="Baja",Q13="Leve")),"Bajo",IF(OR(AND(M13="Muy baja",Q13="Moderado"),AND(M13="Baja",Q13="Menor"),AND(M13="Baja",Q13="Moderado"),AND(M13="Media",Q13="Leve"),AND(M13="Media",Q13="Menor"),AND(M13="Media",Q13="Moderado"),AND(M13="Alta",Q13="Leve"),AND(M13="Alta",Q13="Menor")),"Moderado",IF(OR(AND(M13="Muy Baja",Q13="Mayor"),AND(M13="Baja",Q13="Mayor"),AND(M13="Media",Q13="Mayor"),AND(M13="Alta",Q13="Moderado"),AND(M13="Alta",Q13="Mayor"),AND(M13="Muy Alta",Q13="Leve"),AND(M13="Muy Alta",Q13="Menor"),AND(M13="Muy Alta",Q13="Moderado"),AND(M13="Muy Alta",Q13="Mayor")),"Alto",IF(OR(AND(M13="Muy Baja",Q13="Catastrófico"),AND(M13="Baja",Q13="Catastrófico"),AND(M13="Media",Q13="Catastrófico"),AND(M13="Alta",Q13="Catastrófico"),AND(M13="Muy Alta",Q13="Catastrófico")),"Extremo",""))))</f>
        <v>Bajo</v>
      </c>
      <c r="T13" s="361">
        <v>1</v>
      </c>
      <c r="U13" s="362" t="s">
        <v>287</v>
      </c>
      <c r="V13" s="447" t="s">
        <v>288</v>
      </c>
      <c r="W13" s="363" t="str">
        <f t="shared" ref="W13" si="15">IF(OR(Y13="Preventivo",Y13="Detectivo"),"Probabilidad",IF(Y13="Correctivo","Impacto",""))</f>
        <v>Probabilidad</v>
      </c>
      <c r="X13" s="364" t="s">
        <v>289</v>
      </c>
      <c r="Y13" s="365" t="s">
        <v>14</v>
      </c>
      <c r="Z13" s="365" t="s">
        <v>9</v>
      </c>
      <c r="AA13" s="366" t="str">
        <f t="shared" ref="AA13" si="16">IF(AND(Y13="Preventivo",Z13="Automático"),"50%",IF(AND(Y13="Preventivo",Z13="Manual"),"40%",IF(AND(Y13="Detectivo",Z13="Automático"),"40%",IF(AND(Y13="Detectivo",Z13="Manual"),"30%",IF(AND(Y13="Correctivo",Z13="Automático"),"35%",IF(AND(Y13="Correctivo",Z13="Manual"),"25%",""))))))</f>
        <v>40%</v>
      </c>
      <c r="AB13" s="365" t="s">
        <v>19</v>
      </c>
      <c r="AC13" s="365" t="s">
        <v>22</v>
      </c>
      <c r="AD13" s="365" t="s">
        <v>115</v>
      </c>
      <c r="AE13" s="367">
        <f t="shared" ref="AE13" si="17">IFERROR(IF(W13="Probabilidad",(N13-(+N13*AA13)),IF(W13="Impacto",N13,"")),"")</f>
        <v>0.12</v>
      </c>
      <c r="AF13" s="473" t="str">
        <f t="shared" ref="AF13" si="18">IFERROR(IF(AE13="","",IF(AE13&lt;=0.2,"Muy Baja",IF(AE13&lt;=0.4,"Baja",IF(AE13&lt;=0.6,"Media",IF(AE13&lt;=0.8,"Alta","Muy Alta"))))),"")</f>
        <v>Muy Baja</v>
      </c>
      <c r="AG13" s="368">
        <f t="shared" ref="AG13" si="19">+AE13</f>
        <v>0.12</v>
      </c>
      <c r="AH13" s="369" t="str">
        <f t="shared" ref="AH13" si="20">IFERROR(IF(AI13="","",IF(AI13&lt;=0.2,"Leve",IF(AI13&lt;=0.4,"Menor",IF(AI13&lt;=0.6,"Moderado",IF(AI13&lt;=0.8,"Mayor","Catastrófico"))))),"")</f>
        <v>Leve</v>
      </c>
      <c r="AI13" s="368">
        <f t="shared" ref="AI13" si="21">IFERROR(IF(W13="Impacto",(R13-(+R13*AA13)),IF(W13="Probabilidad",R13,"")),"")</f>
        <v>0.2</v>
      </c>
      <c r="AJ13" s="370" t="str">
        <f>IFERROR(IF(OR(AND(AF13="Muy Baja",AH13="Leve"),AND(AF13="Muy Baja",AH13="Menor"),AND(AF13="Baja",AH13="Leve")),"Bajo",IF(OR(AND(AF13="Muy baja",AH13="Moderado"),AND(AF13="Baja",AH13="Menor"),AND(AF13="Baja",AH13="Moderado"),AND(AF13="Media",AH13="Leve"),AND(AF13="Media",AH13="Menor"),AND(AF13="Media",AH13="Moderado"),AND(AF13="Alta",AH13="Leve"),AND(AF13="Alta",AH13="Menor")),"Moderado",IF(OR(AND(AF13="Muy Baja",AH13="Mayor"),AND(AF13="Baja",AH13="Mayor"),AND(AF13="Media",AH13="Mayor"),AND(AF13="Alta",AH13="Moderado"),AND(AF13="Alta",AH13="Mayor"),AND(AF13="Muy Alta",AH13="Leve"),AND(AF13="Muy Alta",AH13="Menor"),AND(AF13="Muy Alta",AH13="Moderado"),AND(AF13="Muy Alta",AH13="Mayor")),"Alto",IF(OR(AND(AF13="Muy Baja",AH13="Catastrófico"),AND(AF13="Baja",AH13="Catastrófico"),AND(AF13="Media",AH13="Catastrófico"),AND(AF13="Alta",AH13="Catastrófico"),AND(AF13="Muy Alta",AH13="Catastrófico")),"Extremo","")))),"")</f>
        <v>Bajo</v>
      </c>
      <c r="AK13" s="474" t="s">
        <v>31</v>
      </c>
      <c r="AL13" s="371" t="s">
        <v>290</v>
      </c>
      <c r="AM13" s="372" t="s">
        <v>291</v>
      </c>
      <c r="AN13" s="372">
        <v>2024</v>
      </c>
      <c r="AO13" s="459"/>
      <c r="AP13" s="5"/>
      <c r="AQ13" s="5"/>
      <c r="AR13" s="5"/>
      <c r="AS13" s="5"/>
      <c r="AT13" s="5"/>
    </row>
    <row r="14" spans="1:119" ht="213" customHeight="1" x14ac:dyDescent="0.3">
      <c r="A14" s="116">
        <v>6</v>
      </c>
      <c r="B14" s="142" t="s">
        <v>294</v>
      </c>
      <c r="C14" s="142" t="s">
        <v>303</v>
      </c>
      <c r="D14" s="422" t="s">
        <v>220</v>
      </c>
      <c r="E14" s="422" t="s">
        <v>232</v>
      </c>
      <c r="F14" s="422" t="s">
        <v>127</v>
      </c>
      <c r="G14" s="422" t="s">
        <v>295</v>
      </c>
      <c r="H14" s="422" t="s">
        <v>296</v>
      </c>
      <c r="I14" s="422" t="s">
        <v>297</v>
      </c>
      <c r="J14" s="422" t="s">
        <v>298</v>
      </c>
      <c r="K14" s="119" t="s">
        <v>237</v>
      </c>
      <c r="L14" s="120" t="s">
        <v>242</v>
      </c>
      <c r="M14" s="423">
        <v>25</v>
      </c>
      <c r="N14" s="118" t="str">
        <f>IF(M14&lt;=0,"",IF(M14&lt;=2,"Muy Baja",IF(M14&lt;=24,"Baja",IF(M14&lt;=500,"Media",IF(M14&lt;=5000,"Alta","Muy Alta")))))</f>
        <v>Media</v>
      </c>
      <c r="O14" s="119">
        <f>IF(N14="","",IF(N14="Muy Baja",0.2,IF(N14="Baja",0.4,IF(N14="Media",0.6,IF(N14="Alta",0.8,IF(N14="Muy Alta",1,))))))</f>
        <v>0.6</v>
      </c>
      <c r="P14" s="120" t="s">
        <v>146</v>
      </c>
      <c r="Q14" s="119" t="str">
        <f>IF(NOT(ISERROR(MATCH(P14,'[7]Tabla Impacto'!$B$221:$B$223,0))),'[7]Tabla Impacto'!$F$223&amp;"Por favor no seleccionar los criterios de impacto(Afectación Económica o presupuestal y Pérdida Reputacional)",P14)</f>
        <v xml:space="preserve">     El riesgo afecta la imagen de alguna área de la organización</v>
      </c>
      <c r="R14" s="118" t="str">
        <f>IF(OR(Q14='[7]Tabla Impacto'!$C$11,Q14='[7]Tabla Impacto'!$D$11),"Leve",IF(OR(Q14='[7]Tabla Impacto'!$C$12,Q14='[7]Tabla Impacto'!$D$12),"Menor",IF(OR(Q14='[7]Tabla Impacto'!$C$13,Q14='[7]Tabla Impacto'!$D$13),"Moderado",IF(OR(Q14='[7]Tabla Impacto'!$C$14,Q14='[7]Tabla Impacto'!$D$14),"Mayor",IF(OR(Q14='[7]Tabla Impacto'!$C$15,Q14='[7]Tabla Impacto'!$D$15),"Catastrófico","")))))</f>
        <v>Leve</v>
      </c>
      <c r="S14" s="119">
        <v>0.8</v>
      </c>
      <c r="T14" s="121" t="str">
        <f>IF(OR(AND(N14="Muy Baja",R14="Leve"),AND(N14="Muy Baja",R14="Menor"),AND(N14="Baja",R14="Leve")),"Bajo",IF(OR(AND(N14="Muy baja",R14="Moderado"),AND(N14="Baja",R14="Menor"),AND(N14="Baja",R14="Moderado"),AND(N14="Media",R14="Leve"),AND(N14="Media",R14="Menor"),AND(N14="Media",R14="Moderado"),AND(N14="Alta",R14="Leve"),AND(N14="Alta",R14="Menor")),"Moderado",IF(OR(AND(N14="Muy Baja",R14="Mayor"),AND(N14="Baja",R14="Mayor"),AND(N14="Media",R14="Mayor"),AND(N14="Alta",R14="Moderado"),AND(N14="Alta",R14="Mayor"),AND(N14="Muy Alta",R14="Leve"),AND(N14="Muy Alta",R14="Menor"),AND(N14="Muy Alta",R14="Moderado"),AND(N14="Muy Alta",R14="Mayor")),"Alto",IF(OR(AND(N14="Muy Baja",R14="Catastrófico"),AND(N14="Baja",R14="Catastrófico"),AND(N14="Media",R14="Catastrófico"),AND(N14="Alta",R14="Catastrófico"),AND(N14="Muy Alta",R14="Catastrófico")),"Extremo",""))))</f>
        <v>Moderado</v>
      </c>
      <c r="U14" s="116">
        <v>1</v>
      </c>
      <c r="V14" s="373" t="s">
        <v>299</v>
      </c>
      <c r="W14" s="373" t="s">
        <v>300</v>
      </c>
      <c r="X14" s="124" t="str">
        <f t="shared" ref="X14" si="22">IF(OR(Y14="Preventivo",Y14="Detectivo"),"Probabilidad",IF(Y14="Correctivo","Impacto",""))</f>
        <v>Probabilidad</v>
      </c>
      <c r="Y14" s="146" t="s">
        <v>15</v>
      </c>
      <c r="Z14" s="146" t="s">
        <v>9</v>
      </c>
      <c r="AA14" s="125" t="str">
        <f>IF(AND(Y14="Preventivo",Z14="Automático"),"50%",IF(AND(Y14="Preventivo",Z14="Manual"),"40%",IF(AND(Y14="Detectivo",Z14="Automático"),"40%",IF(AND(Y14="Detectivo",Z14="Manual"),"30%",IF(AND(Y14="Correctivo",Z14="Automático"),"35%",IF(AND(Y14="Correctivo",Z14="Manual"),"25%",""))))))</f>
        <v>30%</v>
      </c>
      <c r="AB14" s="146" t="s">
        <v>19</v>
      </c>
      <c r="AC14" s="146" t="s">
        <v>22</v>
      </c>
      <c r="AD14" s="146" t="s">
        <v>115</v>
      </c>
      <c r="AE14" s="356">
        <f>IFERROR(IF(X14="Probabilidad",(O14-(+O14*AA14)),IF(X14="Impacto",O14,"")),"")</f>
        <v>0.42</v>
      </c>
      <c r="AF14" s="357" t="str">
        <f>IFERROR(IF(AE14="","",IF(AE14&lt;=0.2,"Muy Baja",IF(AE14&lt;=0.4,"Baja",IF(AE14&lt;=0.6,"Media",IF(AE14&lt;=0.8,"Alta","Muy Alta"))))),"")</f>
        <v>Media</v>
      </c>
      <c r="AG14" s="125">
        <f>+AE14</f>
        <v>0.42</v>
      </c>
      <c r="AH14" s="357" t="str">
        <f>IFERROR(IF(AI14="","",IF(AI14&lt;=0.2,"Leve",IF(AI14&lt;=0.4,"Menor",IF(AI14&lt;=0.6,"Moderado",IF(AI14&lt;=0.8,"Mayor","Catastrófico"))))),"")</f>
        <v>Mayor</v>
      </c>
      <c r="AI14" s="125">
        <v>0.8</v>
      </c>
      <c r="AJ14" s="358" t="str">
        <f>IFERROR(IF(OR(AND(AF14="Muy Baja",AH14="Leve"),AND(AF14="Muy Baja",AH14="Menor"),AND(AF14="Baja",AH14="Leve")),"Bajo",IF(OR(AND(AF14="Muy baja",AH14="Moderado"),AND(AF14="Baja",AH14="Menor"),AND(AF14="Baja",AH14="Moderado"),AND(AF14="Media",AH14="Leve"),AND(AF14="Media",AH14="Menor"),AND(AF14="Media",AH14="Moderado"),AND(AF14="Alta",AH14="Leve"),AND(AF14="Alta",AH14="Menor")),"Moderado",IF(OR(AND(AF14="Muy Baja",AH14="Mayor"),AND(AF14="Baja",AH14="Mayor"),AND(AF14="Media",AH14="Mayor"),AND(AF14="Alta",AH14="Moderado"),AND(AF14="Alta",AH14="Mayor"),AND(AF14="Muy Alta",AH14="Leve"),AND(AF14="Muy Alta",AH14="Menor"),AND(AF14="Muy Alta",AH14="Moderado"),AND(AF14="Muy Alta",AH14="Mayor")),"Alto",IF(OR(AND(AF14="Muy Baja",AH14="Catastrófico"),AND(AF14="Baja",AH14="Catastrófico"),AND(AF14="Media",AH14="Catastrófico"),AND(AF14="Alta",AH14="Catastrófico"),AND(AF14="Muy Alta",AH14="Catastrófico")),"Extremo","")))),"")</f>
        <v>Alto</v>
      </c>
      <c r="AK14" s="146" t="s">
        <v>32</v>
      </c>
      <c r="AL14" s="422" t="s">
        <v>301</v>
      </c>
      <c r="AM14" s="422" t="s">
        <v>302</v>
      </c>
      <c r="AN14" s="429">
        <v>45657</v>
      </c>
      <c r="AO14" s="429">
        <v>45473</v>
      </c>
      <c r="AP14" s="5"/>
      <c r="AQ14" s="5"/>
      <c r="AR14" s="5"/>
      <c r="AS14" s="5"/>
      <c r="AT14" s="5"/>
    </row>
    <row r="15" spans="1:119" ht="213" customHeight="1" x14ac:dyDescent="0.3">
      <c r="A15" s="374">
        <v>7</v>
      </c>
      <c r="B15" s="475" t="s">
        <v>314</v>
      </c>
      <c r="C15" s="475" t="s">
        <v>315</v>
      </c>
      <c r="D15" s="374" t="s">
        <v>220</v>
      </c>
      <c r="E15" s="374" t="s">
        <v>231</v>
      </c>
      <c r="F15" s="375" t="s">
        <v>129</v>
      </c>
      <c r="G15" s="375" t="s">
        <v>304</v>
      </c>
      <c r="H15" s="375" t="s">
        <v>305</v>
      </c>
      <c r="I15" s="376" t="s">
        <v>306</v>
      </c>
      <c r="J15" s="375" t="s">
        <v>119</v>
      </c>
      <c r="K15" s="375" t="s">
        <v>237</v>
      </c>
      <c r="L15" s="375" t="s">
        <v>242</v>
      </c>
      <c r="M15" s="377">
        <v>15</v>
      </c>
      <c r="N15" s="378" t="str">
        <f>IF(M15&lt;=0,"",IF(M15&lt;=2,"Muy Baja",IF(M15&lt;=24,"Baja",IF(M15&lt;=500,"Media",IF(M15&lt;=5000,"Alta","Muy Alta")))))</f>
        <v>Baja</v>
      </c>
      <c r="O15" s="379">
        <f>IF(N15="","",IF(N15="Muy Baja",0.2,IF(N15="Baja",0.4,IF(N15="Media",0.6,IF(N15="Alta",0.8,IF(N15="Muy Alta",1,))))))</f>
        <v>0.4</v>
      </c>
      <c r="P15" s="380" t="s">
        <v>149</v>
      </c>
      <c r="Q15" s="379" t="str">
        <f>IF(NOT(ISERROR(MATCH(P15,'[9]Tabla Impacto'!$B$221:$B$223,0))),'[9]Tabla Impacto'!$F$223&amp;"Por favor no seleccionar los criterios de impacto(Afectación Económica o presupuestal y Pérdida Reputacional)",P15)</f>
        <v xml:space="preserve">     El riesgo afecta la imagen de de la entidad con efecto publicitario sostenido a nivel de sector administrativo, nivel departamental o municipal</v>
      </c>
      <c r="R15" s="378" t="str">
        <f>IF(OR(Q15='[9]Tabla Impacto'!$C$11,Q15='[9]Tabla Impacto'!$D$11),"Leve",IF(OR(Q15='[9]Tabla Impacto'!$C$12,Q15='[9]Tabla Impacto'!$D$12),"Menor",IF(OR(Q15='[9]Tabla Impacto'!$C$13,Q15='[9]Tabla Impacto'!$D$13),"Moderado",IF(OR(Q15='[9]Tabla Impacto'!$C$14,Q15='[9]Tabla Impacto'!$D$14),"Mayor",IF(OR(Q15='[9]Tabla Impacto'!$C$15,Q15='[9]Tabla Impacto'!$D$15),"Catastrófico","")))))</f>
        <v>Mayor</v>
      </c>
      <c r="S15" s="379">
        <f>IF(R15="","",IF(R15="Leve",0.2,IF(R15="Menor",0.4,IF(R15="Moderado",0.6,IF(R15="Mayor",0.8,IF(R15="Catastrófico",1,))))))</f>
        <v>0.8</v>
      </c>
      <c r="T15" s="381" t="str">
        <f>IF(OR(AND(N15="Muy Baja",R15="Leve"),AND(N15="Muy Baja",R15="Menor"),AND(N15="Baja",R15="Leve")),"Bajo",IF(OR(AND(N15="Muy baja",R15="Moderado"),AND(N15="Baja",R15="Menor"),AND(N15="Baja",R15="Moderado"),AND(N15="Media",R15="Leve"),AND(N15="Media",R15="Menor"),AND(N15="Media",R15="Moderado"),AND(N15="Alta",R15="Leve"),AND(N15="Alta",R15="Menor")),"Moderado",IF(OR(AND(N15="Muy Baja",R15="Mayor"),AND(N15="Baja",R15="Mayor"),AND(N15="Media",R15="Mayor"),AND(N15="Alta",R15="Moderado"),AND(N15="Alta",R15="Mayor"),AND(N15="Muy Alta",R15="Leve"),AND(N15="Muy Alta",R15="Menor"),AND(N15="Muy Alta",R15="Moderado"),AND(N15="Muy Alta",R15="Mayor")),"Alto",IF(OR(AND(N15="Muy Baja",R15="Catastrófico"),AND(N15="Baja",R15="Catastrófico"),AND(N15="Media",R15="Catastrófico"),AND(N15="Alta",R15="Catastrófico"),AND(N15="Muy Alta",R15="Catastrófico")),"Extremo",""))))</f>
        <v>Alto</v>
      </c>
      <c r="U15" s="374">
        <v>1</v>
      </c>
      <c r="V15" s="382" t="s">
        <v>307</v>
      </c>
      <c r="W15" s="382" t="s">
        <v>308</v>
      </c>
      <c r="X15" s="383" t="str">
        <f>IF(OR(Y15="Preventivo",Y15="Detectivo"),"Probabilidad",IF(Y15="Correctivo","Impacto",""))</f>
        <v>Probabilidad</v>
      </c>
      <c r="Y15" s="384" t="s">
        <v>14</v>
      </c>
      <c r="Z15" s="384" t="s">
        <v>10</v>
      </c>
      <c r="AA15" s="384" t="str">
        <f>IF(AND(Y15="Preventivo",Z15="Automático"),"50%",IF(AND(Y15="Preventivo",Z15="Manual"),"40%",IF(AND(Y15="Detectivo",Z15="Automático"),"40%",IF(AND(Y15="Detectivo",Z15="Manual"),"30%",IF(AND(Y15="Correctivo",Z15="Automático"),"35%",IF(AND(Y15="Correctivo",Z15="Manual"),"25%",""))))))</f>
        <v>50%</v>
      </c>
      <c r="AB15" s="384" t="s">
        <v>19</v>
      </c>
      <c r="AC15" s="384" t="s">
        <v>22</v>
      </c>
      <c r="AD15" s="384" t="s">
        <v>115</v>
      </c>
      <c r="AE15" s="476">
        <f>IFERROR(IF(X15="Probabilidad",(O15-(+O15*AA15)),IF(X15="Impacto",O15,"")),"")</f>
        <v>0.2</v>
      </c>
      <c r="AF15" s="477" t="str">
        <f>IFERROR(IF(AE15="","",IF(AE15&lt;=0.2,"Muy Baja",IF(AE15&lt;=0.4,"Baja",IF(AE15&lt;=0.6,"Media",IF(AE15&lt;=0.8,"Alta","Muy Alta"))))),"")</f>
        <v>Muy Baja</v>
      </c>
      <c r="AG15" s="478">
        <f>+AE15</f>
        <v>0.2</v>
      </c>
      <c r="AH15" s="477" t="str">
        <f>IFERROR(IF(AI15="","",IF(AI15&lt;=0.2,"Leve",IF(AI15&lt;=0.4,"Menor",IF(AI15&lt;=0.6,"Moderado",IF(AI15&lt;=0.8,"Mayor","Catastrófico"))))),"")</f>
        <v>Mayor</v>
      </c>
      <c r="AI15" s="478">
        <f>IFERROR(IF(X15="Impacto",(S15-(+S15*AA15)),IF(X15="Probabilidad",S15,"")),"")</f>
        <v>0.8</v>
      </c>
      <c r="AJ15" s="479" t="str">
        <f>IFERROR(IF(OR(AND(AF15="Muy Baja",AH15="Leve"),AND(AF15="Muy Baja",AH15="Menor"),AND(AF15="Baja",AH15="Leve")),"Bajo",IF(OR(AND(AF15="Muy baja",AH15="Moderado"),AND(AF15="Baja",AH15="Menor"),AND(AF15="Baja",AH15="Moderado"),AND(AF15="Media",AH15="Leve"),AND(AF15="Media",AH15="Menor"),AND(AF15="Media",AH15="Moderado"),AND(AF15="Alta",AH15="Leve"),AND(AF15="Alta",AH15="Menor")),"Moderado",IF(OR(AND(AF15="Muy Baja",AH15="Mayor"),AND(AF15="Baja",AH15="Mayor"),AND(AF15="Media",AH15="Mayor"),AND(AF15="Alta",AH15="Moderado"),AND(AF15="Alta",AH15="Mayor"),AND(AF15="Muy Alta",AH15="Leve"),AND(AF15="Muy Alta",AH15="Menor"),AND(AF15="Muy Alta",AH15="Moderado"),AND(AF15="Muy Alta",AH15="Mayor")),"Alto",IF(OR(AND(AF15="Muy Baja",AH15="Catastrófico"),AND(AF15="Baja",AH15="Catastrófico"),AND(AF15="Media",AH15="Catastrófico"),AND(AF15="Alta",AH15="Catastrófico"),AND(AF15="Muy Alta",AH15="Catastrófico")),"Extremo","")))),"")</f>
        <v>Alto</v>
      </c>
      <c r="AK15" s="384" t="s">
        <v>131</v>
      </c>
      <c r="AL15" s="382" t="s">
        <v>309</v>
      </c>
      <c r="AM15" s="422" t="s">
        <v>310</v>
      </c>
      <c r="AN15" s="385" t="s">
        <v>311</v>
      </c>
      <c r="AO15" s="386">
        <v>45292</v>
      </c>
      <c r="AP15" s="5"/>
      <c r="AQ15" s="5"/>
      <c r="AR15" s="5"/>
      <c r="AS15" s="5"/>
      <c r="AT15" s="5"/>
    </row>
    <row r="16" spans="1:119" ht="213" customHeight="1" x14ac:dyDescent="0.3">
      <c r="A16" s="374"/>
      <c r="B16" s="475"/>
      <c r="C16" s="475"/>
      <c r="D16" s="374"/>
      <c r="E16" s="374"/>
      <c r="F16" s="375"/>
      <c r="G16" s="375"/>
      <c r="H16" s="375"/>
      <c r="I16" s="376"/>
      <c r="J16" s="375"/>
      <c r="K16" s="375"/>
      <c r="L16" s="375"/>
      <c r="M16" s="377"/>
      <c r="N16" s="378" t="str">
        <f t="shared" ref="N16" si="23">IF(M16&lt;=0,"",IF(M16&lt;=2,"Muy Baja",IF(M16&lt;=24,"Baja",IF(M16&lt;=500,"Media",IF(M16&lt;=5000,"Alta","Muy Alta")))))</f>
        <v/>
      </c>
      <c r="O16" s="379"/>
      <c r="P16" s="380"/>
      <c r="Q16" s="379"/>
      <c r="R16" s="378"/>
      <c r="S16" s="379"/>
      <c r="T16" s="381"/>
      <c r="U16" s="374"/>
      <c r="V16" s="382"/>
      <c r="W16" s="382"/>
      <c r="X16" s="383"/>
      <c r="Y16" s="384"/>
      <c r="Z16" s="384"/>
      <c r="AA16" s="384"/>
      <c r="AB16" s="384"/>
      <c r="AC16" s="384"/>
      <c r="AD16" s="384"/>
      <c r="AE16" s="476"/>
      <c r="AF16" s="477"/>
      <c r="AG16" s="478"/>
      <c r="AH16" s="477"/>
      <c r="AI16" s="478"/>
      <c r="AJ16" s="479"/>
      <c r="AK16" s="384"/>
      <c r="AL16" s="382"/>
      <c r="AM16" s="142" t="s">
        <v>312</v>
      </c>
      <c r="AN16" s="422" t="s">
        <v>313</v>
      </c>
      <c r="AO16" s="386">
        <v>45292</v>
      </c>
      <c r="AP16" s="5"/>
      <c r="AQ16" s="5"/>
      <c r="AR16" s="5"/>
      <c r="AS16" s="5"/>
      <c r="AT16" s="5"/>
    </row>
    <row r="17" spans="1:46" ht="213" customHeight="1" x14ac:dyDescent="0.3">
      <c r="A17" s="116">
        <v>8</v>
      </c>
      <c r="B17" s="142" t="s">
        <v>326</v>
      </c>
      <c r="C17" s="142" t="s">
        <v>327</v>
      </c>
      <c r="D17" s="387" t="s">
        <v>220</v>
      </c>
      <c r="E17" s="388" t="s">
        <v>232</v>
      </c>
      <c r="F17" s="117" t="s">
        <v>316</v>
      </c>
      <c r="G17" s="117" t="s">
        <v>317</v>
      </c>
      <c r="H17" s="117" t="s">
        <v>318</v>
      </c>
      <c r="I17" s="117" t="s">
        <v>319</v>
      </c>
      <c r="J17" s="117" t="s">
        <v>121</v>
      </c>
      <c r="K17" s="117" t="s">
        <v>237</v>
      </c>
      <c r="L17" s="117" t="s">
        <v>242</v>
      </c>
      <c r="M17" s="389">
        <v>24</v>
      </c>
      <c r="N17" s="390" t="str">
        <f>IF(M17&lt;=0,"",IF(M17&lt;=2,"Muy Baja",IF(M17&lt;=24,"Baja",IF(M17&lt;=500,"Media",IF(M17&lt;=5000,"Alta","Muy Alta")))))</f>
        <v>Baja</v>
      </c>
      <c r="O17" s="391">
        <f>IF(N17="","",IF(N17="Muy Baja",0.2,IF(N17="Baja",0.4,IF(N17="Media",0.6,IF(N17="Alta",0.8,IF(N17="Muy Alta",1,))))))</f>
        <v>0.4</v>
      </c>
      <c r="P17" s="392" t="s">
        <v>148</v>
      </c>
      <c r="Q17" s="391" t="str">
        <f>IF(NOT(ISERROR(MATCH(P17,'[10]Tabla Impacto'!$B$221:$B$223,0))),'[10]Tabla Impacto'!$F$223&amp;"Por favor no seleccionar los criterios de impacto(Afectación Económica o presupuestal y Pérdida Reputacional)",P17)</f>
        <v xml:space="preserve">     El riesgo afecta la imagen de la entidad con algunos usuarios de relevancia frente al logro de los objetivos</v>
      </c>
      <c r="R17" s="393" t="str">
        <f>IF(OR(Q17='[10]Tabla Impacto'!$C$11,Q17='[10]Tabla Impacto'!$D$11),"Leve",IF(OR(Q17='[10]Tabla Impacto'!$C$12,Q17='[10]Tabla Impacto'!$D$12),"Menor",IF(OR(Q17='[10]Tabla Impacto'!$C$13,Q17='[10]Tabla Impacto'!$D$13),"Moderado",IF(OR(Q17='[10]Tabla Impacto'!$C$14,Q17='[10]Tabla Impacto'!$D$14),"Mayor",IF(OR(Q17='[10]Tabla Impacto'!$C$15,Q17='[10]Tabla Impacto'!$D$15),"Catastrófico","")))))</f>
        <v>Moderado</v>
      </c>
      <c r="S17" s="391">
        <f>IF(R17="","",IF(R17="Leve",0.2,IF(R17="Menor",0.4,IF(R17="Moderado",0.6,IF(R17="Mayor",0.8,IF(R17="Catastrófico",1,))))))</f>
        <v>0.6</v>
      </c>
      <c r="T17" s="394"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Moderado</v>
      </c>
      <c r="U17" s="387">
        <v>1</v>
      </c>
      <c r="V17" s="395" t="s">
        <v>320</v>
      </c>
      <c r="W17" s="395" t="s">
        <v>321</v>
      </c>
      <c r="X17" s="396" t="str">
        <f>IF(OR(Y17="Preventivo",Y17="Detectivo"),"Probabilidad",IF(Y17="Correctivo","Impacto",""))</f>
        <v>Probabilidad</v>
      </c>
      <c r="Y17" s="397" t="s">
        <v>14</v>
      </c>
      <c r="Z17" s="397" t="s">
        <v>9</v>
      </c>
      <c r="AA17" s="398" t="str">
        <f t="shared" ref="AA17" si="24">IF(AND(Y17="Preventivo",Z17="Automático"),"50%",IF(AND(Y17="Preventivo",Z17="Manual"),"40%",IF(AND(Y17="Detectivo",Z17="Automático"),"40%",IF(AND(Y17="Detectivo",Z17="Manual"),"30%",IF(AND(Y17="Correctivo",Z17="Automático"),"35%",IF(AND(Y17="Correctivo",Z17="Manual"),"25%",""))))))</f>
        <v>40%</v>
      </c>
      <c r="AB17" s="397" t="s">
        <v>19</v>
      </c>
      <c r="AC17" s="397" t="s">
        <v>22</v>
      </c>
      <c r="AD17" s="397" t="s">
        <v>115</v>
      </c>
      <c r="AE17" s="399">
        <f>IFERROR(IF(X17="Probabilidad",(O17-(+O17*AA17)),IF(X17="Impacto",O17,"")),"")</f>
        <v>0.24</v>
      </c>
      <c r="AF17" s="400" t="str">
        <f>IFERROR(IF(AE17="","",IF(AE17&lt;=0.2,"Muy Baja",IF(AE17&lt;=0.4,"Baja",IF(AE17&lt;=0.6,"Media",IF(AE17&lt;=0.8,"Alta","Muy Alta"))))),"")</f>
        <v>Baja</v>
      </c>
      <c r="AG17" s="398">
        <f>+AE17</f>
        <v>0.24</v>
      </c>
      <c r="AH17" s="400" t="str">
        <f t="shared" ref="AH17" si="25">IFERROR(IF(AI17="","",IF(AI17&lt;=0.2,"Leve",IF(AI17&lt;=0.4,"Menor",IF(AI17&lt;=0.6,"Moderado",IF(AI17&lt;=0.8,"Mayor","Catastrófico"))))),"")</f>
        <v>Moderado</v>
      </c>
      <c r="AI17" s="398">
        <f>IFERROR(IF(X17="Impacto",(S17-(+S17*AA17)),IF(X17="Probabilidad",S17,"")),"")</f>
        <v>0.6</v>
      </c>
      <c r="AJ17" s="401" t="str">
        <f t="shared" ref="AJ17" si="26">IFERROR(IF(OR(AND(AF17="Muy Baja",AH17="Leve"),AND(AF17="Muy Baja",AH17="Menor"),AND(AF17="Baja",AH17="Leve")),"Bajo",IF(OR(AND(AF17="Muy baja",AH17="Moderado"),AND(AF17="Baja",AH17="Menor"),AND(AF17="Baja",AH17="Moderado"),AND(AF17="Media",AH17="Leve"),AND(AF17="Media",AH17="Menor"),AND(AF17="Media",AH17="Moderado"),AND(AF17="Alta",AH17="Leve"),AND(AF17="Alta",AH17="Menor")),"Moderado",IF(OR(AND(AF17="Muy Baja",AH17="Mayor"),AND(AF17="Baja",AH17="Mayor"),AND(AF17="Media",AH17="Mayor"),AND(AF17="Alta",AH17="Moderado"),AND(AF17="Alta",AH17="Mayor"),AND(AF17="Muy Alta",AH17="Leve"),AND(AF17="Muy Alta",AH17="Menor"),AND(AF17="Muy Alta",AH17="Moderado"),AND(AF17="Muy Alta",AH17="Mayor")),"Alto",IF(OR(AND(AF17="Muy Baja",AH17="Catastrófico"),AND(AF17="Baja",AH17="Catastrófico"),AND(AF17="Media",AH17="Catastrófico"),AND(AF17="Alta",AH17="Catastrófico"),AND(AF17="Muy Alta",AH17="Catastrófico")),"Extremo","")))),"")</f>
        <v>Moderado</v>
      </c>
      <c r="AK17" s="397" t="s">
        <v>32</v>
      </c>
      <c r="AL17" s="117" t="s">
        <v>322</v>
      </c>
      <c r="AM17" s="441" t="s">
        <v>323</v>
      </c>
      <c r="AN17" s="117" t="s">
        <v>324</v>
      </c>
      <c r="AO17" s="402" t="s">
        <v>325</v>
      </c>
      <c r="AP17" s="456"/>
      <c r="AQ17" s="5"/>
      <c r="AR17" s="5"/>
      <c r="AS17" s="5"/>
      <c r="AT17" s="5"/>
    </row>
    <row r="18" spans="1:46" ht="213" customHeight="1" x14ac:dyDescent="0.3">
      <c r="A18" s="116">
        <v>9</v>
      </c>
      <c r="B18" s="142" t="s">
        <v>336</v>
      </c>
      <c r="C18" s="142" t="s">
        <v>337</v>
      </c>
      <c r="D18" s="403" t="s">
        <v>220</v>
      </c>
      <c r="E18" s="404" t="s">
        <v>232</v>
      </c>
      <c r="F18" s="431" t="s">
        <v>129</v>
      </c>
      <c r="G18" s="431" t="s">
        <v>328</v>
      </c>
      <c r="H18" s="431" t="s">
        <v>329</v>
      </c>
      <c r="I18" s="405" t="s">
        <v>330</v>
      </c>
      <c r="J18" s="405" t="s">
        <v>119</v>
      </c>
      <c r="K18" s="431" t="s">
        <v>237</v>
      </c>
      <c r="L18" s="431" t="s">
        <v>239</v>
      </c>
      <c r="M18" s="406">
        <v>24</v>
      </c>
      <c r="N18" s="393" t="str">
        <f>IF(M18&lt;=0,"",IF(M18&lt;=2,"Muy Baja",IF(M18&lt;=24,"Baja",IF(M18&lt;=500,"Media",IF(M18&lt;=5000,"Alta","Muy Alta")))))</f>
        <v>Baja</v>
      </c>
      <c r="O18" s="434">
        <f>IF(N18="","",IF(N18="Muy Baja",0.2,IF(N18="Baja",0.4,IF(N18="Media",0.6,IF(N18="Alta",0.8,IF(N18="Muy Alta",1,))))))</f>
        <v>0.4</v>
      </c>
      <c r="P18" s="392" t="s">
        <v>148</v>
      </c>
      <c r="Q18" s="434" t="str">
        <f>IF(NOT(ISERROR(MATCH(P18,'[11]Tabla Impacto'!$B$221:$B$223,0))),'[11]Tabla Impacto'!$F$223&amp;"Por favor no seleccionar los criterios de impacto(Afectación Económica o presupuestal y Pérdida Reputacional)",P18)</f>
        <v xml:space="preserve">     El riesgo afecta la imagen de la entidad con algunos usuarios de relevancia frente al logro de los objetivos</v>
      </c>
      <c r="R18" s="393" t="str">
        <f>IF(OR(Q18='[11]Tabla Impacto'!$C$11,Q18='[11]Tabla Impacto'!$D$11),"Leve",IF(OR(Q18='[11]Tabla Impacto'!$C$12,Q18='[11]Tabla Impacto'!$D$12),"Menor",IF(OR(Q18='[11]Tabla Impacto'!$C$13,Q18='[11]Tabla Impacto'!$D$13),"Moderado",IF(OR(Q18='[11]Tabla Impacto'!$C$14,Q18='[11]Tabla Impacto'!$D$14),"Mayor",IF(OR(Q18='[11]Tabla Impacto'!$C$15,Q18='[11]Tabla Impacto'!$D$15),"Catastrófico","")))))</f>
        <v>Moderado</v>
      </c>
      <c r="S18" s="434">
        <v>0.5</v>
      </c>
      <c r="T18" s="407" t="str">
        <f>IF(OR(AND(N18="Muy Baja",R18="Leve"),AND(N18="Muy Baja",R18="Menor"),AND(N18="Baja",R18="Leve")),"Bajo",IF(OR(AND(N18="Muy baja",R18="Moderado"),AND(N18="Baja",R18="Menor"),AND(N18="Baja",R18="Moderado"),AND(N18="Media",R18="Leve"),AND(N18="Media",R18="Menor"),AND(N18="Media",R18="Moderado"),AND(N18="Alta",R18="Leve"),AND(N18="Alta",R18="Menor")),"Moderado",IF(OR(AND(N18="Muy Baja",R18="Mayor"),AND(N18="Baja",R18="Mayor"),AND(N18="Media",R18="Mayor"),AND(N18="Alta",R18="Moderado"),AND(N18="Alta",R18="Mayor"),AND(N18="Muy Alta",R18="Leve"),AND(N18="Muy Alta",R18="Menor"),AND(N18="Muy Alta",R18="Moderado"),AND(N18="Muy Alta",R18="Mayor")),"Alto",IF(OR(AND(N18="Muy Baja",R18="Catastrófico"),AND(N18="Baja",R18="Catastrófico"),AND(N18="Media",R18="Catastrófico"),AND(N18="Alta",R18="Catastrófico"),AND(N18="Muy Alta",R18="Catastrófico")),"Extremo",""))))</f>
        <v>Moderado</v>
      </c>
      <c r="U18" s="403">
        <v>1</v>
      </c>
      <c r="V18" s="123" t="s">
        <v>331</v>
      </c>
      <c r="W18" s="123" t="s">
        <v>332</v>
      </c>
      <c r="X18" s="408" t="str">
        <f>IF(OR(Y18="Preventivo",Y18="Detectivo"),"Probabilidad",IF(Y18="Correctivo","Impacto",""))</f>
        <v>Probabilidad</v>
      </c>
      <c r="Y18" s="409" t="s">
        <v>14</v>
      </c>
      <c r="Z18" s="409" t="s">
        <v>9</v>
      </c>
      <c r="AA18" s="410" t="str">
        <f>IF(AND(Y18="Preventivo",Z18="Automático"),"50%",IF(AND(Y18="Preventivo",Z18="Manual"),"40%",IF(AND(Y18="Detectivo",Z18="Automático"),"40%",IF(AND(Y18="Detectivo",Z18="Manual"),"30%",IF(AND(Y18="Correctivo",Z18="Automático"),"35%",IF(AND(Y18="Correctivo",Z18="Manual"),"25%",""))))))</f>
        <v>40%</v>
      </c>
      <c r="AB18" s="409" t="s">
        <v>20</v>
      </c>
      <c r="AC18" s="409" t="s">
        <v>23</v>
      </c>
      <c r="AD18" s="409" t="s">
        <v>116</v>
      </c>
      <c r="AE18" s="411">
        <f>IFERROR(IF(X18="Probabilidad",(O18-(+O18*AA18)),IF(X18="Impacto",O18,"")),"")</f>
        <v>0.24</v>
      </c>
      <c r="AF18" s="435" t="str">
        <f>IFERROR(IF(AE18="","",IF(AE18&lt;=0.2,"Muy Baja",IF(AE18&lt;=0.4,"Baja",IF(AE18&lt;=0.6,"Media",IF(AE18&lt;=0.8,"Alta","Muy Alta"))))),"")</f>
        <v>Baja</v>
      </c>
      <c r="AG18" s="410">
        <f>+AE18</f>
        <v>0.24</v>
      </c>
      <c r="AH18" s="435" t="str">
        <f>IFERROR(IF(AI18="","",IF(AI18&lt;=0.2,"Leve",IF(AI18&lt;=0.4,"Menor",IF(AI18&lt;=0.6,"Moderado",IF(AI18&lt;=0.8,"Mayor","Catastrófico"))))),"")</f>
        <v>Moderado</v>
      </c>
      <c r="AI18" s="410">
        <f>IFERROR(IF(X18="Impacto",(S18-(+S18*AA18)),IF(X18="Probabilidad",S18,"")),"")</f>
        <v>0.5</v>
      </c>
      <c r="AJ18" s="412" t="str">
        <f>IFERROR(IF(OR(AND(AF18="Muy Baja",AH18="Leve"),AND(AF18="Muy Baja",AH18="Menor"),AND(AF18="Baja",AH18="Leve")),"Bajo",IF(OR(AND(AF18="Muy baja",AH18="Moderado"),AND(AF18="Baja",AH18="Menor"),AND(AF18="Baja",AH18="Moderado"),AND(AF18="Media",AH18="Leve"),AND(AF18="Media",AH18="Menor"),AND(AF18="Media",AH18="Moderado"),AND(AF18="Alta",AH18="Leve"),AND(AF18="Alta",AH18="Menor")),"Moderado",IF(OR(AND(AF18="Muy Baja",AH18="Mayor"),AND(AF18="Baja",AH18="Mayor"),AND(AF18="Media",AH18="Mayor"),AND(AF18="Alta",AH18="Moderado"),AND(AF18="Alta",AH18="Mayor"),AND(AF18="Muy Alta",AH18="Leve"),AND(AF18="Muy Alta",AH18="Menor"),AND(AF18="Muy Alta",AH18="Moderado"),AND(AF18="Muy Alta",AH18="Mayor")),"Alto",IF(OR(AND(AF18="Muy Baja",AH18="Catastrófico"),AND(AF18="Baja",AH18="Catastrófico"),AND(AF18="Media",AH18="Catastrófico"),AND(AF18="Alta",AH18="Catastrófico"),AND(AF18="Muy Alta",AH18="Catastrófico")),"Extremo","")))),"")</f>
        <v>Moderado</v>
      </c>
      <c r="AK18" s="409" t="s">
        <v>131</v>
      </c>
      <c r="AL18" s="413" t="s">
        <v>333</v>
      </c>
      <c r="AM18" s="414" t="s">
        <v>334</v>
      </c>
      <c r="AN18" s="431" t="s">
        <v>335</v>
      </c>
      <c r="AO18" s="429">
        <v>45302</v>
      </c>
      <c r="AP18" s="5"/>
      <c r="AQ18" s="5"/>
      <c r="AR18" s="5"/>
      <c r="AS18" s="5"/>
      <c r="AT18" s="5"/>
    </row>
    <row r="19" spans="1:46" ht="213" customHeight="1" x14ac:dyDescent="0.3">
      <c r="A19" s="374">
        <v>10</v>
      </c>
      <c r="B19" s="475" t="s">
        <v>338</v>
      </c>
      <c r="C19" s="475" t="s">
        <v>339</v>
      </c>
      <c r="D19" s="374" t="s">
        <v>220</v>
      </c>
      <c r="E19" s="475" t="s">
        <v>232</v>
      </c>
      <c r="F19" s="375" t="s">
        <v>129</v>
      </c>
      <c r="G19" s="375" t="s">
        <v>340</v>
      </c>
      <c r="H19" s="375" t="s">
        <v>341</v>
      </c>
      <c r="I19" s="376" t="s">
        <v>342</v>
      </c>
      <c r="J19" s="375" t="s">
        <v>121</v>
      </c>
      <c r="K19" s="375" t="s">
        <v>238</v>
      </c>
      <c r="L19" s="375" t="s">
        <v>242</v>
      </c>
      <c r="M19" s="377">
        <v>50</v>
      </c>
      <c r="N19" s="417" t="str">
        <f>IF(M19&lt;=0,"",IF(M19&lt;=2,"Muy Baja",IF(M19&lt;=24,"Baja",IF(M19&lt;=500,"Media",IF(M19&lt;=5000,"Alta","Muy Alta")))))</f>
        <v>Media</v>
      </c>
      <c r="O19" s="418">
        <f>IF(N19="","",IF(N19="Muy Baja",0.2,IF(N19="Baja",0.4,IF(N19="Media",0.6,IF(N19="Alta",0.8,IF(N19="Muy Alta",1,))))))</f>
        <v>0.6</v>
      </c>
      <c r="P19" s="455" t="s">
        <v>144</v>
      </c>
      <c r="Q19" s="418" t="str">
        <f ca="1">IF(NOT(ISERROR(MATCH(P19,_xlfn.ANCHORARRAY(#REF!),0))),#REF!&amp;"Por favor no seleccionar los criterios de impacto",P19)</f>
        <v xml:space="preserve">     Entre 100 y 500 SMLMV </v>
      </c>
      <c r="R19" s="417" t="str">
        <f ca="1">IF(OR(Q19='[13]Tabla Impacto'!$C$11,Q19='[13]Tabla Impacto'!$D$11),"Leve",IF(OR(Q19='[13]Tabla Impacto'!$C$12,Q19='[13]Tabla Impacto'!$D$12),"Menor",IF(OR(Q19='[13]Tabla Impacto'!$C$13,Q19='[13]Tabla Impacto'!$D$13),"Moderado",IF(OR(Q19='[13]Tabla Impacto'!$C$14,Q19='[13]Tabla Impacto'!$D$14),"Mayor",IF(OR(Q19='[13]Tabla Impacto'!$C$15,Q19='[13]Tabla Impacto'!$D$15),"Catastrófico","")))))</f>
        <v>Mayor</v>
      </c>
      <c r="S19" s="418">
        <f ca="1">IF(R19="","",IF(R19="Leve",0.2,IF(R19="Menor",0.4,IF(R19="Moderado",0.6,IF(R19="Mayor",0.8,IF(R19="Catastrófico",1,))))))</f>
        <v>0.8</v>
      </c>
      <c r="T19" s="480" t="str">
        <f ca="1">IF(OR(AND(N19="Muy Baja",R19="Leve"),AND(N19="Muy Baja",R19="Menor"),AND(N19="Baja",R19="Leve")),"Bajo",IF(OR(AND(N19="Muy baja",R19="Moderado"),AND(N19="Baja",R19="Menor"),AND(N19="Baja",R19="Moderado"),AND(N19="Media",R19="Leve"),AND(N19="Media",R19="Menor"),AND(N19="Media",R19="Moderado"),AND(N19="Alta",R19="Leve"),AND(N19="Alta",R19="Menor")),"Moderado",IF(OR(AND(N19="Muy Baja",R19="Mayor"),AND(N19="Baja",R19="Mayor"),AND(N19="Media",R19="Mayor"),AND(N19="Alta",R19="Moderado"),AND(N19="Alta",R19="Mayor"),AND(N19="Muy Alta",R19="Leve"),AND(N19="Muy Alta",R19="Menor"),AND(N19="Muy Alta",R19="Moderado"),AND(N19="Muy Alta",R19="Mayor")),"Alto",IF(OR(AND(N19="Muy Baja",R19="Catastrófico"),AND(N19="Baja",R19="Catastrófico"),AND(N19="Media",R19="Catastrófico"),AND(N19="Alta",R19="Catastrófico"),AND(N19="Muy Alta",R19="Catastrófico")),"Extremo",""))))</f>
        <v>Alto</v>
      </c>
      <c r="U19" s="116">
        <v>1</v>
      </c>
      <c r="V19" s="422" t="s">
        <v>343</v>
      </c>
      <c r="W19" s="139" t="s">
        <v>344</v>
      </c>
      <c r="X19" s="124" t="s">
        <v>4</v>
      </c>
      <c r="Y19" s="424" t="s">
        <v>14</v>
      </c>
      <c r="Z19" s="424" t="s">
        <v>9</v>
      </c>
      <c r="AA19" s="425" t="s">
        <v>248</v>
      </c>
      <c r="AB19" s="424" t="s">
        <v>19</v>
      </c>
      <c r="AC19" s="424" t="s">
        <v>22</v>
      </c>
      <c r="AD19" s="424" t="s">
        <v>116</v>
      </c>
      <c r="AE19" s="411">
        <f>IFERROR(IF(X19="Probabilidad",(O19-(+O19*AA19)),IF(X19="Impacto",O19,"")),"")</f>
        <v>0.36</v>
      </c>
      <c r="AF19" s="435" t="str">
        <f>IFERROR(IF(AE19="","",IF(AE19&lt;=0.2,"Muy Baja",IF(AE19&lt;=0.4,"Baja",IF(AE19&lt;=0.6,"Media",IF(AE19&lt;=0.8,"Alta","Muy Alta"))))),"")</f>
        <v>Baja</v>
      </c>
      <c r="AG19" s="410">
        <f t="shared" ref="AG19:AG21" si="27">+AE19</f>
        <v>0.36</v>
      </c>
      <c r="AH19" s="435" t="str">
        <f ca="1">IFERROR(IF(AI19="","",IF(AI19&lt;=0.2,"Leve",IF(AI19&lt;=0.4,"Menor",IF(AI19&lt;=0.6,"Moderado",IF(AI19&lt;=0.8,"Mayor","Catastrófico"))))),"")</f>
        <v>Mayor</v>
      </c>
      <c r="AI19" s="410">
        <f ca="1">IFERROR(IF(X19="Impacto",(S19-(+S19*AA19)),IF(X19="Probabilidad",S19,"")),"")</f>
        <v>0.8</v>
      </c>
      <c r="AJ19" s="412" t="str">
        <f t="shared" ref="AJ19:AJ21" ca="1" si="28">IFERROR(IF(OR(AND(AF19="Muy Baja",AH19="Leve"),AND(AF19="Muy Baja",AH19="Menor"),AND(AF19="Baja",AH19="Leve")),"Bajo",IF(OR(AND(AF19="Muy baja",AH19="Moderado"),AND(AF19="Baja",AH19="Menor"),AND(AF19="Baja",AH19="Moderado"),AND(AF19="Media",AH19="Leve"),AND(AF19="Media",AH19="Menor"),AND(AF19="Media",AH19="Moderado"),AND(AF19="Alta",AH19="Leve"),AND(AF19="Alta",AH19="Menor")),"Moderado",IF(OR(AND(AF19="Muy Baja",AH19="Mayor"),AND(AF19="Baja",AH19="Mayor"),AND(AF19="Media",AH19="Mayor"),AND(AF19="Alta",AH19="Moderado"),AND(AF19="Alta",AH19="Mayor"),AND(AF19="Muy Alta",AH19="Leve"),AND(AF19="Muy Alta",AH19="Menor"),AND(AF19="Muy Alta",AH19="Moderado"),AND(AF19="Muy Alta",AH19="Mayor")),"Alto",IF(OR(AND(AF19="Muy Baja",AH19="Catastrófico"),AND(AF19="Baja",AH19="Catastrófico"),AND(AF19="Media",AH19="Catastrófico"),AND(AF19="Alta",AH19="Catastrófico"),AND(AF19="Muy Alta",AH19="Catastrófico")),"Extremo","")))),"")</f>
        <v>Alto</v>
      </c>
      <c r="AK19" s="424" t="s">
        <v>131</v>
      </c>
      <c r="AL19" s="139" t="s">
        <v>345</v>
      </c>
      <c r="AM19" s="139" t="s">
        <v>346</v>
      </c>
      <c r="AN19" s="139" t="s">
        <v>347</v>
      </c>
      <c r="AO19" s="459"/>
      <c r="AP19" s="5"/>
      <c r="AQ19" s="5"/>
      <c r="AR19" s="5"/>
      <c r="AS19" s="5"/>
      <c r="AT19" s="5"/>
    </row>
    <row r="20" spans="1:46" ht="213" customHeight="1" x14ac:dyDescent="0.3">
      <c r="A20" s="374"/>
      <c r="B20" s="475"/>
      <c r="C20" s="475"/>
      <c r="D20" s="374"/>
      <c r="E20" s="475"/>
      <c r="F20" s="375"/>
      <c r="G20" s="375"/>
      <c r="H20" s="375"/>
      <c r="I20" s="376"/>
      <c r="J20" s="375"/>
      <c r="K20" s="375"/>
      <c r="L20" s="375"/>
      <c r="M20" s="377"/>
      <c r="N20" s="417"/>
      <c r="O20" s="418"/>
      <c r="P20" s="455"/>
      <c r="Q20" s="418"/>
      <c r="R20" s="417"/>
      <c r="S20" s="418"/>
      <c r="T20" s="480"/>
      <c r="U20" s="116">
        <v>2</v>
      </c>
      <c r="V20" s="422" t="s">
        <v>348</v>
      </c>
      <c r="W20" s="422" t="s">
        <v>349</v>
      </c>
      <c r="X20" s="124" t="s">
        <v>4</v>
      </c>
      <c r="Y20" s="424" t="s">
        <v>14</v>
      </c>
      <c r="Z20" s="424" t="s">
        <v>9</v>
      </c>
      <c r="AA20" s="425" t="s">
        <v>248</v>
      </c>
      <c r="AB20" s="424" t="s">
        <v>19</v>
      </c>
      <c r="AC20" s="424" t="s">
        <v>22</v>
      </c>
      <c r="AD20" s="424" t="s">
        <v>116</v>
      </c>
      <c r="AE20" s="436">
        <f>IFERROR(IF(AND(X19="Probabilidad",X20="Probabilidad"),(AG19-(+AG19*AA20)),IF(X20="Probabilidad",(P19-(+P19*AA20)),IF(X20="Impacto",AG19,""))),"")</f>
        <v>0.216</v>
      </c>
      <c r="AF20" s="435" t="str">
        <f t="shared" ref="AF20" si="29">IFERROR(IF(AE20="","",IF(AE20&lt;=0.2,"Muy Baja",IF(AE20&lt;=0.4,"Baja",IF(AE20&lt;=0.6,"Media",IF(AE20&lt;=0.8,"Alta","Muy Alta"))))),"")</f>
        <v>Baja</v>
      </c>
      <c r="AG20" s="434">
        <f t="shared" si="27"/>
        <v>0.216</v>
      </c>
      <c r="AH20" s="435" t="str">
        <f t="shared" ref="AH20:AH21" ca="1" si="30">IFERROR(IF(AI20="","",IF(AI20&lt;=0.2,"Leve",IF(AI20&lt;=0.4,"Menor",IF(AI20&lt;=0.6,"Moderado",IF(AI20&lt;=0.8,"Mayor","Catastrófico"))))),"")</f>
        <v>Mayor</v>
      </c>
      <c r="AI20" s="410">
        <f ca="1">IFERROR(IF(AND(X19="Impacto",X20="Impacto"),(AI19-(+AI19*AA20)),IF(X20="Impacto",($M$11-(+$M$11*AA20)),IF(X20="Probabilidad",AI19,""))),"")</f>
        <v>0.8</v>
      </c>
      <c r="AJ20" s="435" t="str">
        <f t="shared" ca="1" si="28"/>
        <v>Alto</v>
      </c>
      <c r="AK20" s="424" t="s">
        <v>131</v>
      </c>
      <c r="AL20" s="139" t="s">
        <v>350</v>
      </c>
      <c r="AM20" s="139" t="s">
        <v>346</v>
      </c>
      <c r="AN20" s="139" t="s">
        <v>351</v>
      </c>
      <c r="AO20" s="459"/>
      <c r="AP20" s="5"/>
      <c r="AQ20" s="5"/>
      <c r="AR20" s="5"/>
      <c r="AS20" s="5"/>
      <c r="AT20" s="5"/>
    </row>
    <row r="21" spans="1:46" ht="213" customHeight="1" x14ac:dyDescent="0.3">
      <c r="A21" s="463">
        <v>11</v>
      </c>
      <c r="B21" s="475"/>
      <c r="C21" s="475"/>
      <c r="D21" s="116" t="s">
        <v>220</v>
      </c>
      <c r="E21" s="142" t="s">
        <v>232</v>
      </c>
      <c r="F21" s="422" t="s">
        <v>129</v>
      </c>
      <c r="G21" s="422" t="s">
        <v>352</v>
      </c>
      <c r="H21" s="422" t="s">
        <v>353</v>
      </c>
      <c r="I21" s="117" t="s">
        <v>354</v>
      </c>
      <c r="J21" s="422" t="s">
        <v>121</v>
      </c>
      <c r="K21" s="422" t="s">
        <v>238</v>
      </c>
      <c r="L21" s="422" t="s">
        <v>242</v>
      </c>
      <c r="M21" s="423">
        <v>40</v>
      </c>
      <c r="N21" s="443" t="str">
        <f>IF(M21&lt;=0,"",IF(M21&lt;=2,"Muy Baja",IF(M21&lt;=24,"Baja",IF(M21&lt;=500,"Media",IF(M21&lt;=5000,"Alta","Muy Alta")))))</f>
        <v>Media</v>
      </c>
      <c r="O21" s="444">
        <f>IF(N21="","",IF(N21="Muy Baja",0.2,IF(N21="Baja",0.4,IF(N21="Media",0.6,IF(N21="Alta",0.8,IF(N21="Muy Alta",1,))))))</f>
        <v>0.6</v>
      </c>
      <c r="P21" s="445" t="s">
        <v>142</v>
      </c>
      <c r="Q21" s="445" t="s">
        <v>142</v>
      </c>
      <c r="R21" s="443" t="str">
        <f>IF(OR(Q21='[13]Tabla Impacto'!$C$11,Q21='[13]Tabla Impacto'!$D$11),"Leve",IF(OR(Q21='[13]Tabla Impacto'!$C$12,Q21='[13]Tabla Impacto'!$D$12),"Menor",IF(OR(Q21='[13]Tabla Impacto'!$C$13,Q21='[13]Tabla Impacto'!$D$13),"Moderado",IF(OR(Q21='[13]Tabla Impacto'!$C$14,Q21='[13]Tabla Impacto'!$D$14),"Mayor",IF(OR(Q21='[13]Tabla Impacto'!$C$15,Q21='[13]Tabla Impacto'!$D$15),"Catastrófico","")))))</f>
        <v>Moderado</v>
      </c>
      <c r="S21" s="444">
        <f t="shared" ref="S21" si="31">IF(R21="","",IF(R21="Leve",0.2,IF(R21="Menor",0.4,IF(R21="Moderado",0.6,IF(R21="Mayor",0.8,IF(R21="Catastrófico",1,))))))</f>
        <v>0.6</v>
      </c>
      <c r="T21" s="453" t="str">
        <f t="shared" ref="T21" si="32">IF(OR(AND(N21="Muy Baja",R21="Leve"),AND(N21="Muy Baja",R21="Menor"),AND(N21="Baja",R21="Leve")),"Bajo",IF(OR(AND(N21="Muy baja",R21="Moderado"),AND(N21="Baja",R21="Menor"),AND(N21="Baja",R21="Moderado"),AND(N21="Media",R21="Leve"),AND(N21="Media",R21="Menor"),AND(N21="Media",R21="Moderado"),AND(N21="Alta",R21="Leve"),AND(N21="Alta",R21="Menor")),"Moderado",IF(OR(AND(N21="Muy Baja",R21="Mayor"),AND(N21="Baja",R21="Mayor"),AND(N21="Media",R21="Mayor"),AND(N21="Alta",R21="Moderado"),AND(N21="Alta",R21="Mayor"),AND(N21="Muy Alta",R21="Leve"),AND(N21="Muy Alta",R21="Menor"),AND(N21="Muy Alta",R21="Moderado"),AND(N21="Muy Alta",R21="Mayor")),"Alto",IF(OR(AND(N21="Muy Baja",R21="Catastrófico"),AND(N21="Baja",R21="Catastrófico"),AND(N21="Media",R21="Catastrófico"),AND(N21="Alta",R21="Catastrófico"),AND(N21="Muy Alta",R21="Catastrófico")),"Extremo",""))))</f>
        <v>Moderado</v>
      </c>
      <c r="U21" s="116">
        <v>1</v>
      </c>
      <c r="V21" s="422" t="s">
        <v>355</v>
      </c>
      <c r="W21" s="139" t="s">
        <v>356</v>
      </c>
      <c r="X21" s="140" t="s">
        <v>4</v>
      </c>
      <c r="Y21" s="424" t="s">
        <v>14</v>
      </c>
      <c r="Z21" s="424" t="s">
        <v>9</v>
      </c>
      <c r="AA21" s="425" t="s">
        <v>248</v>
      </c>
      <c r="AB21" s="424" t="s">
        <v>19</v>
      </c>
      <c r="AC21" s="424" t="s">
        <v>22</v>
      </c>
      <c r="AD21" s="424" t="s">
        <v>116</v>
      </c>
      <c r="AE21" s="411">
        <f>IFERROR(IF(X21="Probabilidad",(O21-(+O21*AA21)),IF(X21="Impacto",O21,"")),"")</f>
        <v>0.36</v>
      </c>
      <c r="AF21" s="435" t="str">
        <f>IFERROR(IF(AE21="","",IF(AE21&lt;=0.2,"Muy Baja",IF(AE21&lt;=0.4,"Baja",IF(AE21&lt;=0.6,"Media",IF(AE21&lt;=0.8,"Alta","Muy Alta"))))),"")</f>
        <v>Baja</v>
      </c>
      <c r="AG21" s="410">
        <f t="shared" si="27"/>
        <v>0.36</v>
      </c>
      <c r="AH21" s="435" t="str">
        <f t="shared" si="30"/>
        <v>Moderado</v>
      </c>
      <c r="AI21" s="410">
        <f>IFERROR(IF(X21="Impacto",(S21-(+S21*AA21)),IF(X21="Probabilidad",S21,"")),"")</f>
        <v>0.6</v>
      </c>
      <c r="AJ21" s="412" t="str">
        <f t="shared" si="28"/>
        <v>Moderado</v>
      </c>
      <c r="AK21" s="424" t="s">
        <v>131</v>
      </c>
      <c r="AL21" s="139" t="s">
        <v>357</v>
      </c>
      <c r="AM21" s="139" t="s">
        <v>358</v>
      </c>
      <c r="AN21" s="139" t="s">
        <v>359</v>
      </c>
      <c r="AO21" s="459"/>
      <c r="AP21" s="5"/>
      <c r="AQ21" s="5"/>
      <c r="AR21" s="5"/>
      <c r="AS21" s="5"/>
      <c r="AT21" s="5"/>
    </row>
    <row r="22" spans="1:46" ht="213" customHeight="1" x14ac:dyDescent="0.3">
      <c r="A22" s="374">
        <v>12</v>
      </c>
      <c r="B22" s="475" t="s">
        <v>373</v>
      </c>
      <c r="C22" s="475" t="s">
        <v>374</v>
      </c>
      <c r="D22" s="454" t="s">
        <v>220</v>
      </c>
      <c r="E22" s="454" t="s">
        <v>232</v>
      </c>
      <c r="F22" s="415" t="s">
        <v>127</v>
      </c>
      <c r="G22" s="415" t="s">
        <v>360</v>
      </c>
      <c r="H22" s="481" t="s">
        <v>361</v>
      </c>
      <c r="I22" s="415" t="s">
        <v>362</v>
      </c>
      <c r="J22" s="415" t="s">
        <v>119</v>
      </c>
      <c r="K22" s="415" t="s">
        <v>237</v>
      </c>
      <c r="L22" s="415" t="s">
        <v>239</v>
      </c>
      <c r="M22" s="416">
        <v>40</v>
      </c>
      <c r="N22" s="417" t="s">
        <v>103</v>
      </c>
      <c r="O22" s="418">
        <v>0.6</v>
      </c>
      <c r="P22" s="455" t="s">
        <v>146</v>
      </c>
      <c r="Q22" s="418" t="s">
        <v>146</v>
      </c>
      <c r="R22" s="417" t="s">
        <v>363</v>
      </c>
      <c r="S22" s="418">
        <v>0.2</v>
      </c>
      <c r="T22" s="417" t="s">
        <v>77</v>
      </c>
      <c r="U22" s="446">
        <v>1</v>
      </c>
      <c r="V22" s="440" t="s">
        <v>364</v>
      </c>
      <c r="W22" s="440" t="s">
        <v>365</v>
      </c>
      <c r="X22" s="432" t="s">
        <v>4</v>
      </c>
      <c r="Y22" s="449" t="s">
        <v>322</v>
      </c>
      <c r="Z22" s="424" t="s">
        <v>14</v>
      </c>
      <c r="AA22" s="424" t="s">
        <v>9</v>
      </c>
      <c r="AB22" s="425" t="s">
        <v>248</v>
      </c>
      <c r="AC22" s="424" t="s">
        <v>20</v>
      </c>
      <c r="AD22" s="424" t="s">
        <v>23</v>
      </c>
      <c r="AE22" s="424" t="s">
        <v>116</v>
      </c>
      <c r="AF22" s="436">
        <v>7.7759999999999996E-2</v>
      </c>
      <c r="AG22" s="435" t="s">
        <v>47</v>
      </c>
      <c r="AH22" s="434">
        <v>7.7759999999999996E-2</v>
      </c>
      <c r="AI22" s="435" t="s">
        <v>80</v>
      </c>
      <c r="AJ22" s="434">
        <v>0.4</v>
      </c>
      <c r="AK22" s="435" t="s">
        <v>78</v>
      </c>
      <c r="AL22" s="433" t="s">
        <v>131</v>
      </c>
      <c r="AM22" s="437" t="s">
        <v>366</v>
      </c>
      <c r="AN22" s="422" t="s">
        <v>367</v>
      </c>
      <c r="AO22" s="439" t="s">
        <v>368</v>
      </c>
      <c r="AP22" s="5"/>
      <c r="AQ22" s="5"/>
      <c r="AR22" s="5"/>
      <c r="AS22" s="5"/>
      <c r="AT22" s="5"/>
    </row>
    <row r="23" spans="1:46" ht="213" customHeight="1" x14ac:dyDescent="0.3">
      <c r="A23" s="374"/>
      <c r="B23" s="475"/>
      <c r="C23" s="475"/>
      <c r="D23" s="454"/>
      <c r="E23" s="454"/>
      <c r="F23" s="415"/>
      <c r="G23" s="415"/>
      <c r="H23" s="481"/>
      <c r="I23" s="415"/>
      <c r="J23" s="415"/>
      <c r="K23" s="415"/>
      <c r="L23" s="415"/>
      <c r="M23" s="416"/>
      <c r="N23" s="417"/>
      <c r="O23" s="418"/>
      <c r="P23" s="455"/>
      <c r="Q23" s="418"/>
      <c r="R23" s="417"/>
      <c r="S23" s="418"/>
      <c r="T23" s="417"/>
      <c r="U23" s="446">
        <v>2</v>
      </c>
      <c r="V23" s="442" t="s">
        <v>369</v>
      </c>
      <c r="W23" s="442" t="s">
        <v>370</v>
      </c>
      <c r="X23" s="432" t="s">
        <v>4</v>
      </c>
      <c r="Y23" s="449" t="s">
        <v>322</v>
      </c>
      <c r="Z23" s="424" t="s">
        <v>14</v>
      </c>
      <c r="AA23" s="424" t="s">
        <v>9</v>
      </c>
      <c r="AB23" s="425" t="s">
        <v>248</v>
      </c>
      <c r="AC23" s="424" t="s">
        <v>20</v>
      </c>
      <c r="AD23" s="424" t="s">
        <v>23</v>
      </c>
      <c r="AE23" s="424" t="s">
        <v>116</v>
      </c>
      <c r="AF23" s="436">
        <v>4.6655999999999996E-2</v>
      </c>
      <c r="AG23" s="435" t="s">
        <v>47</v>
      </c>
      <c r="AH23" s="434">
        <v>4.6655999999999996E-2</v>
      </c>
      <c r="AI23" s="435" t="s">
        <v>80</v>
      </c>
      <c r="AJ23" s="434">
        <v>0.4</v>
      </c>
      <c r="AK23" s="435" t="s">
        <v>78</v>
      </c>
      <c r="AL23" s="433" t="s">
        <v>131</v>
      </c>
      <c r="AM23" s="438" t="s">
        <v>371</v>
      </c>
      <c r="AN23" s="422" t="s">
        <v>372</v>
      </c>
      <c r="AO23" s="439" t="s">
        <v>368</v>
      </c>
      <c r="AP23" s="5"/>
      <c r="AQ23" s="5"/>
      <c r="AR23" s="5"/>
      <c r="AS23" s="5"/>
      <c r="AT23" s="5"/>
    </row>
    <row r="24" spans="1:46" ht="35.1" customHeight="1" x14ac:dyDescent="0.3">
      <c r="A24" s="115"/>
      <c r="B24" s="143"/>
      <c r="C24" s="143"/>
      <c r="D24" s="137"/>
      <c r="E24" s="143"/>
      <c r="F24" s="194" t="s">
        <v>126</v>
      </c>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row>
    <row r="26" spans="1:46" ht="35.1" customHeight="1" x14ac:dyDescent="0.3">
      <c r="A26" s="196"/>
      <c r="B26" s="196"/>
      <c r="C26" s="196"/>
      <c r="D26" s="196"/>
      <c r="E26" s="196"/>
      <c r="F26" s="196"/>
      <c r="G26" s="196"/>
      <c r="H26" s="196"/>
      <c r="I26" s="196"/>
      <c r="J26" s="1"/>
      <c r="K26" s="1"/>
      <c r="L26" s="1"/>
      <c r="M26" s="191" t="s">
        <v>264</v>
      </c>
      <c r="N26" s="192"/>
      <c r="O26" s="192"/>
      <c r="P26" s="193"/>
      <c r="Q26" s="126"/>
      <c r="R26" s="126"/>
      <c r="S26" s="126"/>
      <c r="T26" s="126"/>
      <c r="U26" s="126"/>
      <c r="V26" s="126"/>
      <c r="W26" s="130"/>
      <c r="X26" s="129"/>
      <c r="Y26" s="129"/>
      <c r="Z26" s="126"/>
      <c r="AA26" s="129"/>
      <c r="AB26" s="129"/>
      <c r="AC26" s="126"/>
      <c r="AD26" s="126"/>
      <c r="AE26" s="126"/>
      <c r="AF26" s="126"/>
      <c r="AG26" s="126"/>
      <c r="AH26" s="126"/>
      <c r="AI26" s="126"/>
      <c r="AJ26" s="126"/>
      <c r="AK26" s="126"/>
      <c r="AL26" s="126"/>
      <c r="AM26" s="126"/>
      <c r="AN26" s="126"/>
    </row>
    <row r="27" spans="1:46" ht="35.1" customHeight="1" thickBot="1" x14ac:dyDescent="0.35">
      <c r="A27"/>
      <c r="B27" s="132"/>
      <c r="C27" s="132"/>
      <c r="D27"/>
      <c r="E27" s="132"/>
      <c r="F27"/>
      <c r="G27"/>
      <c r="H27"/>
      <c r="I27"/>
      <c r="J27" s="1"/>
      <c r="K27" s="1"/>
      <c r="L27" s="1"/>
      <c r="N27" s="127" t="str">
        <f>+IFERROR(VLOOKUP(J27,$J$182:$N$186,3,FALSE)*VLOOKUP(M27,$M$182:$N$186,3,FALSE),"")</f>
        <v/>
      </c>
      <c r="O27"/>
      <c r="P27"/>
      <c r="Q27"/>
      <c r="R27"/>
      <c r="S27"/>
      <c r="T27"/>
      <c r="U27"/>
      <c r="V27"/>
      <c r="W27"/>
      <c r="X27" s="127"/>
      <c r="Y27" s="128"/>
      <c r="Z27"/>
      <c r="AA27" s="128"/>
      <c r="AB27" s="128"/>
      <c r="AC27" s="132"/>
      <c r="AD27" s="132"/>
      <c r="AE27" s="132"/>
      <c r="AF27" s="132"/>
      <c r="AG27" s="131"/>
      <c r="AH27" s="131"/>
      <c r="AI27" s="132"/>
      <c r="AJ27" s="133"/>
      <c r="AK27"/>
      <c r="AL27"/>
      <c r="AM27"/>
      <c r="AN27" s="132"/>
    </row>
    <row r="28" spans="1:46" ht="35.1" customHeight="1" thickTop="1" thickBot="1" x14ac:dyDescent="0.35">
      <c r="A28" s="189" t="s">
        <v>212</v>
      </c>
      <c r="B28" s="189"/>
      <c r="C28" s="189"/>
      <c r="D28" s="189"/>
      <c r="E28" s="189"/>
      <c r="F28" s="189"/>
      <c r="G28" s="189"/>
      <c r="H28" s="189"/>
      <c r="I28" s="135" t="s">
        <v>213</v>
      </c>
      <c r="J28" s="189" t="s">
        <v>214</v>
      </c>
      <c r="K28" s="189"/>
      <c r="L28" s="189"/>
      <c r="M28" s="189"/>
      <c r="N28" s="189"/>
      <c r="O28" s="189"/>
      <c r="P28" s="189"/>
      <c r="Q28" s="136"/>
      <c r="R28" s="190" t="s">
        <v>215</v>
      </c>
      <c r="S28" s="190"/>
      <c r="T28" s="190"/>
      <c r="U28" s="189" t="s">
        <v>216</v>
      </c>
      <c r="V28" s="189"/>
      <c r="W28" s="189"/>
      <c r="X28" s="189"/>
      <c r="Y28" s="190">
        <v>1</v>
      </c>
      <c r="Z28" s="190"/>
      <c r="AA28" s="190"/>
      <c r="AB28" s="190"/>
      <c r="AC28" s="134"/>
      <c r="AD28" s="134"/>
      <c r="AE28" s="134"/>
      <c r="AF28" s="134"/>
      <c r="AG28" s="134"/>
      <c r="AH28" s="134"/>
      <c r="AI28" s="134"/>
      <c r="AJ28" s="134"/>
      <c r="AK28" s="134"/>
      <c r="AL28" s="134"/>
      <c r="AM28" s="134"/>
      <c r="AN28" s="134"/>
    </row>
    <row r="29" spans="1:46" ht="35.1" customHeight="1" thickTop="1" x14ac:dyDescent="0.3"/>
  </sheetData>
  <autoFilter ref="A8:DO24"/>
  <dataConsolidate/>
  <mergeCells count="128">
    <mergeCell ref="D19:D20"/>
    <mergeCell ref="E19:E20"/>
    <mergeCell ref="B19:B21"/>
    <mergeCell ref="C19:C21"/>
    <mergeCell ref="A19:A20"/>
    <mergeCell ref="G22:G23"/>
    <mergeCell ref="I22:I23"/>
    <mergeCell ref="N22:N23"/>
    <mergeCell ref="M22:M23"/>
    <mergeCell ref="L22:L23"/>
    <mergeCell ref="H22:H23"/>
    <mergeCell ref="D22:D23"/>
    <mergeCell ref="E22:E23"/>
    <mergeCell ref="F22:F23"/>
    <mergeCell ref="K22:K23"/>
    <mergeCell ref="J22:J23"/>
    <mergeCell ref="C22:C23"/>
    <mergeCell ref="B22:B23"/>
    <mergeCell ref="A22:A23"/>
    <mergeCell ref="P19:P20"/>
    <mergeCell ref="Q19:Q20"/>
    <mergeCell ref="R19:R20"/>
    <mergeCell ref="S19:S20"/>
    <mergeCell ref="T19:T20"/>
    <mergeCell ref="O22:O23"/>
    <mergeCell ref="R22:R23"/>
    <mergeCell ref="S22:S23"/>
    <mergeCell ref="T22:T23"/>
    <mergeCell ref="P22:P23"/>
    <mergeCell ref="Q22:Q23"/>
    <mergeCell ref="K19:K20"/>
    <mergeCell ref="L19:L20"/>
    <mergeCell ref="M19:M20"/>
    <mergeCell ref="N19:N20"/>
    <mergeCell ref="O19:O20"/>
    <mergeCell ref="F19:F20"/>
    <mergeCell ref="G19:G20"/>
    <mergeCell ref="H19:H20"/>
    <mergeCell ref="I19:I20"/>
    <mergeCell ref="J19:J20"/>
    <mergeCell ref="B15:B16"/>
    <mergeCell ref="C15:C16"/>
    <mergeCell ref="A15:A16"/>
    <mergeCell ref="AH15:AH16"/>
    <mergeCell ref="AI15:AI16"/>
    <mergeCell ref="AJ15:AJ16"/>
    <mergeCell ref="AK15:AK16"/>
    <mergeCell ref="AL15:AL16"/>
    <mergeCell ref="AC15:AC16"/>
    <mergeCell ref="AD15:AD16"/>
    <mergeCell ref="AE15:AE16"/>
    <mergeCell ref="AF15:AF16"/>
    <mergeCell ref="AG15:AG16"/>
    <mergeCell ref="X15:X16"/>
    <mergeCell ref="Y15:Y16"/>
    <mergeCell ref="Z15:Z16"/>
    <mergeCell ref="AA15:AA16"/>
    <mergeCell ref="AB15:AB16"/>
    <mergeCell ref="S15:S16"/>
    <mergeCell ref="T15:T16"/>
    <mergeCell ref="U15:U16"/>
    <mergeCell ref="V15:V16"/>
    <mergeCell ref="W15:W16"/>
    <mergeCell ref="G1:AM4"/>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AL6:AL7"/>
    <mergeCell ref="K6:K7"/>
    <mergeCell ref="L6:L7"/>
    <mergeCell ref="AK6:AK7"/>
    <mergeCell ref="AJ6:AJ7"/>
    <mergeCell ref="AI6:AI7"/>
    <mergeCell ref="AE6:AE7"/>
    <mergeCell ref="W6:W7"/>
    <mergeCell ref="A1:F4"/>
    <mergeCell ref="AH6:AH7"/>
    <mergeCell ref="AF6:AF7"/>
    <mergeCell ref="AG6:AG7"/>
    <mergeCell ref="M6:M7"/>
    <mergeCell ref="N6:N7"/>
    <mergeCell ref="O6:O7"/>
    <mergeCell ref="R6:R7"/>
    <mergeCell ref="S6:S7"/>
    <mergeCell ref="Y6:AD6"/>
    <mergeCell ref="AE5:AK5"/>
    <mergeCell ref="A6:A7"/>
    <mergeCell ref="J6:J7"/>
    <mergeCell ref="F24:AN24"/>
    <mergeCell ref="A26:I26"/>
    <mergeCell ref="I6:I7"/>
    <mergeCell ref="H6:H7"/>
    <mergeCell ref="G6:G7"/>
    <mergeCell ref="F6:F7"/>
    <mergeCell ref="T6:T7"/>
    <mergeCell ref="P6:P7"/>
    <mergeCell ref="Q6:Q7"/>
    <mergeCell ref="AN6:AN7"/>
    <mergeCell ref="AM6:AM7"/>
    <mergeCell ref="E6:E7"/>
    <mergeCell ref="B6:B7"/>
    <mergeCell ref="U28:X28"/>
    <mergeCell ref="Y28:AB28"/>
    <mergeCell ref="A28:H28"/>
    <mergeCell ref="M26:P26"/>
    <mergeCell ref="J28:P28"/>
    <mergeCell ref="R28:T28"/>
    <mergeCell ref="AL5:AN5"/>
    <mergeCell ref="A5:M5"/>
    <mergeCell ref="N5:T5"/>
    <mergeCell ref="U5:AD5"/>
    <mergeCell ref="U6:U7"/>
    <mergeCell ref="V6:V7"/>
    <mergeCell ref="D6:D7"/>
    <mergeCell ref="X6:X7"/>
    <mergeCell ref="C6:C7"/>
  </mergeCells>
  <conditionalFormatting sqref="N9:N10 N22:N23">
    <cfRule type="cellIs" dxfId="218" priority="381" operator="equal">
      <formula>"Muy Alta"</formula>
    </cfRule>
    <cfRule type="cellIs" dxfId="217" priority="382" operator="equal">
      <formula>"Alta"</formula>
    </cfRule>
    <cfRule type="cellIs" dxfId="216" priority="383" operator="equal">
      <formula>"Media"</formula>
    </cfRule>
    <cfRule type="cellIs" dxfId="215" priority="384" operator="equal">
      <formula>"Baja"</formula>
    </cfRule>
    <cfRule type="cellIs" dxfId="214" priority="385" operator="equal">
      <formula>"Muy Baja"</formula>
    </cfRule>
  </conditionalFormatting>
  <conditionalFormatting sqref="Q9:Q10 Q22:Q23">
    <cfRule type="containsText" dxfId="213" priority="199" operator="containsText" text="❌">
      <formula>NOT(ISERROR(SEARCH("❌",Q9)))</formula>
    </cfRule>
  </conditionalFormatting>
  <conditionalFormatting sqref="R9:R10 R22:R23">
    <cfRule type="cellIs" dxfId="212" priority="376" operator="equal">
      <formula>"Catastrófico"</formula>
    </cfRule>
    <cfRule type="cellIs" dxfId="211" priority="377" operator="equal">
      <formula>"Mayor"</formula>
    </cfRule>
    <cfRule type="cellIs" dxfId="210" priority="378" operator="equal">
      <formula>"Moderado"</formula>
    </cfRule>
    <cfRule type="cellIs" dxfId="209" priority="379" operator="equal">
      <formula>"Menor"</formula>
    </cfRule>
    <cfRule type="cellIs" dxfId="208" priority="380" operator="equal">
      <formula>"Leve"</formula>
    </cfRule>
  </conditionalFormatting>
  <conditionalFormatting sqref="T9:T10 T22:T23">
    <cfRule type="cellIs" dxfId="207" priority="372" operator="equal">
      <formula>"Extremo"</formula>
    </cfRule>
    <cfRule type="cellIs" dxfId="206" priority="373" operator="equal">
      <formula>"Alto"</formula>
    </cfRule>
    <cfRule type="cellIs" dxfId="205" priority="374" operator="equal">
      <formula>"Moderado"</formula>
    </cfRule>
    <cfRule type="cellIs" dxfId="204" priority="375" operator="equal">
      <formula>"Bajo"</formula>
    </cfRule>
  </conditionalFormatting>
  <conditionalFormatting sqref="AF9:AF10 AF22:AF23">
    <cfRule type="cellIs" dxfId="203" priority="367" operator="equal">
      <formula>"Muy Alta"</formula>
    </cfRule>
    <cfRule type="cellIs" dxfId="202" priority="368" operator="equal">
      <formula>"Alta"</formula>
    </cfRule>
    <cfRule type="cellIs" dxfId="201" priority="369" operator="equal">
      <formula>"Media"</formula>
    </cfRule>
    <cfRule type="cellIs" dxfId="200" priority="370" operator="equal">
      <formula>"Baja"</formula>
    </cfRule>
    <cfRule type="cellIs" dxfId="199" priority="371" operator="equal">
      <formula>"Muy Baja"</formula>
    </cfRule>
  </conditionalFormatting>
  <conditionalFormatting sqref="AG26:AG27">
    <cfRule type="cellIs" dxfId="198" priority="345" stopIfTrue="1" operator="equal">
      <formula>#REF!</formula>
    </cfRule>
    <cfRule type="cellIs" dxfId="197" priority="346" operator="equal">
      <formula>#REF!</formula>
    </cfRule>
    <cfRule type="cellIs" dxfId="196" priority="347" operator="equal">
      <formula>#REF!</formula>
    </cfRule>
  </conditionalFormatting>
  <conditionalFormatting sqref="AH9:AH10 AH22:AH23">
    <cfRule type="cellIs" dxfId="195" priority="362" operator="equal">
      <formula>"Catastrófico"</formula>
    </cfRule>
    <cfRule type="cellIs" dxfId="194" priority="363" operator="equal">
      <formula>"Mayor"</formula>
    </cfRule>
    <cfRule type="cellIs" dxfId="193" priority="364" operator="equal">
      <formula>"Moderado"</formula>
    </cfRule>
    <cfRule type="cellIs" dxfId="192" priority="365" operator="equal">
      <formula>"Menor"</formula>
    </cfRule>
    <cfRule type="cellIs" dxfId="191" priority="366" operator="equal">
      <formula>"Leve"</formula>
    </cfRule>
  </conditionalFormatting>
  <conditionalFormatting sqref="AH26:AH27">
    <cfRule type="cellIs" dxfId="190" priority="348" stopIfTrue="1" operator="equal">
      <formula>#REF!</formula>
    </cfRule>
    <cfRule type="cellIs" dxfId="189" priority="349" stopIfTrue="1" operator="equal">
      <formula>#REF!</formula>
    </cfRule>
    <cfRule type="cellIs" dxfId="188" priority="350" stopIfTrue="1" operator="equal">
      <formula>#REF!</formula>
    </cfRule>
  </conditionalFormatting>
  <conditionalFormatting sqref="AJ9:AJ10 AJ22:AJ23">
    <cfRule type="cellIs" dxfId="187" priority="358" operator="equal">
      <formula>"Extremo"</formula>
    </cfRule>
    <cfRule type="cellIs" dxfId="186" priority="359" operator="equal">
      <formula>"Alto"</formula>
    </cfRule>
    <cfRule type="cellIs" dxfId="185" priority="360" operator="equal">
      <formula>"Moderado"</formula>
    </cfRule>
    <cfRule type="cellIs" dxfId="184" priority="361" operator="equal">
      <formula>"Bajo"</formula>
    </cfRule>
  </conditionalFormatting>
  <conditionalFormatting sqref="Q11">
    <cfRule type="containsText" dxfId="183" priority="166" operator="containsText" text="❌">
      <formula>NOT(ISERROR(SEARCH("❌",Q11)))</formula>
    </cfRule>
  </conditionalFormatting>
  <conditionalFormatting sqref="AH19:AH21">
    <cfRule type="cellIs" dxfId="182" priority="1" operator="equal">
      <formula>"Catastrófico"</formula>
    </cfRule>
    <cfRule type="cellIs" dxfId="181" priority="2" operator="equal">
      <formula>"Mayor"</formula>
    </cfRule>
    <cfRule type="cellIs" dxfId="180" priority="3" operator="equal">
      <formula>"Moderado"</formula>
    </cfRule>
    <cfRule type="cellIs" dxfId="179" priority="4" operator="equal">
      <formula>"Menor"</formula>
    </cfRule>
    <cfRule type="cellIs" dxfId="178" priority="5" operator="equal">
      <formula>"Leve"</formula>
    </cfRule>
  </conditionalFormatting>
  <conditionalFormatting sqref="N11 AF11">
    <cfRule type="cellIs" dxfId="177" priority="180" operator="equal">
      <formula>"Muy Alta"</formula>
    </cfRule>
    <cfRule type="cellIs" dxfId="176" priority="181" operator="equal">
      <formula>"Alta"</formula>
    </cfRule>
    <cfRule type="cellIs" dxfId="175" priority="182" operator="equal">
      <formula>"Media"</formula>
    </cfRule>
    <cfRule type="cellIs" dxfId="174" priority="183" operator="equal">
      <formula>"Baja"</formula>
    </cfRule>
    <cfRule type="cellIs" dxfId="173" priority="184" operator="equal">
      <formula>"Muy Baja"</formula>
    </cfRule>
  </conditionalFormatting>
  <conditionalFormatting sqref="Q14">
    <cfRule type="containsText" dxfId="172" priority="117" operator="containsText" text="❌">
      <formula>NOT(ISERROR(SEARCH("❌",Q14)))</formula>
    </cfRule>
  </conditionalFormatting>
  <conditionalFormatting sqref="R11 AH11">
    <cfRule type="cellIs" dxfId="171" priority="175" operator="equal">
      <formula>"Catastrófico"</formula>
    </cfRule>
    <cfRule type="cellIs" dxfId="170" priority="176" operator="equal">
      <formula>"Mayor"</formula>
    </cfRule>
    <cfRule type="cellIs" dxfId="169" priority="177" operator="equal">
      <formula>"Moderado"</formula>
    </cfRule>
    <cfRule type="cellIs" dxfId="168" priority="178" operator="equal">
      <formula>"Menor"</formula>
    </cfRule>
    <cfRule type="cellIs" dxfId="167" priority="179" operator="equal">
      <formula>"Leve"</formula>
    </cfRule>
  </conditionalFormatting>
  <conditionalFormatting sqref="T11">
    <cfRule type="cellIs" dxfId="166" priority="167" operator="equal">
      <formula>"Extremo"</formula>
    </cfRule>
    <cfRule type="cellIs" dxfId="165" priority="168" operator="equal">
      <formula>"Alto"</formula>
    </cfRule>
    <cfRule type="cellIs" dxfId="164" priority="169" operator="equal">
      <formula>"Moderado"</formula>
    </cfRule>
    <cfRule type="cellIs" dxfId="163" priority="170" operator="equal">
      <formula>"Bajo"</formula>
    </cfRule>
  </conditionalFormatting>
  <conditionalFormatting sqref="AJ11">
    <cfRule type="cellIs" dxfId="162" priority="171" operator="equal">
      <formula>"Extremo"</formula>
    </cfRule>
    <cfRule type="cellIs" dxfId="161" priority="172" operator="equal">
      <formula>"Alto"</formula>
    </cfRule>
    <cfRule type="cellIs" dxfId="160" priority="173" operator="equal">
      <formula>"Moderado"</formula>
    </cfRule>
    <cfRule type="cellIs" dxfId="159" priority="174" operator="equal">
      <formula>"Bajo"</formula>
    </cfRule>
  </conditionalFormatting>
  <conditionalFormatting sqref="N12 AF12">
    <cfRule type="cellIs" dxfId="158" priority="161" operator="equal">
      <formula>"Muy Alta"</formula>
    </cfRule>
    <cfRule type="cellIs" dxfId="157" priority="162" operator="equal">
      <formula>"Alta"</formula>
    </cfRule>
    <cfRule type="cellIs" dxfId="156" priority="163" operator="equal">
      <formula>"Media"</formula>
    </cfRule>
    <cfRule type="cellIs" dxfId="155" priority="164" operator="equal">
      <formula>"Baja"</formula>
    </cfRule>
    <cfRule type="cellIs" dxfId="154" priority="165" operator="equal">
      <formula>"Muy Baja"</formula>
    </cfRule>
  </conditionalFormatting>
  <conditionalFormatting sqref="Q12">
    <cfRule type="containsText" dxfId="153" priority="151" operator="containsText" text="❌">
      <formula>NOT(ISERROR(SEARCH("❌",Q12)))</formula>
    </cfRule>
  </conditionalFormatting>
  <conditionalFormatting sqref="R12 AH12">
    <cfRule type="cellIs" dxfId="152" priority="152" operator="equal">
      <formula>"Catastrófico"</formula>
    </cfRule>
    <cfRule type="cellIs" dxfId="151" priority="153" operator="equal">
      <formula>"Mayor"</formula>
    </cfRule>
    <cfRule type="cellIs" dxfId="150" priority="154" operator="equal">
      <formula>"Moderado"</formula>
    </cfRule>
    <cfRule type="cellIs" dxfId="149" priority="155" operator="equal">
      <formula>"Menor"</formula>
    </cfRule>
    <cfRule type="cellIs" dxfId="148" priority="156" operator="equal">
      <formula>"Leve"</formula>
    </cfRule>
  </conditionalFormatting>
  <conditionalFormatting sqref="T12 AJ12">
    <cfRule type="cellIs" dxfId="147" priority="157" operator="equal">
      <formula>"Extremo"</formula>
    </cfRule>
    <cfRule type="cellIs" dxfId="146" priority="158" operator="equal">
      <formula>"Alto"</formula>
    </cfRule>
    <cfRule type="cellIs" dxfId="145" priority="159" operator="equal">
      <formula>"Moderado"</formula>
    </cfRule>
    <cfRule type="cellIs" dxfId="144" priority="160" operator="equal">
      <formula>"Bajo"</formula>
    </cfRule>
  </conditionalFormatting>
  <conditionalFormatting sqref="Q18">
    <cfRule type="containsText" dxfId="143" priority="44" operator="containsText" text="❌">
      <formula>NOT(ISERROR(SEARCH("❌",Q18)))</formula>
    </cfRule>
  </conditionalFormatting>
  <conditionalFormatting sqref="M13 AF13">
    <cfRule type="cellIs" dxfId="142" priority="136" operator="equal">
      <formula>"Muy Alta"</formula>
    </cfRule>
    <cfRule type="cellIs" dxfId="141" priority="137" operator="equal">
      <formula>"Alta"</formula>
    </cfRule>
    <cfRule type="cellIs" dxfId="140" priority="138" operator="equal">
      <formula>"Media"</formula>
    </cfRule>
    <cfRule type="cellIs" dxfId="139" priority="139" operator="equal">
      <formula>"Baja"</formula>
    </cfRule>
    <cfRule type="cellIs" dxfId="138" priority="140" operator="equal">
      <formula>"Muy Baja"</formula>
    </cfRule>
  </conditionalFormatting>
  <conditionalFormatting sqref="P13">
    <cfRule type="containsText" dxfId="137" priority="141" operator="containsText" text="❌">
      <formula>NOT(ISERROR(SEARCH("❌",P13)))</formula>
    </cfRule>
  </conditionalFormatting>
  <conditionalFormatting sqref="Q13 AH13">
    <cfRule type="cellIs" dxfId="136" priority="146" operator="equal">
      <formula>"Catastrófico"</formula>
    </cfRule>
    <cfRule type="cellIs" dxfId="135" priority="147" operator="equal">
      <formula>"Mayor"</formula>
    </cfRule>
    <cfRule type="cellIs" dxfId="134" priority="148" operator="equal">
      <formula>"Moderado"</formula>
    </cfRule>
    <cfRule type="cellIs" dxfId="133" priority="149" operator="equal">
      <formula>"Menor"</formula>
    </cfRule>
    <cfRule type="cellIs" dxfId="132" priority="150" operator="equal">
      <formula>"Leve"</formula>
    </cfRule>
  </conditionalFormatting>
  <conditionalFormatting sqref="S13 AJ13">
    <cfRule type="cellIs" dxfId="131" priority="142" operator="equal">
      <formula>"Extremo"</formula>
    </cfRule>
    <cfRule type="cellIs" dxfId="130" priority="143" operator="equal">
      <formula>"Alto"</formula>
    </cfRule>
    <cfRule type="cellIs" dxfId="129" priority="144" operator="equal">
      <formula>"Moderado"</formula>
    </cfRule>
    <cfRule type="cellIs" dxfId="128" priority="145" operator="equal">
      <formula>"Bajo"</formula>
    </cfRule>
  </conditionalFormatting>
  <conditionalFormatting sqref="AF14 N14">
    <cfRule type="cellIs" dxfId="127" priority="131" operator="equal">
      <formula>"Muy Alta"</formula>
    </cfRule>
    <cfRule type="cellIs" dxfId="126" priority="132" operator="equal">
      <formula>"Alta"</formula>
    </cfRule>
    <cfRule type="cellIs" dxfId="125" priority="133" operator="equal">
      <formula>"Media"</formula>
    </cfRule>
    <cfRule type="cellIs" dxfId="124" priority="134" operator="equal">
      <formula>"Baja"</formula>
    </cfRule>
    <cfRule type="cellIs" dxfId="123" priority="135" operator="equal">
      <formula>"Muy Baja"</formula>
    </cfRule>
  </conditionalFormatting>
  <conditionalFormatting sqref="AH14 R14">
    <cfRule type="cellIs" dxfId="122" priority="126" operator="equal">
      <formula>"Catastrófico"</formula>
    </cfRule>
    <cfRule type="cellIs" dxfId="121" priority="127" operator="equal">
      <formula>"Mayor"</formula>
    </cfRule>
    <cfRule type="cellIs" dxfId="120" priority="128" operator="equal">
      <formula>"Moderado"</formula>
    </cfRule>
    <cfRule type="cellIs" dxfId="119" priority="129" operator="equal">
      <formula>"Menor"</formula>
    </cfRule>
    <cfRule type="cellIs" dxfId="118" priority="130" operator="equal">
      <formula>"Leve"</formula>
    </cfRule>
  </conditionalFormatting>
  <conditionalFormatting sqref="AJ14">
    <cfRule type="cellIs" dxfId="117" priority="122" operator="equal">
      <formula>"Extremo"</formula>
    </cfRule>
    <cfRule type="cellIs" dxfId="116" priority="123" operator="equal">
      <formula>"Alto"</formula>
    </cfRule>
    <cfRule type="cellIs" dxfId="115" priority="124" operator="equal">
      <formula>"Moderado"</formula>
    </cfRule>
    <cfRule type="cellIs" dxfId="114" priority="125" operator="equal">
      <formula>"Bajo"</formula>
    </cfRule>
  </conditionalFormatting>
  <conditionalFormatting sqref="T14">
    <cfRule type="cellIs" dxfId="113" priority="118" operator="equal">
      <formula>"Extremo"</formula>
    </cfRule>
    <cfRule type="cellIs" dxfId="112" priority="119" operator="equal">
      <formula>"Alto"</formula>
    </cfRule>
    <cfRule type="cellIs" dxfId="111" priority="120" operator="equal">
      <formula>"Moderado"</formula>
    </cfRule>
    <cfRule type="cellIs" dxfId="110" priority="121" operator="equal">
      <formula>"Bajo"</formula>
    </cfRule>
  </conditionalFormatting>
  <conditionalFormatting sqref="N15 AF15">
    <cfRule type="cellIs" dxfId="109" priority="112" operator="equal">
      <formula>"Muy Alta"</formula>
    </cfRule>
    <cfRule type="cellIs" dxfId="108" priority="113" operator="equal">
      <formula>"Alta"</formula>
    </cfRule>
    <cfRule type="cellIs" dxfId="107" priority="114" operator="equal">
      <formula>"Media"</formula>
    </cfRule>
    <cfRule type="cellIs" dxfId="106" priority="115" operator="equal">
      <formula>"Baja"</formula>
    </cfRule>
    <cfRule type="cellIs" dxfId="105" priority="116" operator="equal">
      <formula>"Muy Baja"</formula>
    </cfRule>
  </conditionalFormatting>
  <conditionalFormatting sqref="Q15">
    <cfRule type="containsText" dxfId="104" priority="102" operator="containsText" text="❌">
      <formula>NOT(ISERROR(SEARCH("❌",Q15)))</formula>
    </cfRule>
  </conditionalFormatting>
  <conditionalFormatting sqref="R15 AH15">
    <cfRule type="cellIs" dxfId="103" priority="107" operator="equal">
      <formula>"Catastrófico"</formula>
    </cfRule>
    <cfRule type="cellIs" dxfId="102" priority="108" operator="equal">
      <formula>"Mayor"</formula>
    </cfRule>
    <cfRule type="cellIs" dxfId="101" priority="109" operator="equal">
      <formula>"Moderado"</formula>
    </cfRule>
    <cfRule type="cellIs" dxfId="100" priority="110" operator="equal">
      <formula>"Menor"</formula>
    </cfRule>
    <cfRule type="cellIs" dxfId="99" priority="111" operator="equal">
      <formula>"Leve"</formula>
    </cfRule>
  </conditionalFormatting>
  <conditionalFormatting sqref="T15 AJ15">
    <cfRule type="cellIs" dxfId="98" priority="103" operator="equal">
      <formula>"Extremo"</formula>
    </cfRule>
    <cfRule type="cellIs" dxfId="97" priority="104" operator="equal">
      <formula>"Alto"</formula>
    </cfRule>
    <cfRule type="cellIs" dxfId="96" priority="105" operator="equal">
      <formula>"Moderado"</formula>
    </cfRule>
    <cfRule type="cellIs" dxfId="95" priority="106" operator="equal">
      <formula>"Bajo"</formula>
    </cfRule>
  </conditionalFormatting>
  <conditionalFormatting sqref="N17">
    <cfRule type="cellIs" dxfId="94" priority="83" operator="equal">
      <formula>"Muy Alta"</formula>
    </cfRule>
    <cfRule type="cellIs" dxfId="93" priority="84" operator="equal">
      <formula>"Alta"</formula>
    </cfRule>
    <cfRule type="cellIs" dxfId="92" priority="85" operator="equal">
      <formula>"Media"</formula>
    </cfRule>
    <cfRule type="cellIs" dxfId="91" priority="86" operator="equal">
      <formula>"Baja"</formula>
    </cfRule>
    <cfRule type="cellIs" dxfId="90" priority="87" operator="equal">
      <formula>"Muy Baja"</formula>
    </cfRule>
  </conditionalFormatting>
  <conditionalFormatting sqref="Q17">
    <cfRule type="containsText" dxfId="89" priority="78" operator="containsText" text="❌">
      <formula>NOT(ISERROR(SEARCH("❌",Q17)))</formula>
    </cfRule>
  </conditionalFormatting>
  <conditionalFormatting sqref="R17">
    <cfRule type="cellIs" dxfId="88" priority="73" operator="equal">
      <formula>"Catastrófico"</formula>
    </cfRule>
    <cfRule type="cellIs" dxfId="87" priority="74" operator="equal">
      <formula>"Mayor"</formula>
    </cfRule>
    <cfRule type="cellIs" dxfId="86" priority="75" operator="equal">
      <formula>"Moderado"</formula>
    </cfRule>
    <cfRule type="cellIs" dxfId="85" priority="76" operator="equal">
      <formula>"Menor"</formula>
    </cfRule>
    <cfRule type="cellIs" dxfId="84" priority="77" operator="equal">
      <formula>"Leve"</formula>
    </cfRule>
  </conditionalFormatting>
  <conditionalFormatting sqref="T17">
    <cfRule type="cellIs" dxfId="83" priority="79" operator="equal">
      <formula>"Extremo"</formula>
    </cfRule>
    <cfRule type="cellIs" dxfId="82" priority="80" operator="equal">
      <formula>"Alto"</formula>
    </cfRule>
    <cfRule type="cellIs" dxfId="81" priority="81" operator="equal">
      <formula>"Moderado"</formula>
    </cfRule>
    <cfRule type="cellIs" dxfId="80" priority="82" operator="equal">
      <formula>"Bajo"</formula>
    </cfRule>
  </conditionalFormatting>
  <conditionalFormatting sqref="AF17">
    <cfRule type="cellIs" dxfId="79" priority="97" operator="equal">
      <formula>"Muy Alta"</formula>
    </cfRule>
    <cfRule type="cellIs" dxfId="78" priority="98" operator="equal">
      <formula>"Alta"</formula>
    </cfRule>
    <cfRule type="cellIs" dxfId="77" priority="99" operator="equal">
      <formula>"Media"</formula>
    </cfRule>
    <cfRule type="cellIs" dxfId="76" priority="100" operator="equal">
      <formula>"Baja"</formula>
    </cfRule>
    <cfRule type="cellIs" dxfId="75" priority="101" operator="equal">
      <formula>"Muy Baja"</formula>
    </cfRule>
  </conditionalFormatting>
  <conditionalFormatting sqref="AH17">
    <cfRule type="cellIs" dxfId="74" priority="92" operator="equal">
      <formula>"Catastrófico"</formula>
    </cfRule>
    <cfRule type="cellIs" dxfId="73" priority="93" operator="equal">
      <formula>"Mayor"</formula>
    </cfRule>
    <cfRule type="cellIs" dxfId="72" priority="94" operator="equal">
      <formula>"Moderado"</formula>
    </cfRule>
    <cfRule type="cellIs" dxfId="71" priority="95" operator="equal">
      <formula>"Menor"</formula>
    </cfRule>
    <cfRule type="cellIs" dxfId="70" priority="96" operator="equal">
      <formula>"Leve"</formula>
    </cfRule>
  </conditionalFormatting>
  <conditionalFormatting sqref="AJ17">
    <cfRule type="cellIs" dxfId="69" priority="88" operator="equal">
      <formula>"Extremo"</formula>
    </cfRule>
    <cfRule type="cellIs" dxfId="68" priority="89" operator="equal">
      <formula>"Alto"</formula>
    </cfRule>
    <cfRule type="cellIs" dxfId="67" priority="90" operator="equal">
      <formula>"Moderado"</formula>
    </cfRule>
    <cfRule type="cellIs" dxfId="66" priority="91" operator="equal">
      <formula>"Bajo"</formula>
    </cfRule>
  </conditionalFormatting>
  <conditionalFormatting sqref="N18">
    <cfRule type="cellIs" dxfId="65" priority="63" operator="equal">
      <formula>"Muy Alta"</formula>
    </cfRule>
    <cfRule type="cellIs" dxfId="64" priority="64" operator="equal">
      <formula>"Alta"</formula>
    </cfRule>
    <cfRule type="cellIs" dxfId="63" priority="65" operator="equal">
      <formula>"Media"</formula>
    </cfRule>
    <cfRule type="cellIs" dxfId="62" priority="66" operator="equal">
      <formula>"Baja"</formula>
    </cfRule>
    <cfRule type="cellIs" dxfId="61" priority="67" operator="equal">
      <formula>"Muy Baja"</formula>
    </cfRule>
  </conditionalFormatting>
  <conditionalFormatting sqref="R18">
    <cfRule type="cellIs" dxfId="60" priority="68" operator="equal">
      <formula>"Catastrófico"</formula>
    </cfRule>
    <cfRule type="cellIs" dxfId="59" priority="69" operator="equal">
      <formula>"Mayor"</formula>
    </cfRule>
    <cfRule type="cellIs" dxfId="58" priority="70" operator="equal">
      <formula>"Moderado"</formula>
    </cfRule>
    <cfRule type="cellIs" dxfId="57" priority="71" operator="equal">
      <formula>"Menor"</formula>
    </cfRule>
    <cfRule type="cellIs" dxfId="56" priority="72" operator="equal">
      <formula>"Leve"</formula>
    </cfRule>
  </conditionalFormatting>
  <conditionalFormatting sqref="T18">
    <cfRule type="cellIs" dxfId="55" priority="59" operator="equal">
      <formula>"Extremo"</formula>
    </cfRule>
    <cfRule type="cellIs" dxfId="54" priority="60" operator="equal">
      <formula>"Alto"</formula>
    </cfRule>
    <cfRule type="cellIs" dxfId="53" priority="61" operator="equal">
      <formula>"Moderado"</formula>
    </cfRule>
    <cfRule type="cellIs" dxfId="52" priority="62" operator="equal">
      <formula>"Bajo"</formula>
    </cfRule>
  </conditionalFormatting>
  <conditionalFormatting sqref="AF18">
    <cfRule type="cellIs" dxfId="51" priority="54" operator="equal">
      <formula>"Muy Alta"</formula>
    </cfRule>
    <cfRule type="cellIs" dxfId="50" priority="55" operator="equal">
      <formula>"Alta"</formula>
    </cfRule>
    <cfRule type="cellIs" dxfId="49" priority="56" operator="equal">
      <formula>"Media"</formula>
    </cfRule>
    <cfRule type="cellIs" dxfId="48" priority="57" operator="equal">
      <formula>"Baja"</formula>
    </cfRule>
    <cfRule type="cellIs" dxfId="47" priority="58" operator="equal">
      <formula>"Muy Baja"</formula>
    </cfRule>
  </conditionalFormatting>
  <conditionalFormatting sqref="AH18">
    <cfRule type="cellIs" dxfId="46" priority="49" operator="equal">
      <formula>"Catastrófico"</formula>
    </cfRule>
    <cfRule type="cellIs" dxfId="45" priority="50" operator="equal">
      <formula>"Mayor"</formula>
    </cfRule>
    <cfRule type="cellIs" dxfId="44" priority="51" operator="equal">
      <formula>"Moderado"</formula>
    </cfRule>
    <cfRule type="cellIs" dxfId="43" priority="52" operator="equal">
      <formula>"Menor"</formula>
    </cfRule>
    <cfRule type="cellIs" dxfId="42" priority="53" operator="equal">
      <formula>"Leve"</formula>
    </cfRule>
  </conditionalFormatting>
  <conditionalFormatting sqref="AJ18">
    <cfRule type="cellIs" dxfId="41" priority="45" operator="equal">
      <formula>"Extremo"</formula>
    </cfRule>
    <cfRule type="cellIs" dxfId="40" priority="46" operator="equal">
      <formula>"Alto"</formula>
    </cfRule>
    <cfRule type="cellIs" dxfId="39" priority="47" operator="equal">
      <formula>"Moderado"</formula>
    </cfRule>
    <cfRule type="cellIs" dxfId="38" priority="48" operator="equal">
      <formula>"Bajo"</formula>
    </cfRule>
  </conditionalFormatting>
  <conditionalFormatting sqref="N19">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N21">
    <cfRule type="cellIs" dxfId="32" priority="24" operator="equal">
      <formula>"Muy Alta"</formula>
    </cfRule>
    <cfRule type="cellIs" dxfId="31" priority="25" operator="equal">
      <formula>"Alta"</formula>
    </cfRule>
    <cfRule type="cellIs" dxfId="30" priority="26" operator="equal">
      <formula>"Media"</formula>
    </cfRule>
    <cfRule type="cellIs" dxfId="29" priority="27" operator="equal">
      <formula>"Baja"</formula>
    </cfRule>
    <cfRule type="cellIs" dxfId="28" priority="28" operator="equal">
      <formula>"Muy Baja"</formula>
    </cfRule>
  </conditionalFormatting>
  <conditionalFormatting sqref="Q19">
    <cfRule type="containsText" dxfId="27" priority="29" operator="containsText" text="❌">
      <formula>NOT(ISERROR(SEARCH("❌",Q19)))</formula>
    </cfRule>
  </conditionalFormatting>
  <conditionalFormatting sqref="R19">
    <cfRule type="cellIs" dxfId="26" priority="34" operator="equal">
      <formula>"Catastrófico"</formula>
    </cfRule>
    <cfRule type="cellIs" dxfId="25" priority="35" operator="equal">
      <formula>"Mayor"</formula>
    </cfRule>
    <cfRule type="cellIs" dxfId="24" priority="36" operator="equal">
      <formula>"Moderado"</formula>
    </cfRule>
    <cfRule type="cellIs" dxfId="23" priority="37" operator="equal">
      <formula>"Menor"</formula>
    </cfRule>
    <cfRule type="cellIs" dxfId="22" priority="38" operator="equal">
      <formula>"Leve"</formula>
    </cfRule>
  </conditionalFormatting>
  <conditionalFormatting sqref="R21">
    <cfRule type="cellIs" dxfId="21" priority="19" operator="equal">
      <formula>"Catastrófico"</formula>
    </cfRule>
    <cfRule type="cellIs" dxfId="20" priority="20" operator="equal">
      <formula>"Mayor"</formula>
    </cfRule>
    <cfRule type="cellIs" dxfId="19" priority="21" operator="equal">
      <formula>"Moderado"</formula>
    </cfRule>
    <cfRule type="cellIs" dxfId="18" priority="22" operator="equal">
      <formula>"Menor"</formula>
    </cfRule>
    <cfRule type="cellIs" dxfId="17" priority="23" operator="equal">
      <formula>"Leve"</formula>
    </cfRule>
  </conditionalFormatting>
  <conditionalFormatting sqref="T19">
    <cfRule type="cellIs" dxfId="16" priority="30" operator="equal">
      <formula>"Extremo"</formula>
    </cfRule>
    <cfRule type="cellIs" dxfId="15" priority="31" operator="equal">
      <formula>"Alto"</formula>
    </cfRule>
    <cfRule type="cellIs" dxfId="14" priority="32" operator="equal">
      <formula>"Moderado"</formula>
    </cfRule>
    <cfRule type="cellIs" dxfId="13" priority="33" operator="equal">
      <formula>"Bajo"</formula>
    </cfRule>
  </conditionalFormatting>
  <conditionalFormatting sqref="T21">
    <cfRule type="cellIs" dxfId="12" priority="15" operator="equal">
      <formula>"Extremo"</formula>
    </cfRule>
    <cfRule type="cellIs" dxfId="11" priority="16" operator="equal">
      <formula>"Alto"</formula>
    </cfRule>
    <cfRule type="cellIs" dxfId="10" priority="17" operator="equal">
      <formula>"Moderado"</formula>
    </cfRule>
    <cfRule type="cellIs" dxfId="9" priority="18" operator="equal">
      <formula>"Bajo"</formula>
    </cfRule>
  </conditionalFormatting>
  <conditionalFormatting sqref="AF19:AF21">
    <cfRule type="cellIs" dxfId="8" priority="6" operator="equal">
      <formula>"Muy Alta"</formula>
    </cfRule>
    <cfRule type="cellIs" dxfId="7" priority="7" operator="equal">
      <formula>"Alta"</formula>
    </cfRule>
    <cfRule type="cellIs" dxfId="6" priority="8" operator="equal">
      <formula>"Media"</formula>
    </cfRule>
    <cfRule type="cellIs" dxfId="5" priority="9" operator="equal">
      <formula>"Baja"</formula>
    </cfRule>
    <cfRule type="cellIs" dxfId="4" priority="10" operator="equal">
      <formula>"Muy Baja"</formula>
    </cfRule>
  </conditionalFormatting>
  <conditionalFormatting sqref="AJ19:AJ21">
    <cfRule type="cellIs" dxfId="3" priority="11" operator="equal">
      <formula>"Extremo"</formula>
    </cfRule>
    <cfRule type="cellIs" dxfId="2" priority="12" operator="equal">
      <formula>"Alto"</formula>
    </cfRule>
    <cfRule type="cellIs" dxfId="1" priority="13" operator="equal">
      <formula>"Moderado"</formula>
    </cfRule>
    <cfRule type="cellIs" dxfId="0" priority="14" operator="equal">
      <formula>"Bajo"</formula>
    </cfRule>
  </conditionalFormatting>
  <dataValidations count="5">
    <dataValidation type="list" allowBlank="1" showInputMessage="1" showErrorMessage="1" sqref="I27 AG27:AH27">
      <formula1>#REF!</formula1>
    </dataValidation>
    <dataValidation type="list" allowBlank="1" showInputMessage="1" showErrorMessage="1" sqref="X27">
      <formula1>$P$182:$P$183</formula1>
    </dataValidation>
    <dataValidation type="list" allowBlank="1" showInputMessage="1" showErrorMessage="1" sqref="M27">
      <formula1>$M$182:$M$186</formula1>
    </dataValidation>
    <dataValidation type="list" allowBlank="1" showInputMessage="1" showErrorMessage="1" sqref="J27:L27">
      <formula1>$J$182:$J$186</formula1>
    </dataValidation>
    <dataValidation type="list" allowBlank="1" showInputMessage="1" showErrorMessage="1" sqref="AN27 Y27 AA27:AF27">
      <formula1>$AN$182:$AN$189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9">
        <x14:dataValidation type="list" allowBlank="1" showInputMessage="1" showErrorMessage="1">
          <x14:formula1>
            <xm:f>'Tabla Valoración controles'!$D$7:$D$8</xm:f>
          </x14:formula1>
          <xm:sqref>Z9:Z10 Z22:Z23</xm:sqref>
        </x14:dataValidation>
        <x14:dataValidation type="list" allowBlank="1" showInputMessage="1" showErrorMessage="1">
          <x14:formula1>
            <xm:f>'Tabla Valoración controles'!$D$9:$D$10</xm:f>
          </x14:formula1>
          <xm:sqref>AB9:AB10 AB22:AB23</xm:sqref>
        </x14:dataValidation>
        <x14:dataValidation type="list" allowBlank="1" showInputMessage="1" showErrorMessage="1">
          <x14:formula1>
            <xm:f>'Tabla Valoración controles'!$D$11:$D$12</xm:f>
          </x14:formula1>
          <xm:sqref>AC9:AC10 AC22:AC23</xm:sqref>
        </x14:dataValidation>
        <x14:dataValidation type="list" allowBlank="1" showInputMessage="1" showErrorMessage="1">
          <x14:formula1>
            <xm:f>'Tabla Valoración controles'!$D$13:$D$14</xm:f>
          </x14:formula1>
          <xm:sqref>AD9:AD10 AD22:AD23</xm:sqref>
        </x14:dataValidation>
        <x14:dataValidation type="list" allowBlank="1" showInputMessage="1" showErrorMessage="1">
          <x14:formula1>
            <xm:f>'Opciones Tratamiento'!$B$13:$B$19</xm:f>
          </x14:formula1>
          <xm:sqref>J9:J10 J22:J23</xm:sqref>
        </x14:dataValidation>
        <x14:dataValidation type="list" allowBlank="1" showInputMessage="1" showErrorMessage="1">
          <x14:formula1>
            <xm:f>'Tabla Impacto'!$F$210:$F$221</xm:f>
          </x14:formula1>
          <xm:sqref>P9:P10 P22:P23</xm:sqref>
        </x14:dataValidation>
        <x14:dataValidation type="list" allowBlank="1" showInputMessage="1" showErrorMessage="1">
          <x14:formula1>
            <xm:f>'Tabla Valoración controles'!$D$4:$D$6</xm:f>
          </x14:formula1>
          <xm:sqref>Y9:Y10 Y22:Y23</xm:sqref>
        </x14:dataValidation>
        <x14:dataValidation type="list" allowBlank="1" showInputMessage="1" showErrorMessage="1">
          <x14:formula1>
            <xm:f>'Opciones Tratamiento'!$E$2:$E$4</xm:f>
          </x14:formula1>
          <xm:sqref>F9:F10 F22:F23</xm:sqref>
        </x14:dataValidation>
        <x14:dataValidation type="list" allowBlank="1" showInputMessage="1" showErrorMessage="1">
          <x14:formula1>
            <xm:f>'Opciones Tratamiento'!$B$2:$B$5</xm:f>
          </x14:formula1>
          <xm:sqref>AK9:AK10 AK22:AK23</xm:sqref>
        </x14:dataValidation>
        <x14:dataValidation type="list" allowBlank="1" showInputMessage="1" showErrorMessage="1">
          <x14:formula1>
            <xm:f>Listas!$A$2:$A$9</xm:f>
          </x14:formula1>
          <xm:sqref>D9:D10 D22:D23</xm:sqref>
        </x14:dataValidation>
        <x14:dataValidation type="list" allowBlank="1" showInputMessage="1" showErrorMessage="1">
          <x14:formula1>
            <xm:f>Listas!$B$2:$B$7</xm:f>
          </x14:formula1>
          <xm:sqref>E9:E10 E22:E23</xm:sqref>
        </x14:dataValidation>
        <x14:dataValidation type="list" allowBlank="1" showInputMessage="1" showErrorMessage="1">
          <x14:formula1>
            <xm:f>Listas!$C$2:$C$6</xm:f>
          </x14:formula1>
          <xm:sqref>K9:K10 K22:K23</xm:sqref>
        </x14:dataValidation>
        <x14:dataValidation type="list" allowBlank="1" showInputMessage="1" showErrorMessage="1">
          <x14:formula1>
            <xm:f>Listas!$D$2:$D$5</xm:f>
          </x14:formula1>
          <xm:sqref>L9:L10 L22:L23</xm:sqref>
        </x14:dataValidation>
        <x14:dataValidation type="custom" allowBlank="1" showInputMessage="1" showErrorMessage="1" error="Recuerde que las acciones se generan bajo la medida de mitigar el riesgo">
          <x14:formula1>
            <xm:f>IF(OR(AK9='Opciones Tratamiento'!$B$2,AK9='Opciones Tratamiento'!$B$3,AK9='Opciones Tratamiento'!$B$4),ISBLANK(AK9),ISTEXT(AK9))</xm:f>
          </x14:formula1>
          <xm:sqref>AL9:AL10 AL22:AL23</xm:sqref>
        </x14:dataValidation>
        <x14:dataValidation type="custom" allowBlank="1" showInputMessage="1" showErrorMessage="1" error="Recuerde que las acciones se generan bajo la medida de mitigar el riesgo">
          <x14:formula1>
            <xm:f>IF(OR(AJ9='Opciones Tratamiento'!$B$2,AJ9='Opciones Tratamiento'!$B$3,AJ9='Opciones Tratamiento'!$B$4),ISBLANK(AJ9),ISTEXT(AJ9))</xm:f>
          </x14:formula1>
          <xm:sqref>AM9:AM10 AM22:AM23</xm:sqref>
        </x14:dataValidation>
        <x14:dataValidation type="custom" allowBlank="1" showInputMessage="1" showErrorMessage="1" error="Recuerde que las acciones se generan bajo la medida de mitigar el riesgo">
          <x14:formula1>
            <xm:f>IF(OR(AJ9='Opciones Tratamiento'!$B$2,AJ9='Opciones Tratamiento'!$B$3,AJ9='Opciones Tratamiento'!$B$4),ISBLANK(AJ9),ISTEXT(AJ9))</xm:f>
          </x14:formula1>
          <xm:sqref>AN9:AN10 AN22:AN23</xm:sqref>
        </x14:dataValidation>
        <x14:dataValidation type="list" allowBlank="1" showInputMessage="1" showErrorMessage="1">
          <x14:formula1>
            <xm:f>'C:\Users\ANDRES\Downloads\[mapaderiesgoinvestigacion24.xlsx]Listas'!#REF!</xm:f>
          </x14:formula1>
          <xm:sqref>L11</xm:sqref>
        </x14:dataValidation>
        <x14:dataValidation type="list" allowBlank="1" showInputMessage="1" showErrorMessage="1">
          <x14:formula1>
            <xm:f>'C:\Users\ANDRES\Downloads\[mapaderiesgoinvestigacion24.xlsx]Listas'!#REF!</xm:f>
          </x14:formula1>
          <xm:sqref>K11</xm:sqref>
        </x14:dataValidation>
        <x14:dataValidation type="list" allowBlank="1" showInputMessage="1" showErrorMessage="1">
          <x14:formula1>
            <xm:f>'C:\Users\ANDRES\Downloads\[mapaderiesgoinvestigacion24.xlsx]Listas'!#REF!</xm:f>
          </x14:formula1>
          <xm:sqref>E11</xm:sqref>
        </x14:dataValidation>
        <x14:dataValidation type="list" allowBlank="1" showInputMessage="1" showErrorMessage="1">
          <x14:formula1>
            <xm:f>'C:\Users\ANDRES\Downloads\[mapaderiesgoinvestigacion24.xlsx]Listas'!#REF!</xm:f>
          </x14:formula1>
          <xm:sqref>D11</xm:sqref>
        </x14:dataValidation>
        <x14:dataValidation type="custom" allowBlank="1" showInputMessage="1" showErrorMessage="1" error="Recuerde que las acciones se generan bajo la medida de mitigar el riesgo">
          <x14:formula1>
            <xm:f>IF(OR(AK12='C:\Users\ANDRES\Downloads\[MAPA DE RIESGOS IBTI 2022 (1).xlsx]Opciones Tratamiento'!#REF!,AK12='C:\Users\ANDRES\Downloads\[MAPA DE RIESGOS IBTI 2022 (1).xlsx]Opciones Tratamiento'!#REF!,AK12='C:\Users\ANDRES\Downloads\[MAPA DE RIESGOS IBTI 2022 (1).xlsx]Opciones Tratamiento'!#REF!),ISBLANK(AK12),ISTEXT(AK12))</xm:f>
          </x14:formula1>
          <xm:sqref>AL12</xm:sqref>
        </x14:dataValidation>
        <x14:dataValidation type="list" allowBlank="1" showInputMessage="1" showErrorMessage="1">
          <x14:formula1>
            <xm:f>'C:\Users\ANDRES\Downloads\[mapaderiesgodocenciaibti24.xlsx]Listas'!#REF!</xm:f>
          </x14:formula1>
          <xm:sqref>K12</xm:sqref>
        </x14:dataValidation>
        <x14:dataValidation type="list" allowBlank="1" showInputMessage="1" showErrorMessage="1">
          <x14:formula1>
            <xm:f>'C:\Users\ANDRES\Downloads\[mapaderiesgodocenciaibti24.xlsx]Listas'!#REF!</xm:f>
          </x14:formula1>
          <xm:sqref>E12</xm:sqref>
        </x14:dataValidation>
        <x14:dataValidation type="list" allowBlank="1" showInputMessage="1" showErrorMessage="1">
          <x14:formula1>
            <xm:f>'C:\Users\ANDRES\Downloads\[mapaderiesgodocenciaibti24.xlsx]Listas'!#REF!</xm:f>
          </x14:formula1>
          <xm:sqref>D12</xm:sqref>
        </x14:dataValidation>
        <x14:dataValidation type="list" allowBlank="1" showInputMessage="1" showErrorMessage="1">
          <x14:formula1>
            <xm:f>'C:\Users\ANDRES\Downloads\[mapaderiesgodocenciaibti24.xlsx]Tabla Impacto'!#REF!</xm:f>
          </x14:formula1>
          <xm:sqref>P12</xm:sqref>
        </x14:dataValidation>
        <x14:dataValidation type="list" allowBlank="1" showInputMessage="1" showErrorMessage="1">
          <x14:formula1>
            <xm:f>'C:\Users\ANDRES\Downloads\[mapaderiesgodocenciaibti24.xlsx]Opciones Tratamiento'!#REF!</xm:f>
          </x14:formula1>
          <xm:sqref>AK12</xm:sqref>
        </x14:dataValidation>
        <x14:dataValidation type="list" allowBlank="1" showInputMessage="1" showErrorMessage="1">
          <x14:formula1>
            <xm:f>'C:\Users\ANDRES\Downloads\[mapaderiesgodocenciaibti24.xlsx]Opciones Tratamiento'!#REF!</xm:f>
          </x14:formula1>
          <xm:sqref>F12</xm:sqref>
        </x14:dataValidation>
        <x14:dataValidation type="list" allowBlank="1" showInputMessage="1" showErrorMessage="1">
          <x14:formula1>
            <xm:f>'C:\Users\ANDRES\Downloads\[mapaderiesgodocenciaibti24.xlsx]Opciones Tratamiento'!#REF!</xm:f>
          </x14:formula1>
          <xm:sqref>J12</xm:sqref>
        </x14:dataValidation>
        <x14:dataValidation type="list" allowBlank="1" showInputMessage="1" showErrorMessage="1">
          <x14:formula1>
            <xm:f>'C:\Users\ANDRES\Downloads\[mapaderiesgodocenciaibti24.xlsx]Tabla Valoración controles'!#REF!</xm:f>
          </x14:formula1>
          <xm:sqref>AD12</xm:sqref>
        </x14:dataValidation>
        <x14:dataValidation type="list" allowBlank="1" showInputMessage="1" showErrorMessage="1">
          <x14:formula1>
            <xm:f>'C:\Users\ANDRES\Downloads\[mapaderiesgodocenciaibti24.xlsx]Tabla Valoración controles'!#REF!</xm:f>
          </x14:formula1>
          <xm:sqref>AC12</xm:sqref>
        </x14:dataValidation>
        <x14:dataValidation type="list" allowBlank="1" showInputMessage="1" showErrorMessage="1">
          <x14:formula1>
            <xm:f>'C:\Users\ANDRES\Downloads\[mapaderiesgodocenciaibti24.xlsx]Tabla Valoración controles'!#REF!</xm:f>
          </x14:formula1>
          <xm:sqref>AB12</xm:sqref>
        </x14:dataValidation>
        <x14:dataValidation type="list" allowBlank="1" showInputMessage="1" showErrorMessage="1">
          <x14:formula1>
            <xm:f>'C:\Users\ANDRES\Downloads\[mapaderiesgodocenciaibti24.xlsx]Tabla Valoración controles'!#REF!</xm:f>
          </x14:formula1>
          <xm:sqref>Z12</xm:sqref>
        </x14:dataValidation>
        <x14:dataValidation type="list" allowBlank="1" showInputMessage="1" showErrorMessage="1">
          <x14:formula1>
            <xm:f>'C:\Users\ANDRES\Downloads\[mapaderiesgodocenciaibti24.xlsx]Tabla Valoración controles'!#REF!</xm:f>
          </x14:formula1>
          <xm:sqref>Y12</xm:sqref>
        </x14:dataValidation>
        <x14:dataValidation type="list" allowBlank="1" showInputMessage="1" showErrorMessage="1">
          <x14:formula1>
            <xm:f>'C:\Users\ANDRES\Downloads\[mapaderiesgodocenciapes24.xlsx]Opciones Tratamiento'!#REF!</xm:f>
          </x14:formula1>
          <xm:sqref>F13</xm:sqref>
        </x14:dataValidation>
        <x14:dataValidation type="list" allowBlank="1" showInputMessage="1" showErrorMessage="1">
          <x14:formula1>
            <xm:f>'C:\Users\ANDRES\Downloads\[mapaderiesgodocenciapes24.xlsx]Listas'!#REF!</xm:f>
          </x14:formula1>
          <xm:sqref>K13</xm:sqref>
        </x14:dataValidation>
        <x14:dataValidation type="list" allowBlank="1" showInputMessage="1" showErrorMessage="1">
          <x14:formula1>
            <xm:f>'C:\Users\ANDRES\Downloads\[mapaderiesgodocenciapes24.xlsx]Listas'!#REF!</xm:f>
          </x14:formula1>
          <xm:sqref>J13</xm:sqref>
        </x14:dataValidation>
        <x14:dataValidation type="list" allowBlank="1" showInputMessage="1" showErrorMessage="1">
          <x14:formula1>
            <xm:f>'C:\Users\ANDRES\Downloads\[mapaderiesgodocenciapes24.xlsx]Listas'!#REF!</xm:f>
          </x14:formula1>
          <xm:sqref>E13</xm:sqref>
        </x14:dataValidation>
        <x14:dataValidation type="list" allowBlank="1" showInputMessage="1" showErrorMessage="1">
          <x14:formula1>
            <xm:f>'C:\Users\ANDRES\Downloads\[mapaderiesgodocenciapes24.xlsx]Opciones Tratamiento'!#REF!</xm:f>
          </x14:formula1>
          <xm:sqref>I13</xm:sqref>
        </x14:dataValidation>
        <x14:dataValidation type="list" allowBlank="1" showInputMessage="1" showErrorMessage="1">
          <x14:formula1>
            <xm:f>'C:\Users\ANDRES\Downloads\[mapaderiesgodocenciapes24.xlsx]Tabla Valoración controles'!#REF!</xm:f>
          </x14:formula1>
          <xm:sqref>AD13</xm:sqref>
        </x14:dataValidation>
        <x14:dataValidation type="list" allowBlank="1" showInputMessage="1" showErrorMessage="1">
          <x14:formula1>
            <xm:f>'C:\Users\ANDRES\Downloads\[mapaderiesgodocenciapes24.xlsx]Tabla Valoración controles'!#REF!</xm:f>
          </x14:formula1>
          <xm:sqref>AC13</xm:sqref>
        </x14:dataValidation>
        <x14:dataValidation type="list" allowBlank="1" showInputMessage="1" showErrorMessage="1">
          <x14:formula1>
            <xm:f>'C:\Users\ANDRES\Downloads\[mapaderiesgodocenciapes24.xlsx]Tabla Valoración controles'!#REF!</xm:f>
          </x14:formula1>
          <xm:sqref>AB13</xm:sqref>
        </x14:dataValidation>
        <x14:dataValidation type="list" allowBlank="1" showInputMessage="1" showErrorMessage="1">
          <x14:formula1>
            <xm:f>'C:\Users\ANDRES\Downloads\[mapaderiesgodocenciapes24.xlsx]Tabla Valoración controles'!#REF!</xm:f>
          </x14:formula1>
          <xm:sqref>Z13</xm:sqref>
        </x14:dataValidation>
        <x14:dataValidation type="list" allowBlank="1" showInputMessage="1" showErrorMessage="1">
          <x14:formula1>
            <xm:f>'C:\Users\ANDRES\Downloads\[mapaderiesgodocenciapes24.xlsx]Tabla Valoración controles'!#REF!</xm:f>
          </x14:formula1>
          <xm:sqref>Y13</xm:sqref>
        </x14:dataValidation>
        <x14:dataValidation type="list" allowBlank="1" showInputMessage="1" showErrorMessage="1">
          <x14:formula1>
            <xm:f>'C:\Users\ANDRES\Downloads\[mapaderiesgodocenciapes24.xlsx]Opciones Tratamiento'!#REF!</xm:f>
          </x14:formula1>
          <xm:sqref>AK13</xm:sqref>
        </x14:dataValidation>
        <x14:dataValidation type="list" allowBlank="1" showInputMessage="1" showErrorMessage="1">
          <x14:formula1>
            <xm:f>'C:\Users\ANDRES\Downloads\[mapaderiesgodocenciapes24.xlsx]Listas'!#REF!</xm:f>
          </x14:formula1>
          <xm:sqref>D13</xm:sqref>
        </x14:dataValidation>
        <x14:dataValidation type="list" allowBlank="1" showInputMessage="1" showErrorMessage="1">
          <x14:formula1>
            <xm:f>'C:\Users\ANDRES\Downloads\[mapaderiesgodocenciapes24.xlsx]Tabla Impacto'!#REF!</xm:f>
          </x14:formula1>
          <xm:sqref>O13</xm:sqref>
        </x14:dataValidation>
        <x14:dataValidation type="list" allowBlank="1" showInputMessage="1" showErrorMessage="1">
          <x14:formula1>
            <xm:f>'C:\Users\ANDRES\Downloads\[mapaderiesgoextension24.xlsx]Listas'!#REF!</xm:f>
          </x14:formula1>
          <xm:sqref>L14</xm:sqref>
        </x14:dataValidation>
        <x14:dataValidation type="list" allowBlank="1" showInputMessage="1" showErrorMessage="1">
          <x14:formula1>
            <xm:f>'C:\Users\ANDRES\Downloads\[mapaderiesgoextension24.xlsx]Listas'!#REF!</xm:f>
          </x14:formula1>
          <xm:sqref>K14</xm:sqref>
        </x14:dataValidation>
        <x14:dataValidation type="list" allowBlank="1" showInputMessage="1" showErrorMessage="1">
          <x14:formula1>
            <xm:f>'C:\Users\ANDRES\Downloads\[mapaderiesgoextension24.xlsx]Listas'!#REF!</xm:f>
          </x14:formula1>
          <xm:sqref>E14</xm:sqref>
        </x14:dataValidation>
        <x14:dataValidation type="list" allowBlank="1" showInputMessage="1" showErrorMessage="1">
          <x14:formula1>
            <xm:f>'C:\Users\ANDRES\Downloads\[mapaderiesgoextension24.xlsx]Listas'!#REF!</xm:f>
          </x14:formula1>
          <xm:sqref>D14</xm:sqref>
        </x14:dataValidation>
        <x14:dataValidation type="list" allowBlank="1" showInputMessage="1" showErrorMessage="1">
          <x14:formula1>
            <xm:f>'C:\Users\ANDRES\Downloads\[mapaderiesgosadquisiones24.xlsx]Listas'!#REF!</xm:f>
          </x14:formula1>
          <xm:sqref>L15</xm:sqref>
        </x14:dataValidation>
        <x14:dataValidation type="list" allowBlank="1" showInputMessage="1" showErrorMessage="1">
          <x14:formula1>
            <xm:f>'C:\Users\ANDRES\Downloads\[mapaderiesgosadquisiones24.xlsx]Listas'!#REF!</xm:f>
          </x14:formula1>
          <xm:sqref>K15</xm:sqref>
        </x14:dataValidation>
        <x14:dataValidation type="list" allowBlank="1" showInputMessage="1" showErrorMessage="1">
          <x14:formula1>
            <xm:f>'C:\Users\ANDRES\Downloads\[mapaderiesgosadquisiones24.xlsx]Listas'!#REF!</xm:f>
          </x14:formula1>
          <xm:sqref>E15</xm:sqref>
        </x14:dataValidation>
        <x14:dataValidation type="list" allowBlank="1" showInputMessage="1" showErrorMessage="1">
          <x14:formula1>
            <xm:f>'C:\Users\ANDRES\Downloads\[mapaderiesgosadquisiones24.xlsx]Listas'!#REF!</xm:f>
          </x14:formula1>
          <xm:sqref>D15</xm:sqref>
        </x14:dataValidation>
        <x14:dataValidation type="custom" allowBlank="1" showInputMessage="1" showErrorMessage="1" error="Recuerde que las acciones se generan bajo la medida de mitigar el riesgo">
          <x14:formula1>
            <xm:f>IF(OR(AK15='C:\Users\ANDRES\Downloads\[mapaderiesgosadquisiones24.xlsx]Opciones Tratamiento'!#REF!,AK15='C:\Users\ANDRES\Downloads\[mapaderiesgosadquisiones24.xlsx]Opciones Tratamiento'!#REF!,AK15='C:\Users\ANDRES\Downloads\[mapaderiesgosadquisiones24.xlsx]Opciones Tratamiento'!#REF!),ISBLANK(AK15),ISTEXT(AK15))</xm:f>
          </x14:formula1>
          <xm:sqref>AN16</xm:sqref>
        </x14:dataValidation>
        <x14:dataValidation type="custom" allowBlank="1" showInputMessage="1" showErrorMessage="1" error="Recuerde que las acciones se generan bajo la medida de mitigar el riesgo">
          <x14:formula1>
            <xm:f>IF(OR(AK15='C:\Users\ANDRES\Downloads\[mapaderiesgosadquisiones24.xlsx]Opciones Tratamiento'!#REF!,AK15='C:\Users\ANDRES\Downloads\[mapaderiesgosadquisiones24.xlsx]Opciones Tratamiento'!#REF!,AK15='C:\Users\ANDRES\Downloads\[mapaderiesgosadquisiones24.xlsx]Opciones Tratamiento'!#REF!),ISBLANK(AK15),ISTEXT(AK15))</xm:f>
          </x14:formula1>
          <xm:sqref>AM15</xm:sqref>
        </x14:dataValidation>
        <x14:dataValidation type="list" allowBlank="1" showInputMessage="1" showErrorMessage="1">
          <x14:formula1>
            <xm:f>'C:\Users\ANDRES\Downloads\[mapaderiesgosadquisiones24.xlsx]Tabla Impacto'!#REF!</xm:f>
          </x14:formula1>
          <xm:sqref>P15</xm:sqref>
        </x14:dataValidation>
        <x14:dataValidation type="list" allowBlank="1" showInputMessage="1" showErrorMessage="1">
          <x14:formula1>
            <xm:f>'C:\Users\ANDRES\Downloads\[mapaderiesgosadquisiones24.xlsx]Opciones Tratamiento'!#REF!</xm:f>
          </x14:formula1>
          <xm:sqref>AK15</xm:sqref>
        </x14:dataValidation>
        <x14:dataValidation type="list" allowBlank="1" showInputMessage="1" showErrorMessage="1">
          <x14:formula1>
            <xm:f>'C:\Users\ANDRES\Downloads\[mapaderiesgosadquisiones24.xlsx]Opciones Tratamiento'!#REF!</xm:f>
          </x14:formula1>
          <xm:sqref>F15</xm:sqref>
        </x14:dataValidation>
        <x14:dataValidation type="list" allowBlank="1" showInputMessage="1" showErrorMessage="1">
          <x14:formula1>
            <xm:f>'C:\Users\ANDRES\Downloads\[mapaderiesgosadquisiones24.xlsx]Opciones Tratamiento'!#REF!</xm:f>
          </x14:formula1>
          <xm:sqref>J15</xm:sqref>
        </x14:dataValidation>
        <x14:dataValidation type="list" allowBlank="1" showInputMessage="1" showErrorMessage="1">
          <x14:formula1>
            <xm:f>'C:\Users\ANDRES\Downloads\[mapaderiesgosadquisiones24.xlsx]Tabla Valoración controles'!#REF!</xm:f>
          </x14:formula1>
          <xm:sqref>AD15</xm:sqref>
        </x14:dataValidation>
        <x14:dataValidation type="list" allowBlank="1" showInputMessage="1" showErrorMessage="1">
          <x14:formula1>
            <xm:f>'C:\Users\ANDRES\Downloads\[mapaderiesgosadquisiones24.xlsx]Tabla Valoración controles'!#REF!</xm:f>
          </x14:formula1>
          <xm:sqref>AC15</xm:sqref>
        </x14:dataValidation>
        <x14:dataValidation type="list" allowBlank="1" showInputMessage="1" showErrorMessage="1">
          <x14:formula1>
            <xm:f>'C:\Users\ANDRES\Downloads\[mapaderiesgosadquisiones24.xlsx]Tabla Valoración controles'!#REF!</xm:f>
          </x14:formula1>
          <xm:sqref>AB15</xm:sqref>
        </x14:dataValidation>
        <x14:dataValidation type="list" allowBlank="1" showInputMessage="1" showErrorMessage="1">
          <x14:formula1>
            <xm:f>'C:\Users\ANDRES\Downloads\[mapaderiesgosadquisiones24.xlsx]Tabla Valoración controles'!#REF!</xm:f>
          </x14:formula1>
          <xm:sqref>Z15</xm:sqref>
        </x14:dataValidation>
        <x14:dataValidation type="list" allowBlank="1" showInputMessage="1" showErrorMessage="1">
          <x14:formula1>
            <xm:f>'C:\Users\ANDRES\Downloads\[mapaderiesgosadquisiones24.xlsx]Tabla Valoración controles'!#REF!</xm:f>
          </x14:formula1>
          <xm:sqref>Y15</xm:sqref>
        </x14:dataValidation>
        <x14:dataValidation type="list" allowBlank="1" showInputMessage="1" showErrorMessage="1">
          <x14:formula1>
            <xm:f>'C:\Users\ANDRES\Downloads\[mapaderiesgodisciplinario24.xlsx]Listas'!#REF!</xm:f>
          </x14:formula1>
          <xm:sqref>L17</xm:sqref>
        </x14:dataValidation>
        <x14:dataValidation type="list" allowBlank="1" showInputMessage="1" showErrorMessage="1">
          <x14:formula1>
            <xm:f>'C:\Users\ANDRES\Downloads\[mapaderiesgodisciplinario24.xlsx]Listas'!#REF!</xm:f>
          </x14:formula1>
          <xm:sqref>K17</xm:sqref>
        </x14:dataValidation>
        <x14:dataValidation type="list" allowBlank="1" showInputMessage="1" showErrorMessage="1">
          <x14:formula1>
            <xm:f>'C:\Users\ANDRES\Downloads\[mapaderiesgodisciplinario24.xlsx]Listas'!#REF!</xm:f>
          </x14:formula1>
          <xm:sqref>E17</xm:sqref>
        </x14:dataValidation>
        <x14:dataValidation type="list" allowBlank="1" showInputMessage="1" showErrorMessage="1">
          <x14:formula1>
            <xm:f>'C:\Users\ANDRES\Downloads\[mapaderiesgodisciplinario24.xlsx]Listas'!#REF!</xm:f>
          </x14:formula1>
          <xm:sqref>D17</xm:sqref>
        </x14:dataValidation>
        <x14:dataValidation type="list" allowBlank="1" showInputMessage="1" showErrorMessage="1">
          <x14:formula1>
            <xm:f>'C:\Users\ANDRES\Downloads\[mapaderiesgoth24.xlsx]Listas'!#REF!</xm:f>
          </x14:formula1>
          <xm:sqref>L18</xm:sqref>
        </x14:dataValidation>
        <x14:dataValidation type="list" allowBlank="1" showInputMessage="1" showErrorMessage="1">
          <x14:formula1>
            <xm:f>'C:\Users\ANDRES\Downloads\[mapaderiesgoth24.xlsx]Listas'!#REF!</xm:f>
          </x14:formula1>
          <xm:sqref>K18</xm:sqref>
        </x14:dataValidation>
        <x14:dataValidation type="list" allowBlank="1" showInputMessage="1" showErrorMessage="1">
          <x14:formula1>
            <xm:f>'C:\Users\ANDRES\Downloads\[mapaderiesgoth24.xlsx]Listas'!#REF!</xm:f>
          </x14:formula1>
          <xm:sqref>E18</xm:sqref>
        </x14:dataValidation>
        <x14:dataValidation type="list" allowBlank="1" showInputMessage="1" showErrorMessage="1">
          <x14:formula1>
            <xm:f>'C:\Users\ANDRES\Downloads\[mapaderiesgoth24.xlsx]Listas'!#REF!</xm:f>
          </x14:formula1>
          <xm:sqref>D18</xm:sqref>
        </x14:dataValidation>
        <x14:dataValidation type="custom" allowBlank="1" showInputMessage="1" showErrorMessage="1" error="Recuerde que las acciones se generan bajo la medida de mitigar el riesgo">
          <x14:formula1>
            <xm:f>IF(OR(AK19='C:\Users\ANDRES\Downloads\[mapaderiesgodocumental24.xlsx]Opciones Tratamiento'!#REF!,AK19='C:\Users\ANDRES\Downloads\[mapaderiesgodocumental24.xlsx]Opciones Tratamiento'!#REF!,AK19='C:\Users\ANDRES\Downloads\[mapaderiesgodocumental24.xlsx]Opciones Tratamiento'!#REF!),ISBLANK(AK19),ISTEXT(AK19))</xm:f>
          </x14:formula1>
          <xm:sqref>AN19:AN21</xm:sqref>
        </x14:dataValidation>
        <x14:dataValidation type="custom" allowBlank="1" showInputMessage="1" showErrorMessage="1" error="Recuerde que las acciones se generan bajo la medida de mitigar el riesgo">
          <x14:formula1>
            <xm:f>IF(OR(AK19='C:\Users\ANDRES\Downloads\[mapaderiesgodocumental24.xlsx]Opciones Tratamiento'!#REF!,AK19='C:\Users\ANDRES\Downloads\[mapaderiesgodocumental24.xlsx]Opciones Tratamiento'!#REF!,AK19='C:\Users\ANDRES\Downloads\[mapaderiesgodocumental24.xlsx]Opciones Tratamiento'!#REF!),ISBLANK(AK19),ISTEXT(AK19))</xm:f>
          </x14:formula1>
          <xm:sqref>AM19:AM21</xm:sqref>
        </x14:dataValidation>
        <x14:dataValidation type="custom" allowBlank="1" showInputMessage="1" showErrorMessage="1" error="Recuerde que las acciones se generan bajo la medida de mitigar el riesgo">
          <x14:formula1>
            <xm:f>IF(OR(AK19='C:\Users\ANDRES\Downloads\[mapaderiesgodocumental24.xlsx]Opciones Tratamiento'!#REF!,AK19='C:\Users\ANDRES\Downloads\[mapaderiesgodocumental24.xlsx]Opciones Tratamiento'!#REF!,AK19='C:\Users\ANDRES\Downloads\[mapaderiesgodocumental24.xlsx]Opciones Tratamiento'!#REF!),ISBLANK(AK19),ISTEXT(AK19))</xm:f>
          </x14:formula1>
          <xm:sqref>AL19:AL21</xm:sqref>
        </x14:dataValidation>
        <x14:dataValidation type="list" allowBlank="1" showInputMessage="1" showErrorMessage="1">
          <x14:formula1>
            <xm:f>'C:\Users\ANDRES\Downloads\[mapaderiesgodocumental24.xlsx]Opciones Tratamiento'!#REF!</xm:f>
          </x14:formula1>
          <xm:sqref>AK19:AK21</xm:sqref>
        </x14:dataValidation>
        <x14:dataValidation type="list" allowBlank="1" showInputMessage="1" showErrorMessage="1">
          <x14:formula1>
            <xm:f>'C:\Users\ANDRES\Downloads\[mapaderiesgodocumental24.xlsx]Opciones Tratamiento'!#REF!</xm:f>
          </x14:formula1>
          <xm:sqref>F19:F21</xm:sqref>
        </x14:dataValidation>
        <x14:dataValidation type="list" allowBlank="1" showInputMessage="1" showErrorMessage="1">
          <x14:formula1>
            <xm:f>'C:\Users\ANDRES\Downloads\[mapaderiesgodocumental24.xlsx]Opciones Tratamiento'!#REF!</xm:f>
          </x14:formula1>
          <xm:sqref>J19:J21</xm:sqref>
        </x14:dataValidation>
        <x14:dataValidation type="list" allowBlank="1" showInputMessage="1" showErrorMessage="1">
          <x14:formula1>
            <xm:f>'C:\Users\ANDRES\Downloads\[mapaderiesgodocumental24.xlsx]Tabla Valoración controles'!#REF!</xm:f>
          </x14:formula1>
          <xm:sqref>AD19:AD21</xm:sqref>
        </x14:dataValidation>
        <x14:dataValidation type="list" allowBlank="1" showInputMessage="1" showErrorMessage="1">
          <x14:formula1>
            <xm:f>'C:\Users\ANDRES\Downloads\[mapaderiesgodocumental24.xlsx]Tabla Valoración controles'!#REF!</xm:f>
          </x14:formula1>
          <xm:sqref>AC19:AC21</xm:sqref>
        </x14:dataValidation>
        <x14:dataValidation type="list" allowBlank="1" showInputMessage="1" showErrorMessage="1">
          <x14:formula1>
            <xm:f>'C:\Users\ANDRES\Downloads\[mapaderiesgodocumental24.xlsx]Tabla Valoración controles'!#REF!</xm:f>
          </x14:formula1>
          <xm:sqref>AB19:AB21</xm:sqref>
        </x14:dataValidation>
        <x14:dataValidation type="list" allowBlank="1" showInputMessage="1" showErrorMessage="1">
          <x14:formula1>
            <xm:f>'C:\Users\ANDRES\Downloads\[mapaderiesgodocumental24.xlsx]Tabla Valoración controles'!#REF!</xm:f>
          </x14:formula1>
          <xm:sqref>Z19:Z21</xm:sqref>
        </x14:dataValidation>
        <x14:dataValidation type="list" allowBlank="1" showInputMessage="1" showErrorMessage="1">
          <x14:formula1>
            <xm:f>'C:\Users\ANDRES\Downloads\[mapaderiesgodocumental24.xlsx]Tabla Valoración controles'!#REF!</xm:f>
          </x14:formula1>
          <xm:sqref>Y19:Y21</xm:sqref>
        </x14:dataValidation>
        <x14:dataValidation type="list" allowBlank="1" showInputMessage="1" showErrorMessage="1">
          <x14:formula1>
            <xm:f>'C:\Users\plandeaccion\OneDrive - Escuela Tecnologica Instituto Tecnico Central\A. Vigencia 2022\PAAC 2022\2º LÌNEA DE DEFENCSA\[GESTIÓN DE RECURSOS FÍSICOS.xlsx]Tabla Impacto'!#REF!</xm:f>
          </x14:formula1>
          <xm:sqref>P19 P21:Q21</xm:sqref>
        </x14:dataValidation>
        <x14:dataValidation type="list" allowBlank="1" showInputMessage="1" showErrorMessage="1">
          <x14:formula1>
            <xm:f>'C:\Users\ANDRES\Downloads\[mapaderiesgodocumental24.xlsx]Listas'!#REF!</xm:f>
          </x14:formula1>
          <xm:sqref>L21 L19</xm:sqref>
        </x14:dataValidation>
        <x14:dataValidation type="list" allowBlank="1" showInputMessage="1" showErrorMessage="1">
          <x14:formula1>
            <xm:f>'C:\Users\ANDRES\Downloads\[mapaderiesgodocumental24.xlsx]Listas'!#REF!</xm:f>
          </x14:formula1>
          <xm:sqref>K21 K19</xm:sqref>
        </x14:dataValidation>
        <x14:dataValidation type="list" allowBlank="1" showInputMessage="1" showErrorMessage="1">
          <x14:formula1>
            <xm:f>'C:\Users\ANDRES\Downloads\[mapaderiesgodocumental24.xlsx]Listas'!#REF!</xm:f>
          </x14:formula1>
          <xm:sqref>E21 E19</xm:sqref>
        </x14:dataValidation>
        <x14:dataValidation type="list" allowBlank="1" showInputMessage="1" showErrorMessage="1">
          <x14:formula1>
            <xm:f>'C:\Users\ANDRES\Downloads\[mapaderiesgodocumental24.xlsx]Listas'!#REF!</xm:f>
          </x14:formula1>
          <xm:sqref>D21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RowHeight="15" x14ac:dyDescent="0.25"/>
  <sheetData>
    <row r="1" spans="1:4" x14ac:dyDescent="0.25">
      <c r="A1" t="s">
        <v>219</v>
      </c>
      <c r="B1" t="s">
        <v>228</v>
      </c>
      <c r="C1" t="s">
        <v>234</v>
      </c>
      <c r="D1" t="s">
        <v>243</v>
      </c>
    </row>
    <row r="2" spans="1:4" x14ac:dyDescent="0.25">
      <c r="A2" t="s">
        <v>227</v>
      </c>
      <c r="B2" t="s">
        <v>229</v>
      </c>
      <c r="C2" t="s">
        <v>235</v>
      </c>
      <c r="D2" t="s">
        <v>240</v>
      </c>
    </row>
    <row r="3" spans="1:4" x14ac:dyDescent="0.25">
      <c r="A3" t="s">
        <v>220</v>
      </c>
      <c r="B3" t="s">
        <v>222</v>
      </c>
      <c r="C3" t="s">
        <v>236</v>
      </c>
      <c r="D3" t="s">
        <v>241</v>
      </c>
    </row>
    <row r="4" spans="1:4" x14ac:dyDescent="0.25">
      <c r="A4" t="s">
        <v>221</v>
      </c>
      <c r="B4" t="s">
        <v>230</v>
      </c>
      <c r="C4" t="s">
        <v>237</v>
      </c>
      <c r="D4" t="s">
        <v>242</v>
      </c>
    </row>
    <row r="5" spans="1:4" x14ac:dyDescent="0.25">
      <c r="A5" t="s">
        <v>222</v>
      </c>
      <c r="B5" t="s">
        <v>231</v>
      </c>
      <c r="C5" t="s">
        <v>238</v>
      </c>
      <c r="D5" t="s">
        <v>239</v>
      </c>
    </row>
    <row r="6" spans="1:4" x14ac:dyDescent="0.25">
      <c r="A6" t="s">
        <v>223</v>
      </c>
      <c r="B6" t="s">
        <v>232</v>
      </c>
      <c r="C6" t="s">
        <v>239</v>
      </c>
    </row>
    <row r="7" spans="1:4" x14ac:dyDescent="0.25">
      <c r="A7" t="s">
        <v>224</v>
      </c>
      <c r="B7" t="s">
        <v>233</v>
      </c>
    </row>
    <row r="8" spans="1:4" x14ac:dyDescent="0.25">
      <c r="A8" t="s">
        <v>225</v>
      </c>
    </row>
    <row r="9" spans="1:4" x14ac:dyDescent="0.25">
      <c r="A9" t="s">
        <v>226</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284" t="s">
        <v>154</v>
      </c>
      <c r="C2" s="284"/>
      <c r="D2" s="284"/>
      <c r="E2" s="284"/>
      <c r="F2" s="284"/>
      <c r="G2" s="284"/>
      <c r="H2" s="284"/>
      <c r="I2" s="284"/>
      <c r="J2" s="252" t="s">
        <v>2</v>
      </c>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284"/>
      <c r="C3" s="284"/>
      <c r="D3" s="284"/>
      <c r="E3" s="284"/>
      <c r="F3" s="284"/>
      <c r="G3" s="284"/>
      <c r="H3" s="284"/>
      <c r="I3" s="284"/>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284"/>
      <c r="C4" s="284"/>
      <c r="D4" s="284"/>
      <c r="E4" s="284"/>
      <c r="F4" s="284"/>
      <c r="G4" s="284"/>
      <c r="H4" s="284"/>
      <c r="I4" s="284"/>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199" t="s">
        <v>4</v>
      </c>
      <c r="C6" s="199"/>
      <c r="D6" s="200"/>
      <c r="E6" s="237" t="s">
        <v>112</v>
      </c>
      <c r="F6" s="238"/>
      <c r="G6" s="238"/>
      <c r="H6" s="238"/>
      <c r="I6" s="239"/>
      <c r="J6" s="248" t="e">
        <f>IF(AND('Mapa final'!#REF!="Muy Alta",'Mapa final'!#REF!="Leve"),CONCATENATE("R",'Mapa final'!#REF!),"")</f>
        <v>#REF!</v>
      </c>
      <c r="K6" s="249"/>
      <c r="L6" s="249" t="str">
        <f>IF(AND('Mapa final'!$N$9="Muy Alta",'Mapa final'!$R$9="Leve"),CONCATENATE("R",'Mapa final'!$A$9),"")</f>
        <v/>
      </c>
      <c r="M6" s="249"/>
      <c r="N6" s="249" t="e">
        <f>IF(AND('Mapa final'!#REF!="Muy Alta",'Mapa final'!#REF!="Leve"),CONCATENATE("R",'Mapa final'!#REF!),"")</f>
        <v>#REF!</v>
      </c>
      <c r="O6" s="251"/>
      <c r="P6" s="248" t="e">
        <f>IF(AND('Mapa final'!#REF!="Muy Alta",'Mapa final'!#REF!="Menor"),CONCATENATE("R",'Mapa final'!#REF!),"")</f>
        <v>#REF!</v>
      </c>
      <c r="Q6" s="249"/>
      <c r="R6" s="249" t="str">
        <f>IF(AND('Mapa final'!$N$9="Muy Alta",'Mapa final'!$R$9="Menor"),CONCATENATE("R",'Mapa final'!$A$9),"")</f>
        <v/>
      </c>
      <c r="S6" s="249"/>
      <c r="T6" s="249" t="e">
        <f>IF(AND('Mapa final'!#REF!="Muy Alta",'Mapa final'!#REF!="Menor"),CONCATENATE("R",'Mapa final'!#REF!),"")</f>
        <v>#REF!</v>
      </c>
      <c r="U6" s="251"/>
      <c r="V6" s="248" t="e">
        <f>IF(AND('Mapa final'!#REF!="Muy Alta",'Mapa final'!#REF!="Moderado"),CONCATENATE("R",'Mapa final'!#REF!),"")</f>
        <v>#REF!</v>
      </c>
      <c r="W6" s="249"/>
      <c r="X6" s="249" t="str">
        <f>IF(AND('Mapa final'!$N$9="Muy Alta",'Mapa final'!$R$9="Moderado"),CONCATENATE("R",'Mapa final'!$A$9),"")</f>
        <v/>
      </c>
      <c r="Y6" s="249"/>
      <c r="Z6" s="249" t="e">
        <f>IF(AND('Mapa final'!#REF!="Muy Alta",'Mapa final'!#REF!="Moderado"),CONCATENATE("R",'Mapa final'!#REF!),"")</f>
        <v>#REF!</v>
      </c>
      <c r="AA6" s="251"/>
      <c r="AB6" s="248" t="e">
        <f>IF(AND('Mapa final'!#REF!="Muy Alta",'Mapa final'!#REF!="Mayor"),CONCATENATE("R",'Mapa final'!#REF!),"")</f>
        <v>#REF!</v>
      </c>
      <c r="AC6" s="249"/>
      <c r="AD6" s="249" t="str">
        <f>IF(AND('Mapa final'!$N$9="Muy Alta",'Mapa final'!$R$9="Mayor"),CONCATENATE("R",'Mapa final'!$A$9),"")</f>
        <v/>
      </c>
      <c r="AE6" s="249"/>
      <c r="AF6" s="249" t="e">
        <f>IF(AND('Mapa final'!#REF!="Muy Alta",'Mapa final'!#REF!="Mayor"),CONCATENATE("R",'Mapa final'!#REF!),"")</f>
        <v>#REF!</v>
      </c>
      <c r="AG6" s="251"/>
      <c r="AH6" s="263" t="e">
        <f>IF(AND('Mapa final'!#REF!="Muy Alta",'Mapa final'!#REF!="Catastrófico"),CONCATENATE("R",'Mapa final'!#REF!),"")</f>
        <v>#REF!</v>
      </c>
      <c r="AI6" s="264"/>
      <c r="AJ6" s="264" t="str">
        <f>IF(AND('Mapa final'!$N$9="Muy Alta",'Mapa final'!$R$9="Catastrófico"),CONCATENATE("R",'Mapa final'!$A$9),"")</f>
        <v/>
      </c>
      <c r="AK6" s="264"/>
      <c r="AL6" s="264" t="e">
        <f>IF(AND('Mapa final'!#REF!="Muy Alta",'Mapa final'!#REF!="Catastrófico"),CONCATENATE("R",'Mapa final'!#REF!),"")</f>
        <v>#REF!</v>
      </c>
      <c r="AM6" s="265"/>
      <c r="AO6" s="201" t="s">
        <v>75</v>
      </c>
      <c r="AP6" s="202"/>
      <c r="AQ6" s="202"/>
      <c r="AR6" s="202"/>
      <c r="AS6" s="202"/>
      <c r="AT6" s="203"/>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199"/>
      <c r="C7" s="199"/>
      <c r="D7" s="200"/>
      <c r="E7" s="240"/>
      <c r="F7" s="241"/>
      <c r="G7" s="241"/>
      <c r="H7" s="241"/>
      <c r="I7" s="242"/>
      <c r="J7" s="250"/>
      <c r="K7" s="246"/>
      <c r="L7" s="246"/>
      <c r="M7" s="246"/>
      <c r="N7" s="246"/>
      <c r="O7" s="247"/>
      <c r="P7" s="250"/>
      <c r="Q7" s="246"/>
      <c r="R7" s="246"/>
      <c r="S7" s="246"/>
      <c r="T7" s="246"/>
      <c r="U7" s="247"/>
      <c r="V7" s="250"/>
      <c r="W7" s="246"/>
      <c r="X7" s="246"/>
      <c r="Y7" s="246"/>
      <c r="Z7" s="246"/>
      <c r="AA7" s="247"/>
      <c r="AB7" s="250"/>
      <c r="AC7" s="246"/>
      <c r="AD7" s="246"/>
      <c r="AE7" s="246"/>
      <c r="AF7" s="246"/>
      <c r="AG7" s="247"/>
      <c r="AH7" s="257"/>
      <c r="AI7" s="258"/>
      <c r="AJ7" s="258"/>
      <c r="AK7" s="258"/>
      <c r="AL7" s="258"/>
      <c r="AM7" s="259"/>
      <c r="AN7" s="75"/>
      <c r="AO7" s="204"/>
      <c r="AP7" s="205"/>
      <c r="AQ7" s="205"/>
      <c r="AR7" s="205"/>
      <c r="AS7" s="205"/>
      <c r="AT7" s="206"/>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199"/>
      <c r="C8" s="199"/>
      <c r="D8" s="200"/>
      <c r="E8" s="240"/>
      <c r="F8" s="241"/>
      <c r="G8" s="241"/>
      <c r="H8" s="241"/>
      <c r="I8" s="242"/>
      <c r="J8" s="250" t="e">
        <f>IF(AND('Mapa final'!#REF!="Muy Alta",'Mapa final'!#REF!="Leve"),CONCATENATE("R",'Mapa final'!#REF!),"")</f>
        <v>#REF!</v>
      </c>
      <c r="K8" s="246"/>
      <c r="L8" s="246" t="e">
        <f>IF(AND('Mapa final'!#REF!="Muy Alta",'Mapa final'!#REF!="Leve"),CONCATENATE("R",'Mapa final'!#REF!),"")</f>
        <v>#REF!</v>
      </c>
      <c r="M8" s="246"/>
      <c r="N8" s="246" t="e">
        <f>IF(AND('Mapa final'!#REF!="Muy Alta",'Mapa final'!#REF!="Leve"),CONCATENATE("R",'Mapa final'!#REF!),"")</f>
        <v>#REF!</v>
      </c>
      <c r="O8" s="247"/>
      <c r="P8" s="250" t="e">
        <f>IF(AND('Mapa final'!#REF!="Muy Alta",'Mapa final'!#REF!="Menor"),CONCATENATE("R",'Mapa final'!#REF!),"")</f>
        <v>#REF!</v>
      </c>
      <c r="Q8" s="246"/>
      <c r="R8" s="246" t="e">
        <f>IF(AND('Mapa final'!#REF!="Muy Alta",'Mapa final'!#REF!="Menor"),CONCATENATE("R",'Mapa final'!#REF!),"")</f>
        <v>#REF!</v>
      </c>
      <c r="S8" s="246"/>
      <c r="T8" s="246" t="e">
        <f>IF(AND('Mapa final'!#REF!="Muy Alta",'Mapa final'!#REF!="Menor"),CONCATENATE("R",'Mapa final'!#REF!),"")</f>
        <v>#REF!</v>
      </c>
      <c r="U8" s="247"/>
      <c r="V8" s="250" t="e">
        <f>IF(AND('Mapa final'!#REF!="Muy Alta",'Mapa final'!#REF!="Moderado"),CONCATENATE("R",'Mapa final'!#REF!),"")</f>
        <v>#REF!</v>
      </c>
      <c r="W8" s="246"/>
      <c r="X8" s="246" t="e">
        <f>IF(AND('Mapa final'!#REF!="Muy Alta",'Mapa final'!#REF!="Moderado"),CONCATENATE("R",'Mapa final'!#REF!),"")</f>
        <v>#REF!</v>
      </c>
      <c r="Y8" s="246"/>
      <c r="Z8" s="246" t="e">
        <f>IF(AND('Mapa final'!#REF!="Muy Alta",'Mapa final'!#REF!="Moderado"),CONCATENATE("R",'Mapa final'!#REF!),"")</f>
        <v>#REF!</v>
      </c>
      <c r="AA8" s="247"/>
      <c r="AB8" s="250" t="e">
        <f>IF(AND('Mapa final'!#REF!="Muy Alta",'Mapa final'!#REF!="Mayor"),CONCATENATE("R",'Mapa final'!#REF!),"")</f>
        <v>#REF!</v>
      </c>
      <c r="AC8" s="246"/>
      <c r="AD8" s="246" t="e">
        <f>IF(AND('Mapa final'!#REF!="Muy Alta",'Mapa final'!#REF!="Mayor"),CONCATENATE("R",'Mapa final'!#REF!),"")</f>
        <v>#REF!</v>
      </c>
      <c r="AE8" s="246"/>
      <c r="AF8" s="246" t="e">
        <f>IF(AND('Mapa final'!#REF!="Muy Alta",'Mapa final'!#REF!="Mayor"),CONCATENATE("R",'Mapa final'!#REF!),"")</f>
        <v>#REF!</v>
      </c>
      <c r="AG8" s="247"/>
      <c r="AH8" s="257" t="e">
        <f>IF(AND('Mapa final'!#REF!="Muy Alta",'Mapa final'!#REF!="Catastrófico"),CONCATENATE("R",'Mapa final'!#REF!),"")</f>
        <v>#REF!</v>
      </c>
      <c r="AI8" s="258"/>
      <c r="AJ8" s="258" t="e">
        <f>IF(AND('Mapa final'!#REF!="Muy Alta",'Mapa final'!#REF!="Catastrófico"),CONCATENATE("R",'Mapa final'!#REF!),"")</f>
        <v>#REF!</v>
      </c>
      <c r="AK8" s="258"/>
      <c r="AL8" s="258" t="e">
        <f>IF(AND('Mapa final'!#REF!="Muy Alta",'Mapa final'!#REF!="Catastrófico"),CONCATENATE("R",'Mapa final'!#REF!),"")</f>
        <v>#REF!</v>
      </c>
      <c r="AM8" s="259"/>
      <c r="AN8" s="75"/>
      <c r="AO8" s="204"/>
      <c r="AP8" s="205"/>
      <c r="AQ8" s="205"/>
      <c r="AR8" s="205"/>
      <c r="AS8" s="205"/>
      <c r="AT8" s="206"/>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199"/>
      <c r="C9" s="199"/>
      <c r="D9" s="200"/>
      <c r="E9" s="240"/>
      <c r="F9" s="241"/>
      <c r="G9" s="241"/>
      <c r="H9" s="241"/>
      <c r="I9" s="242"/>
      <c r="J9" s="250"/>
      <c r="K9" s="246"/>
      <c r="L9" s="246"/>
      <c r="M9" s="246"/>
      <c r="N9" s="246"/>
      <c r="O9" s="247"/>
      <c r="P9" s="250"/>
      <c r="Q9" s="246"/>
      <c r="R9" s="246"/>
      <c r="S9" s="246"/>
      <c r="T9" s="246"/>
      <c r="U9" s="247"/>
      <c r="V9" s="250"/>
      <c r="W9" s="246"/>
      <c r="X9" s="246"/>
      <c r="Y9" s="246"/>
      <c r="Z9" s="246"/>
      <c r="AA9" s="247"/>
      <c r="AB9" s="250"/>
      <c r="AC9" s="246"/>
      <c r="AD9" s="246"/>
      <c r="AE9" s="246"/>
      <c r="AF9" s="246"/>
      <c r="AG9" s="247"/>
      <c r="AH9" s="257"/>
      <c r="AI9" s="258"/>
      <c r="AJ9" s="258"/>
      <c r="AK9" s="258"/>
      <c r="AL9" s="258"/>
      <c r="AM9" s="259"/>
      <c r="AN9" s="75"/>
      <c r="AO9" s="204"/>
      <c r="AP9" s="205"/>
      <c r="AQ9" s="205"/>
      <c r="AR9" s="205"/>
      <c r="AS9" s="205"/>
      <c r="AT9" s="206"/>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199"/>
      <c r="C10" s="199"/>
      <c r="D10" s="200"/>
      <c r="E10" s="240"/>
      <c r="F10" s="241"/>
      <c r="G10" s="241"/>
      <c r="H10" s="241"/>
      <c r="I10" s="242"/>
      <c r="J10" s="250" t="e">
        <f>IF(AND('Mapa final'!#REF!="Muy Alta",'Mapa final'!#REF!="Leve"),CONCATENATE("R",'Mapa final'!#REF!),"")</f>
        <v>#REF!</v>
      </c>
      <c r="K10" s="246"/>
      <c r="L10" s="246" t="e">
        <f>IF(AND('Mapa final'!#REF!="Muy Alta",'Mapa final'!#REF!="Leve"),CONCATENATE("R",'Mapa final'!#REF!),"")</f>
        <v>#REF!</v>
      </c>
      <c r="M10" s="246"/>
      <c r="N10" s="246" t="e">
        <f>IF(AND('Mapa final'!#REF!="Muy Alta",'Mapa final'!#REF!="Leve"),CONCATENATE("R",'Mapa final'!#REF!),"")</f>
        <v>#REF!</v>
      </c>
      <c r="O10" s="247"/>
      <c r="P10" s="250" t="e">
        <f>IF(AND('Mapa final'!#REF!="Muy Alta",'Mapa final'!#REF!="Menor"),CONCATENATE("R",'Mapa final'!#REF!),"")</f>
        <v>#REF!</v>
      </c>
      <c r="Q10" s="246"/>
      <c r="R10" s="246" t="e">
        <f>IF(AND('Mapa final'!#REF!="Muy Alta",'Mapa final'!#REF!="Menor"),CONCATENATE("R",'Mapa final'!#REF!),"")</f>
        <v>#REF!</v>
      </c>
      <c r="S10" s="246"/>
      <c r="T10" s="246" t="e">
        <f>IF(AND('Mapa final'!#REF!="Muy Alta",'Mapa final'!#REF!="Menor"),CONCATENATE("R",'Mapa final'!#REF!),"")</f>
        <v>#REF!</v>
      </c>
      <c r="U10" s="247"/>
      <c r="V10" s="250" t="e">
        <f>IF(AND('Mapa final'!#REF!="Muy Alta",'Mapa final'!#REF!="Moderado"),CONCATENATE("R",'Mapa final'!#REF!),"")</f>
        <v>#REF!</v>
      </c>
      <c r="W10" s="246"/>
      <c r="X10" s="246" t="e">
        <f>IF(AND('Mapa final'!#REF!="Muy Alta",'Mapa final'!#REF!="Moderado"),CONCATENATE("R",'Mapa final'!#REF!),"")</f>
        <v>#REF!</v>
      </c>
      <c r="Y10" s="246"/>
      <c r="Z10" s="246" t="e">
        <f>IF(AND('Mapa final'!#REF!="Muy Alta",'Mapa final'!#REF!="Moderado"),CONCATENATE("R",'Mapa final'!#REF!),"")</f>
        <v>#REF!</v>
      </c>
      <c r="AA10" s="247"/>
      <c r="AB10" s="250" t="e">
        <f>IF(AND('Mapa final'!#REF!="Muy Alta",'Mapa final'!#REF!="Mayor"),CONCATENATE("R",'Mapa final'!#REF!),"")</f>
        <v>#REF!</v>
      </c>
      <c r="AC10" s="246"/>
      <c r="AD10" s="246" t="e">
        <f>IF(AND('Mapa final'!#REF!="Muy Alta",'Mapa final'!#REF!="Mayor"),CONCATENATE("R",'Mapa final'!#REF!),"")</f>
        <v>#REF!</v>
      </c>
      <c r="AE10" s="246"/>
      <c r="AF10" s="246" t="e">
        <f>IF(AND('Mapa final'!#REF!="Muy Alta",'Mapa final'!#REF!="Mayor"),CONCATENATE("R",'Mapa final'!#REF!),"")</f>
        <v>#REF!</v>
      </c>
      <c r="AG10" s="247"/>
      <c r="AH10" s="257" t="e">
        <f>IF(AND('Mapa final'!#REF!="Muy Alta",'Mapa final'!#REF!="Catastrófico"),CONCATENATE("R",'Mapa final'!#REF!),"")</f>
        <v>#REF!</v>
      </c>
      <c r="AI10" s="258"/>
      <c r="AJ10" s="258" t="e">
        <f>IF(AND('Mapa final'!#REF!="Muy Alta",'Mapa final'!#REF!="Catastrófico"),CONCATENATE("R",'Mapa final'!#REF!),"")</f>
        <v>#REF!</v>
      </c>
      <c r="AK10" s="258"/>
      <c r="AL10" s="258" t="e">
        <f>IF(AND('Mapa final'!#REF!="Muy Alta",'Mapa final'!#REF!="Catastrófico"),CONCATENATE("R",'Mapa final'!#REF!),"")</f>
        <v>#REF!</v>
      </c>
      <c r="AM10" s="259"/>
      <c r="AN10" s="75"/>
      <c r="AO10" s="204"/>
      <c r="AP10" s="205"/>
      <c r="AQ10" s="205"/>
      <c r="AR10" s="205"/>
      <c r="AS10" s="205"/>
      <c r="AT10" s="206"/>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199"/>
      <c r="C11" s="199"/>
      <c r="D11" s="200"/>
      <c r="E11" s="240"/>
      <c r="F11" s="241"/>
      <c r="G11" s="241"/>
      <c r="H11" s="241"/>
      <c r="I11" s="242"/>
      <c r="J11" s="250"/>
      <c r="K11" s="246"/>
      <c r="L11" s="246"/>
      <c r="M11" s="246"/>
      <c r="N11" s="246"/>
      <c r="O11" s="247"/>
      <c r="P11" s="250"/>
      <c r="Q11" s="246"/>
      <c r="R11" s="246"/>
      <c r="S11" s="246"/>
      <c r="T11" s="246"/>
      <c r="U11" s="247"/>
      <c r="V11" s="250"/>
      <c r="W11" s="246"/>
      <c r="X11" s="246"/>
      <c r="Y11" s="246"/>
      <c r="Z11" s="246"/>
      <c r="AA11" s="247"/>
      <c r="AB11" s="250"/>
      <c r="AC11" s="246"/>
      <c r="AD11" s="246"/>
      <c r="AE11" s="246"/>
      <c r="AF11" s="246"/>
      <c r="AG11" s="247"/>
      <c r="AH11" s="257"/>
      <c r="AI11" s="258"/>
      <c r="AJ11" s="258"/>
      <c r="AK11" s="258"/>
      <c r="AL11" s="258"/>
      <c r="AM11" s="259"/>
      <c r="AN11" s="75"/>
      <c r="AO11" s="204"/>
      <c r="AP11" s="205"/>
      <c r="AQ11" s="205"/>
      <c r="AR11" s="205"/>
      <c r="AS11" s="205"/>
      <c r="AT11" s="206"/>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199"/>
      <c r="C12" s="199"/>
      <c r="D12" s="200"/>
      <c r="E12" s="240"/>
      <c r="F12" s="241"/>
      <c r="G12" s="241"/>
      <c r="H12" s="241"/>
      <c r="I12" s="242"/>
      <c r="J12" s="250" t="e">
        <f>IF(AND('Mapa final'!#REF!="Muy Alta",'Mapa final'!#REF!="Leve"),CONCATENATE("R",'Mapa final'!#REF!),"")</f>
        <v>#REF!</v>
      </c>
      <c r="K12" s="246"/>
      <c r="L12" s="246" t="str">
        <f>IF(AND('Mapa final'!$N$24="Muy Alta",'Mapa final'!$R$24="Leve"),CONCATENATE("R",'Mapa final'!$A$24),"")</f>
        <v/>
      </c>
      <c r="M12" s="246"/>
      <c r="N12" s="246" t="e">
        <f>IF(AND('Mapa final'!#REF!="Muy Alta",'Mapa final'!#REF!="Leve"),CONCATENATE("R",'Mapa final'!#REF!),"")</f>
        <v>#REF!</v>
      </c>
      <c r="O12" s="247"/>
      <c r="P12" s="250" t="e">
        <f>IF(AND('Mapa final'!#REF!="Muy Alta",'Mapa final'!#REF!="Menor"),CONCATENATE("R",'Mapa final'!#REF!),"")</f>
        <v>#REF!</v>
      </c>
      <c r="Q12" s="246"/>
      <c r="R12" s="246" t="str">
        <f>IF(AND('Mapa final'!$N$24="Muy Alta",'Mapa final'!$R$24="Menor"),CONCATENATE("R",'Mapa final'!$A$24),"")</f>
        <v/>
      </c>
      <c r="S12" s="246"/>
      <c r="T12" s="246" t="e">
        <f>IF(AND('Mapa final'!#REF!="Muy Alta",'Mapa final'!#REF!="Menor"),CONCATENATE("R",'Mapa final'!#REF!),"")</f>
        <v>#REF!</v>
      </c>
      <c r="U12" s="247"/>
      <c r="V12" s="250" t="e">
        <f>IF(AND('Mapa final'!#REF!="Muy Alta",'Mapa final'!#REF!="Moderado"),CONCATENATE("R",'Mapa final'!#REF!),"")</f>
        <v>#REF!</v>
      </c>
      <c r="W12" s="246"/>
      <c r="X12" s="246" t="str">
        <f>IF(AND('Mapa final'!$N$24="Muy Alta",'Mapa final'!$R$24="Moderado"),CONCATENATE("R",'Mapa final'!$A$24),"")</f>
        <v/>
      </c>
      <c r="Y12" s="246"/>
      <c r="Z12" s="246" t="e">
        <f>IF(AND('Mapa final'!#REF!="Muy Alta",'Mapa final'!#REF!="Moderado"),CONCATENATE("R",'Mapa final'!#REF!),"")</f>
        <v>#REF!</v>
      </c>
      <c r="AA12" s="247"/>
      <c r="AB12" s="250" t="e">
        <f>IF(AND('Mapa final'!#REF!="Muy Alta",'Mapa final'!#REF!="Mayor"),CONCATENATE("R",'Mapa final'!#REF!),"")</f>
        <v>#REF!</v>
      </c>
      <c r="AC12" s="246"/>
      <c r="AD12" s="246" t="str">
        <f>IF(AND('Mapa final'!$N$24="Muy Alta",'Mapa final'!$R$24="Mayor"),CONCATENATE("R",'Mapa final'!$A$24),"")</f>
        <v/>
      </c>
      <c r="AE12" s="246"/>
      <c r="AF12" s="246" t="e">
        <f>IF(AND('Mapa final'!#REF!="Muy Alta",'Mapa final'!#REF!="Mayor"),CONCATENATE("R",'Mapa final'!#REF!),"")</f>
        <v>#REF!</v>
      </c>
      <c r="AG12" s="247"/>
      <c r="AH12" s="257" t="e">
        <f>IF(AND('Mapa final'!#REF!="Muy Alta",'Mapa final'!#REF!="Catastrófico"),CONCATENATE("R",'Mapa final'!#REF!),"")</f>
        <v>#REF!</v>
      </c>
      <c r="AI12" s="258"/>
      <c r="AJ12" s="258" t="str">
        <f>IF(AND('Mapa final'!$N$24="Muy Alta",'Mapa final'!$R$24="Catastrófico"),CONCATENATE("R",'Mapa final'!$A$24),"")</f>
        <v/>
      </c>
      <c r="AK12" s="258"/>
      <c r="AL12" s="258" t="e">
        <f>IF(AND('Mapa final'!#REF!="Muy Alta",'Mapa final'!#REF!="Catastrófico"),CONCATENATE("R",'Mapa final'!#REF!),"")</f>
        <v>#REF!</v>
      </c>
      <c r="AM12" s="259"/>
      <c r="AN12" s="75"/>
      <c r="AO12" s="204"/>
      <c r="AP12" s="205"/>
      <c r="AQ12" s="205"/>
      <c r="AR12" s="205"/>
      <c r="AS12" s="205"/>
      <c r="AT12" s="206"/>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199"/>
      <c r="C13" s="199"/>
      <c r="D13" s="200"/>
      <c r="E13" s="243"/>
      <c r="F13" s="244"/>
      <c r="G13" s="244"/>
      <c r="H13" s="244"/>
      <c r="I13" s="245"/>
      <c r="J13" s="250"/>
      <c r="K13" s="246"/>
      <c r="L13" s="246"/>
      <c r="M13" s="246"/>
      <c r="N13" s="246"/>
      <c r="O13" s="247"/>
      <c r="P13" s="250"/>
      <c r="Q13" s="246"/>
      <c r="R13" s="246"/>
      <c r="S13" s="246"/>
      <c r="T13" s="246"/>
      <c r="U13" s="247"/>
      <c r="V13" s="250"/>
      <c r="W13" s="246"/>
      <c r="X13" s="246"/>
      <c r="Y13" s="246"/>
      <c r="Z13" s="246"/>
      <c r="AA13" s="247"/>
      <c r="AB13" s="250"/>
      <c r="AC13" s="246"/>
      <c r="AD13" s="246"/>
      <c r="AE13" s="246"/>
      <c r="AF13" s="246"/>
      <c r="AG13" s="247"/>
      <c r="AH13" s="260"/>
      <c r="AI13" s="261"/>
      <c r="AJ13" s="261"/>
      <c r="AK13" s="261"/>
      <c r="AL13" s="261"/>
      <c r="AM13" s="262"/>
      <c r="AN13" s="75"/>
      <c r="AO13" s="207"/>
      <c r="AP13" s="208"/>
      <c r="AQ13" s="208"/>
      <c r="AR13" s="208"/>
      <c r="AS13" s="208"/>
      <c r="AT13" s="209"/>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199"/>
      <c r="C14" s="199"/>
      <c r="D14" s="200"/>
      <c r="E14" s="237" t="s">
        <v>111</v>
      </c>
      <c r="F14" s="238"/>
      <c r="G14" s="238"/>
      <c r="H14" s="238"/>
      <c r="I14" s="238"/>
      <c r="J14" s="272" t="e">
        <f>IF(AND('Mapa final'!#REF!="Alta",'Mapa final'!#REF!="Leve"),CONCATENATE("R",'Mapa final'!#REF!),"")</f>
        <v>#REF!</v>
      </c>
      <c r="K14" s="273"/>
      <c r="L14" s="273" t="str">
        <f>IF(AND('Mapa final'!$N$9="Alta",'Mapa final'!$R$9="Leve"),CONCATENATE("R",'Mapa final'!$A$9),"")</f>
        <v/>
      </c>
      <c r="M14" s="273"/>
      <c r="N14" s="273" t="e">
        <f>IF(AND('Mapa final'!#REF!="Alta",'Mapa final'!#REF!="Leve"),CONCATENATE("R",'Mapa final'!#REF!),"")</f>
        <v>#REF!</v>
      </c>
      <c r="O14" s="274"/>
      <c r="P14" s="272" t="e">
        <f>IF(AND('Mapa final'!#REF!="Alta",'Mapa final'!#REF!="Menor"),CONCATENATE("R",'Mapa final'!#REF!),"")</f>
        <v>#REF!</v>
      </c>
      <c r="Q14" s="273"/>
      <c r="R14" s="273" t="str">
        <f>IF(AND('Mapa final'!$N$9="Alta",'Mapa final'!$R$9="Menor"),CONCATENATE("R",'Mapa final'!$A$9),"")</f>
        <v/>
      </c>
      <c r="S14" s="273"/>
      <c r="T14" s="273" t="e">
        <f>IF(AND('Mapa final'!#REF!="Alta",'Mapa final'!#REF!="Menor"),CONCATENATE("R",'Mapa final'!#REF!),"")</f>
        <v>#REF!</v>
      </c>
      <c r="U14" s="274"/>
      <c r="V14" s="248" t="e">
        <f>IF(AND('Mapa final'!#REF!="Alta",'Mapa final'!#REF!="Moderado"),CONCATENATE("R",'Mapa final'!#REF!),"")</f>
        <v>#REF!</v>
      </c>
      <c r="W14" s="249"/>
      <c r="X14" s="249" t="str">
        <f>IF(AND('Mapa final'!$N$9="Alta",'Mapa final'!$R$9="Moderado"),CONCATENATE("R",'Mapa final'!$A$9),"")</f>
        <v/>
      </c>
      <c r="Y14" s="249"/>
      <c r="Z14" s="249" t="e">
        <f>IF(AND('Mapa final'!#REF!="Alta",'Mapa final'!#REF!="Moderado"),CONCATENATE("R",'Mapa final'!#REF!),"")</f>
        <v>#REF!</v>
      </c>
      <c r="AA14" s="251"/>
      <c r="AB14" s="248" t="e">
        <f>IF(AND('Mapa final'!#REF!="Alta",'Mapa final'!#REF!="Mayor"),CONCATENATE("R",'Mapa final'!#REF!),"")</f>
        <v>#REF!</v>
      </c>
      <c r="AC14" s="249"/>
      <c r="AD14" s="249" t="str">
        <f>IF(AND('Mapa final'!$N$9="Alta",'Mapa final'!$R$9="Mayor"),CONCATENATE("R",'Mapa final'!$A$9),"")</f>
        <v/>
      </c>
      <c r="AE14" s="249"/>
      <c r="AF14" s="249" t="e">
        <f>IF(AND('Mapa final'!#REF!="Alta",'Mapa final'!#REF!="Mayor"),CONCATENATE("R",'Mapa final'!#REF!),"")</f>
        <v>#REF!</v>
      </c>
      <c r="AG14" s="251"/>
      <c r="AH14" s="263" t="e">
        <f>IF(AND('Mapa final'!#REF!="Alta",'Mapa final'!#REF!="Catastrófico"),CONCATENATE("R",'Mapa final'!#REF!),"")</f>
        <v>#REF!</v>
      </c>
      <c r="AI14" s="264"/>
      <c r="AJ14" s="264" t="str">
        <f>IF(AND('Mapa final'!$N$9="Alta",'Mapa final'!$R$9="Catastrófico"),CONCATENATE("R",'Mapa final'!$A$9),"")</f>
        <v/>
      </c>
      <c r="AK14" s="264"/>
      <c r="AL14" s="264" t="e">
        <f>IF(AND('Mapa final'!#REF!="Alta",'Mapa final'!#REF!="Catastrófico"),CONCATENATE("R",'Mapa final'!#REF!),"")</f>
        <v>#REF!</v>
      </c>
      <c r="AM14" s="265"/>
      <c r="AN14" s="75"/>
      <c r="AO14" s="210" t="s">
        <v>76</v>
      </c>
      <c r="AP14" s="211"/>
      <c r="AQ14" s="211"/>
      <c r="AR14" s="211"/>
      <c r="AS14" s="211"/>
      <c r="AT14" s="212"/>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199"/>
      <c r="C15" s="199"/>
      <c r="D15" s="200"/>
      <c r="E15" s="240"/>
      <c r="F15" s="241"/>
      <c r="G15" s="241"/>
      <c r="H15" s="241"/>
      <c r="I15" s="241"/>
      <c r="J15" s="266"/>
      <c r="K15" s="267"/>
      <c r="L15" s="267"/>
      <c r="M15" s="267"/>
      <c r="N15" s="267"/>
      <c r="O15" s="268"/>
      <c r="P15" s="266"/>
      <c r="Q15" s="267"/>
      <c r="R15" s="267"/>
      <c r="S15" s="267"/>
      <c r="T15" s="267"/>
      <c r="U15" s="268"/>
      <c r="V15" s="250"/>
      <c r="W15" s="246"/>
      <c r="X15" s="246"/>
      <c r="Y15" s="246"/>
      <c r="Z15" s="246"/>
      <c r="AA15" s="247"/>
      <c r="AB15" s="250"/>
      <c r="AC15" s="246"/>
      <c r="AD15" s="246"/>
      <c r="AE15" s="246"/>
      <c r="AF15" s="246"/>
      <c r="AG15" s="247"/>
      <c r="AH15" s="257"/>
      <c r="AI15" s="258"/>
      <c r="AJ15" s="258"/>
      <c r="AK15" s="258"/>
      <c r="AL15" s="258"/>
      <c r="AM15" s="259"/>
      <c r="AN15" s="75"/>
      <c r="AO15" s="213"/>
      <c r="AP15" s="214"/>
      <c r="AQ15" s="214"/>
      <c r="AR15" s="214"/>
      <c r="AS15" s="214"/>
      <c r="AT15" s="21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199"/>
      <c r="C16" s="199"/>
      <c r="D16" s="200"/>
      <c r="E16" s="240"/>
      <c r="F16" s="241"/>
      <c r="G16" s="241"/>
      <c r="H16" s="241"/>
      <c r="I16" s="241"/>
      <c r="J16" s="266" t="e">
        <f>IF(AND('Mapa final'!#REF!="Alta",'Mapa final'!#REF!="Leve"),CONCATENATE("R",'Mapa final'!#REF!),"")</f>
        <v>#REF!</v>
      </c>
      <c r="K16" s="267"/>
      <c r="L16" s="267" t="e">
        <f>IF(AND('Mapa final'!#REF!="Alta",'Mapa final'!#REF!="Leve"),CONCATENATE("R",'Mapa final'!#REF!),"")</f>
        <v>#REF!</v>
      </c>
      <c r="M16" s="267"/>
      <c r="N16" s="267" t="e">
        <f>IF(AND('Mapa final'!#REF!="Alta",'Mapa final'!#REF!="Leve"),CONCATENATE("R",'Mapa final'!#REF!),"")</f>
        <v>#REF!</v>
      </c>
      <c r="O16" s="268"/>
      <c r="P16" s="266" t="e">
        <f>IF(AND('Mapa final'!#REF!="Alta",'Mapa final'!#REF!="Menor"),CONCATENATE("R",'Mapa final'!#REF!),"")</f>
        <v>#REF!</v>
      </c>
      <c r="Q16" s="267"/>
      <c r="R16" s="267" t="e">
        <f>IF(AND('Mapa final'!#REF!="Alta",'Mapa final'!#REF!="Menor"),CONCATENATE("R",'Mapa final'!#REF!),"")</f>
        <v>#REF!</v>
      </c>
      <c r="S16" s="267"/>
      <c r="T16" s="267" t="e">
        <f>IF(AND('Mapa final'!#REF!="Alta",'Mapa final'!#REF!="Menor"),CONCATENATE("R",'Mapa final'!#REF!),"")</f>
        <v>#REF!</v>
      </c>
      <c r="U16" s="268"/>
      <c r="V16" s="250" t="e">
        <f>IF(AND('Mapa final'!#REF!="Alta",'Mapa final'!#REF!="Moderado"),CONCATENATE("R",'Mapa final'!#REF!),"")</f>
        <v>#REF!</v>
      </c>
      <c r="W16" s="246"/>
      <c r="X16" s="246" t="e">
        <f>IF(AND('Mapa final'!#REF!="Alta",'Mapa final'!#REF!="Moderado"),CONCATENATE("R",'Mapa final'!#REF!),"")</f>
        <v>#REF!</v>
      </c>
      <c r="Y16" s="246"/>
      <c r="Z16" s="246" t="e">
        <f>IF(AND('Mapa final'!#REF!="Alta",'Mapa final'!#REF!="Moderado"),CONCATENATE("R",'Mapa final'!#REF!),"")</f>
        <v>#REF!</v>
      </c>
      <c r="AA16" s="247"/>
      <c r="AB16" s="250" t="e">
        <f>IF(AND('Mapa final'!#REF!="Alta",'Mapa final'!#REF!="Mayor"),CONCATENATE("R",'Mapa final'!#REF!),"")</f>
        <v>#REF!</v>
      </c>
      <c r="AC16" s="246"/>
      <c r="AD16" s="246" t="e">
        <f>IF(AND('Mapa final'!#REF!="Alta",'Mapa final'!#REF!="Mayor"),CONCATENATE("R",'Mapa final'!#REF!),"")</f>
        <v>#REF!</v>
      </c>
      <c r="AE16" s="246"/>
      <c r="AF16" s="246" t="e">
        <f>IF(AND('Mapa final'!#REF!="Alta",'Mapa final'!#REF!="Mayor"),CONCATENATE("R",'Mapa final'!#REF!),"")</f>
        <v>#REF!</v>
      </c>
      <c r="AG16" s="247"/>
      <c r="AH16" s="257" t="e">
        <f>IF(AND('Mapa final'!#REF!="Alta",'Mapa final'!#REF!="Catastrófico"),CONCATENATE("R",'Mapa final'!#REF!),"")</f>
        <v>#REF!</v>
      </c>
      <c r="AI16" s="258"/>
      <c r="AJ16" s="258" t="e">
        <f>IF(AND('Mapa final'!#REF!="Alta",'Mapa final'!#REF!="Catastrófico"),CONCATENATE("R",'Mapa final'!#REF!),"")</f>
        <v>#REF!</v>
      </c>
      <c r="AK16" s="258"/>
      <c r="AL16" s="258" t="e">
        <f>IF(AND('Mapa final'!#REF!="Alta",'Mapa final'!#REF!="Catastrófico"),CONCATENATE("R",'Mapa final'!#REF!),"")</f>
        <v>#REF!</v>
      </c>
      <c r="AM16" s="259"/>
      <c r="AN16" s="75"/>
      <c r="AO16" s="213"/>
      <c r="AP16" s="214"/>
      <c r="AQ16" s="214"/>
      <c r="AR16" s="214"/>
      <c r="AS16" s="214"/>
      <c r="AT16" s="21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199"/>
      <c r="C17" s="199"/>
      <c r="D17" s="200"/>
      <c r="E17" s="240"/>
      <c r="F17" s="241"/>
      <c r="G17" s="241"/>
      <c r="H17" s="241"/>
      <c r="I17" s="241"/>
      <c r="J17" s="266"/>
      <c r="K17" s="267"/>
      <c r="L17" s="267"/>
      <c r="M17" s="267"/>
      <c r="N17" s="267"/>
      <c r="O17" s="268"/>
      <c r="P17" s="266"/>
      <c r="Q17" s="267"/>
      <c r="R17" s="267"/>
      <c r="S17" s="267"/>
      <c r="T17" s="267"/>
      <c r="U17" s="268"/>
      <c r="V17" s="250"/>
      <c r="W17" s="246"/>
      <c r="X17" s="246"/>
      <c r="Y17" s="246"/>
      <c r="Z17" s="246"/>
      <c r="AA17" s="247"/>
      <c r="AB17" s="250"/>
      <c r="AC17" s="246"/>
      <c r="AD17" s="246"/>
      <c r="AE17" s="246"/>
      <c r="AF17" s="246"/>
      <c r="AG17" s="247"/>
      <c r="AH17" s="257"/>
      <c r="AI17" s="258"/>
      <c r="AJ17" s="258"/>
      <c r="AK17" s="258"/>
      <c r="AL17" s="258"/>
      <c r="AM17" s="259"/>
      <c r="AN17" s="75"/>
      <c r="AO17" s="213"/>
      <c r="AP17" s="214"/>
      <c r="AQ17" s="214"/>
      <c r="AR17" s="214"/>
      <c r="AS17" s="214"/>
      <c r="AT17" s="21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199"/>
      <c r="C18" s="199"/>
      <c r="D18" s="200"/>
      <c r="E18" s="240"/>
      <c r="F18" s="241"/>
      <c r="G18" s="241"/>
      <c r="H18" s="241"/>
      <c r="I18" s="241"/>
      <c r="J18" s="266" t="e">
        <f>IF(AND('Mapa final'!#REF!="Alta",'Mapa final'!#REF!="Leve"),CONCATENATE("R",'Mapa final'!#REF!),"")</f>
        <v>#REF!</v>
      </c>
      <c r="K18" s="267"/>
      <c r="L18" s="267" t="e">
        <f>IF(AND('Mapa final'!#REF!="Alta",'Mapa final'!#REF!="Leve"),CONCATENATE("R",'Mapa final'!#REF!),"")</f>
        <v>#REF!</v>
      </c>
      <c r="M18" s="267"/>
      <c r="N18" s="267" t="e">
        <f>IF(AND('Mapa final'!#REF!="Alta",'Mapa final'!#REF!="Leve"),CONCATENATE("R",'Mapa final'!#REF!),"")</f>
        <v>#REF!</v>
      </c>
      <c r="O18" s="268"/>
      <c r="P18" s="266" t="e">
        <f>IF(AND('Mapa final'!#REF!="Alta",'Mapa final'!#REF!="Menor"),CONCATENATE("R",'Mapa final'!#REF!),"")</f>
        <v>#REF!</v>
      </c>
      <c r="Q18" s="267"/>
      <c r="R18" s="267" t="e">
        <f>IF(AND('Mapa final'!#REF!="Alta",'Mapa final'!#REF!="Menor"),CONCATENATE("R",'Mapa final'!#REF!),"")</f>
        <v>#REF!</v>
      </c>
      <c r="S18" s="267"/>
      <c r="T18" s="267" t="e">
        <f>IF(AND('Mapa final'!#REF!="Alta",'Mapa final'!#REF!="Menor"),CONCATENATE("R",'Mapa final'!#REF!),"")</f>
        <v>#REF!</v>
      </c>
      <c r="U18" s="268"/>
      <c r="V18" s="250" t="e">
        <f>IF(AND('Mapa final'!#REF!="Alta",'Mapa final'!#REF!="Moderado"),CONCATENATE("R",'Mapa final'!#REF!),"")</f>
        <v>#REF!</v>
      </c>
      <c r="W18" s="246"/>
      <c r="X18" s="246" t="e">
        <f>IF(AND('Mapa final'!#REF!="Alta",'Mapa final'!#REF!="Moderado"),CONCATENATE("R",'Mapa final'!#REF!),"")</f>
        <v>#REF!</v>
      </c>
      <c r="Y18" s="246"/>
      <c r="Z18" s="246" t="e">
        <f>IF(AND('Mapa final'!#REF!="Alta",'Mapa final'!#REF!="Moderado"),CONCATENATE("R",'Mapa final'!#REF!),"")</f>
        <v>#REF!</v>
      </c>
      <c r="AA18" s="247"/>
      <c r="AB18" s="250" t="e">
        <f>IF(AND('Mapa final'!#REF!="Alta",'Mapa final'!#REF!="Mayor"),CONCATENATE("R",'Mapa final'!#REF!),"")</f>
        <v>#REF!</v>
      </c>
      <c r="AC18" s="246"/>
      <c r="AD18" s="246" t="e">
        <f>IF(AND('Mapa final'!#REF!="Alta",'Mapa final'!#REF!="Mayor"),CONCATENATE("R",'Mapa final'!#REF!),"")</f>
        <v>#REF!</v>
      </c>
      <c r="AE18" s="246"/>
      <c r="AF18" s="246" t="e">
        <f>IF(AND('Mapa final'!#REF!="Alta",'Mapa final'!#REF!="Mayor"),CONCATENATE("R",'Mapa final'!#REF!),"")</f>
        <v>#REF!</v>
      </c>
      <c r="AG18" s="247"/>
      <c r="AH18" s="257" t="e">
        <f>IF(AND('Mapa final'!#REF!="Alta",'Mapa final'!#REF!="Catastrófico"),CONCATENATE("R",'Mapa final'!#REF!),"")</f>
        <v>#REF!</v>
      </c>
      <c r="AI18" s="258"/>
      <c r="AJ18" s="258" t="e">
        <f>IF(AND('Mapa final'!#REF!="Alta",'Mapa final'!#REF!="Catastrófico"),CONCATENATE("R",'Mapa final'!#REF!),"")</f>
        <v>#REF!</v>
      </c>
      <c r="AK18" s="258"/>
      <c r="AL18" s="258" t="e">
        <f>IF(AND('Mapa final'!#REF!="Alta",'Mapa final'!#REF!="Catastrófico"),CONCATENATE("R",'Mapa final'!#REF!),"")</f>
        <v>#REF!</v>
      </c>
      <c r="AM18" s="259"/>
      <c r="AN18" s="75"/>
      <c r="AO18" s="213"/>
      <c r="AP18" s="214"/>
      <c r="AQ18" s="214"/>
      <c r="AR18" s="214"/>
      <c r="AS18" s="214"/>
      <c r="AT18" s="21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199"/>
      <c r="C19" s="199"/>
      <c r="D19" s="200"/>
      <c r="E19" s="240"/>
      <c r="F19" s="241"/>
      <c r="G19" s="241"/>
      <c r="H19" s="241"/>
      <c r="I19" s="241"/>
      <c r="J19" s="266"/>
      <c r="K19" s="267"/>
      <c r="L19" s="267"/>
      <c r="M19" s="267"/>
      <c r="N19" s="267"/>
      <c r="O19" s="268"/>
      <c r="P19" s="266"/>
      <c r="Q19" s="267"/>
      <c r="R19" s="267"/>
      <c r="S19" s="267"/>
      <c r="T19" s="267"/>
      <c r="U19" s="268"/>
      <c r="V19" s="250"/>
      <c r="W19" s="246"/>
      <c r="X19" s="246"/>
      <c r="Y19" s="246"/>
      <c r="Z19" s="246"/>
      <c r="AA19" s="247"/>
      <c r="AB19" s="250"/>
      <c r="AC19" s="246"/>
      <c r="AD19" s="246"/>
      <c r="AE19" s="246"/>
      <c r="AF19" s="246"/>
      <c r="AG19" s="247"/>
      <c r="AH19" s="257"/>
      <c r="AI19" s="258"/>
      <c r="AJ19" s="258"/>
      <c r="AK19" s="258"/>
      <c r="AL19" s="258"/>
      <c r="AM19" s="259"/>
      <c r="AN19" s="75"/>
      <c r="AO19" s="213"/>
      <c r="AP19" s="214"/>
      <c r="AQ19" s="214"/>
      <c r="AR19" s="214"/>
      <c r="AS19" s="214"/>
      <c r="AT19" s="21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199"/>
      <c r="C20" s="199"/>
      <c r="D20" s="200"/>
      <c r="E20" s="240"/>
      <c r="F20" s="241"/>
      <c r="G20" s="241"/>
      <c r="H20" s="241"/>
      <c r="I20" s="241"/>
      <c r="J20" s="266" t="e">
        <f>IF(AND('Mapa final'!#REF!="Alta",'Mapa final'!#REF!="Leve"),CONCATENATE("R",'Mapa final'!#REF!),"")</f>
        <v>#REF!</v>
      </c>
      <c r="K20" s="267"/>
      <c r="L20" s="267" t="str">
        <f>IF(AND('Mapa final'!$N$24="Alta",'Mapa final'!$R$24="Leve"),CONCATENATE("R",'Mapa final'!$A$24),"")</f>
        <v/>
      </c>
      <c r="M20" s="267"/>
      <c r="N20" s="267" t="e">
        <f>IF(AND('Mapa final'!#REF!="Alta",'Mapa final'!#REF!="Leve"),CONCATENATE("R",'Mapa final'!#REF!),"")</f>
        <v>#REF!</v>
      </c>
      <c r="O20" s="268"/>
      <c r="P20" s="266" t="e">
        <f>IF(AND('Mapa final'!#REF!="Alta",'Mapa final'!#REF!="Menor"),CONCATENATE("R",'Mapa final'!#REF!),"")</f>
        <v>#REF!</v>
      </c>
      <c r="Q20" s="267"/>
      <c r="R20" s="267" t="str">
        <f>IF(AND('Mapa final'!$N$24="Alta",'Mapa final'!$R$24="Menor"),CONCATENATE("R",'Mapa final'!$A$24),"")</f>
        <v/>
      </c>
      <c r="S20" s="267"/>
      <c r="T20" s="267" t="e">
        <f>IF(AND('Mapa final'!#REF!="Alta",'Mapa final'!#REF!="Menor"),CONCATENATE("R",'Mapa final'!#REF!),"")</f>
        <v>#REF!</v>
      </c>
      <c r="U20" s="268"/>
      <c r="V20" s="250" t="e">
        <f>IF(AND('Mapa final'!#REF!="Alta",'Mapa final'!#REF!="Moderado"),CONCATENATE("R",'Mapa final'!#REF!),"")</f>
        <v>#REF!</v>
      </c>
      <c r="W20" s="246"/>
      <c r="X20" s="246" t="str">
        <f>IF(AND('Mapa final'!$N$24="Alta",'Mapa final'!$R$24="Moderado"),CONCATENATE("R",'Mapa final'!$A$24),"")</f>
        <v/>
      </c>
      <c r="Y20" s="246"/>
      <c r="Z20" s="246" t="e">
        <f>IF(AND('Mapa final'!#REF!="Alta",'Mapa final'!#REF!="Moderado"),CONCATENATE("R",'Mapa final'!#REF!),"")</f>
        <v>#REF!</v>
      </c>
      <c r="AA20" s="247"/>
      <c r="AB20" s="250" t="e">
        <f>IF(AND('Mapa final'!#REF!="Alta",'Mapa final'!#REF!="Mayor"),CONCATENATE("R",'Mapa final'!#REF!),"")</f>
        <v>#REF!</v>
      </c>
      <c r="AC20" s="246"/>
      <c r="AD20" s="246" t="str">
        <f>IF(AND('Mapa final'!$N$24="Alta",'Mapa final'!$R$24="Mayor"),CONCATENATE("R",'Mapa final'!$A$24),"")</f>
        <v/>
      </c>
      <c r="AE20" s="246"/>
      <c r="AF20" s="246" t="e">
        <f>IF(AND('Mapa final'!#REF!="Alta",'Mapa final'!#REF!="Mayor"),CONCATENATE("R",'Mapa final'!#REF!),"")</f>
        <v>#REF!</v>
      </c>
      <c r="AG20" s="247"/>
      <c r="AH20" s="257" t="e">
        <f>IF(AND('Mapa final'!#REF!="Alta",'Mapa final'!#REF!="Catastrófico"),CONCATENATE("R",'Mapa final'!#REF!),"")</f>
        <v>#REF!</v>
      </c>
      <c r="AI20" s="258"/>
      <c r="AJ20" s="258" t="str">
        <f>IF(AND('Mapa final'!$N$24="Alta",'Mapa final'!$R$24="Catastrófico"),CONCATENATE("R",'Mapa final'!$A$24),"")</f>
        <v/>
      </c>
      <c r="AK20" s="258"/>
      <c r="AL20" s="258" t="e">
        <f>IF(AND('Mapa final'!#REF!="Alta",'Mapa final'!#REF!="Catastrófico"),CONCATENATE("R",'Mapa final'!#REF!),"")</f>
        <v>#REF!</v>
      </c>
      <c r="AM20" s="259"/>
      <c r="AN20" s="75"/>
      <c r="AO20" s="213"/>
      <c r="AP20" s="214"/>
      <c r="AQ20" s="214"/>
      <c r="AR20" s="214"/>
      <c r="AS20" s="214"/>
      <c r="AT20" s="21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199"/>
      <c r="C21" s="199"/>
      <c r="D21" s="200"/>
      <c r="E21" s="243"/>
      <c r="F21" s="244"/>
      <c r="G21" s="244"/>
      <c r="H21" s="244"/>
      <c r="I21" s="244"/>
      <c r="J21" s="269"/>
      <c r="K21" s="270"/>
      <c r="L21" s="270"/>
      <c r="M21" s="270"/>
      <c r="N21" s="270"/>
      <c r="O21" s="271"/>
      <c r="P21" s="269"/>
      <c r="Q21" s="270"/>
      <c r="R21" s="270"/>
      <c r="S21" s="270"/>
      <c r="T21" s="270"/>
      <c r="U21" s="271"/>
      <c r="V21" s="254"/>
      <c r="W21" s="255"/>
      <c r="X21" s="255"/>
      <c r="Y21" s="255"/>
      <c r="Z21" s="255"/>
      <c r="AA21" s="256"/>
      <c r="AB21" s="254"/>
      <c r="AC21" s="255"/>
      <c r="AD21" s="255"/>
      <c r="AE21" s="255"/>
      <c r="AF21" s="255"/>
      <c r="AG21" s="256"/>
      <c r="AH21" s="260"/>
      <c r="AI21" s="261"/>
      <c r="AJ21" s="261"/>
      <c r="AK21" s="261"/>
      <c r="AL21" s="261"/>
      <c r="AM21" s="262"/>
      <c r="AN21" s="75"/>
      <c r="AO21" s="216"/>
      <c r="AP21" s="217"/>
      <c r="AQ21" s="217"/>
      <c r="AR21" s="217"/>
      <c r="AS21" s="217"/>
      <c r="AT21" s="218"/>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199"/>
      <c r="C22" s="199"/>
      <c r="D22" s="200"/>
      <c r="E22" s="237" t="s">
        <v>113</v>
      </c>
      <c r="F22" s="238"/>
      <c r="G22" s="238"/>
      <c r="H22" s="238"/>
      <c r="I22" s="239"/>
      <c r="J22" s="272" t="e">
        <f>IF(AND('Mapa final'!#REF!="Media",'Mapa final'!#REF!="Leve"),CONCATENATE("R",'Mapa final'!#REF!),"")</f>
        <v>#REF!</v>
      </c>
      <c r="K22" s="273"/>
      <c r="L22" s="273" t="str">
        <f>IF(AND('Mapa final'!$N$9="Media",'Mapa final'!$R$9="Leve"),CONCATENATE("R",'Mapa final'!$A$9),"")</f>
        <v/>
      </c>
      <c r="M22" s="273"/>
      <c r="N22" s="273" t="e">
        <f>IF(AND('Mapa final'!#REF!="Media",'Mapa final'!#REF!="Leve"),CONCATENATE("R",'Mapa final'!#REF!),"")</f>
        <v>#REF!</v>
      </c>
      <c r="O22" s="274"/>
      <c r="P22" s="272" t="e">
        <f>IF(AND('Mapa final'!#REF!="Media",'Mapa final'!#REF!="Menor"),CONCATENATE("R",'Mapa final'!#REF!),"")</f>
        <v>#REF!</v>
      </c>
      <c r="Q22" s="273"/>
      <c r="R22" s="273" t="str">
        <f>IF(AND('Mapa final'!$N$9="Media",'Mapa final'!$R$9="Menor"),CONCATENATE("R",'Mapa final'!$A$9),"")</f>
        <v/>
      </c>
      <c r="S22" s="273"/>
      <c r="T22" s="273" t="e">
        <f>IF(AND('Mapa final'!#REF!="Media",'Mapa final'!#REF!="Menor"),CONCATENATE("R",'Mapa final'!#REF!),"")</f>
        <v>#REF!</v>
      </c>
      <c r="U22" s="274"/>
      <c r="V22" s="272" t="e">
        <f>IF(AND('Mapa final'!#REF!="Media",'Mapa final'!#REF!="Moderado"),CONCATENATE("R",'Mapa final'!#REF!),"")</f>
        <v>#REF!</v>
      </c>
      <c r="W22" s="273"/>
      <c r="X22" s="273" t="str">
        <f>IF(AND('Mapa final'!$N$9="Media",'Mapa final'!$R$9="Moderado"),CONCATENATE("R",'Mapa final'!$A$9),"")</f>
        <v/>
      </c>
      <c r="Y22" s="273"/>
      <c r="Z22" s="273" t="e">
        <f>IF(AND('Mapa final'!#REF!="Media",'Mapa final'!#REF!="Moderado"),CONCATENATE("R",'Mapa final'!#REF!),"")</f>
        <v>#REF!</v>
      </c>
      <c r="AA22" s="274"/>
      <c r="AB22" s="248" t="e">
        <f>IF(AND('Mapa final'!#REF!="Media",'Mapa final'!#REF!="Mayor"),CONCATENATE("R",'Mapa final'!#REF!),"")</f>
        <v>#REF!</v>
      </c>
      <c r="AC22" s="249"/>
      <c r="AD22" s="249" t="str">
        <f>IF(AND('Mapa final'!$N$9="Media",'Mapa final'!$R$9="Mayor"),CONCATENATE("R",'Mapa final'!$A$9),"")</f>
        <v/>
      </c>
      <c r="AE22" s="249"/>
      <c r="AF22" s="249" t="e">
        <f>IF(AND('Mapa final'!#REF!="Media",'Mapa final'!#REF!="Mayor"),CONCATENATE("R",'Mapa final'!#REF!),"")</f>
        <v>#REF!</v>
      </c>
      <c r="AG22" s="251"/>
      <c r="AH22" s="263" t="e">
        <f>IF(AND('Mapa final'!#REF!="Media",'Mapa final'!#REF!="Catastrófico"),CONCATENATE("R",'Mapa final'!#REF!),"")</f>
        <v>#REF!</v>
      </c>
      <c r="AI22" s="264"/>
      <c r="AJ22" s="264" t="str">
        <f>IF(AND('Mapa final'!$N$9="Media",'Mapa final'!$R$9="Catastrófico"),CONCATENATE("R",'Mapa final'!$A$9),"")</f>
        <v/>
      </c>
      <c r="AK22" s="264"/>
      <c r="AL22" s="264" t="e">
        <f>IF(AND('Mapa final'!#REF!="Media",'Mapa final'!#REF!="Catastrófico"),CONCATENATE("R",'Mapa final'!#REF!),"")</f>
        <v>#REF!</v>
      </c>
      <c r="AM22" s="265"/>
      <c r="AN22" s="75"/>
      <c r="AO22" s="219" t="s">
        <v>77</v>
      </c>
      <c r="AP22" s="220"/>
      <c r="AQ22" s="220"/>
      <c r="AR22" s="220"/>
      <c r="AS22" s="220"/>
      <c r="AT22" s="221"/>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199"/>
      <c r="C23" s="199"/>
      <c r="D23" s="200"/>
      <c r="E23" s="240"/>
      <c r="F23" s="241"/>
      <c r="G23" s="241"/>
      <c r="H23" s="241"/>
      <c r="I23" s="242"/>
      <c r="J23" s="266"/>
      <c r="K23" s="267"/>
      <c r="L23" s="267"/>
      <c r="M23" s="267"/>
      <c r="N23" s="267"/>
      <c r="O23" s="268"/>
      <c r="P23" s="266"/>
      <c r="Q23" s="267"/>
      <c r="R23" s="267"/>
      <c r="S23" s="267"/>
      <c r="T23" s="267"/>
      <c r="U23" s="268"/>
      <c r="V23" s="266"/>
      <c r="W23" s="267"/>
      <c r="X23" s="267"/>
      <c r="Y23" s="267"/>
      <c r="Z23" s="267"/>
      <c r="AA23" s="268"/>
      <c r="AB23" s="250"/>
      <c r="AC23" s="246"/>
      <c r="AD23" s="246"/>
      <c r="AE23" s="246"/>
      <c r="AF23" s="246"/>
      <c r="AG23" s="247"/>
      <c r="AH23" s="257"/>
      <c r="AI23" s="258"/>
      <c r="AJ23" s="258"/>
      <c r="AK23" s="258"/>
      <c r="AL23" s="258"/>
      <c r="AM23" s="259"/>
      <c r="AN23" s="75"/>
      <c r="AO23" s="222"/>
      <c r="AP23" s="223"/>
      <c r="AQ23" s="223"/>
      <c r="AR23" s="223"/>
      <c r="AS23" s="223"/>
      <c r="AT23" s="224"/>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199"/>
      <c r="C24" s="199"/>
      <c r="D24" s="200"/>
      <c r="E24" s="240"/>
      <c r="F24" s="241"/>
      <c r="G24" s="241"/>
      <c r="H24" s="241"/>
      <c r="I24" s="242"/>
      <c r="J24" s="266" t="e">
        <f>IF(AND('Mapa final'!#REF!="Media",'Mapa final'!#REF!="Leve"),CONCATENATE("R",'Mapa final'!#REF!),"")</f>
        <v>#REF!</v>
      </c>
      <c r="K24" s="267"/>
      <c r="L24" s="267" t="e">
        <f>IF(AND('Mapa final'!#REF!="Media",'Mapa final'!#REF!="Leve"),CONCATENATE("R",'Mapa final'!#REF!),"")</f>
        <v>#REF!</v>
      </c>
      <c r="M24" s="267"/>
      <c r="N24" s="267" t="e">
        <f>IF(AND('Mapa final'!#REF!="Media",'Mapa final'!#REF!="Leve"),CONCATENATE("R",'Mapa final'!#REF!),"")</f>
        <v>#REF!</v>
      </c>
      <c r="O24" s="268"/>
      <c r="P24" s="266" t="e">
        <f>IF(AND('Mapa final'!#REF!="Media",'Mapa final'!#REF!="Menor"),CONCATENATE("R",'Mapa final'!#REF!),"")</f>
        <v>#REF!</v>
      </c>
      <c r="Q24" s="267"/>
      <c r="R24" s="267" t="e">
        <f>IF(AND('Mapa final'!#REF!="Media",'Mapa final'!#REF!="Menor"),CONCATENATE("R",'Mapa final'!#REF!),"")</f>
        <v>#REF!</v>
      </c>
      <c r="S24" s="267"/>
      <c r="T24" s="267" t="e">
        <f>IF(AND('Mapa final'!#REF!="Media",'Mapa final'!#REF!="Menor"),CONCATENATE("R",'Mapa final'!#REF!),"")</f>
        <v>#REF!</v>
      </c>
      <c r="U24" s="268"/>
      <c r="V24" s="266" t="e">
        <f>IF(AND('Mapa final'!#REF!="Media",'Mapa final'!#REF!="Moderado"),CONCATENATE("R",'Mapa final'!#REF!),"")</f>
        <v>#REF!</v>
      </c>
      <c r="W24" s="267"/>
      <c r="X24" s="267" t="e">
        <f>IF(AND('Mapa final'!#REF!="Media",'Mapa final'!#REF!="Moderado"),CONCATENATE("R",'Mapa final'!#REF!),"")</f>
        <v>#REF!</v>
      </c>
      <c r="Y24" s="267"/>
      <c r="Z24" s="267" t="e">
        <f>IF(AND('Mapa final'!#REF!="Media",'Mapa final'!#REF!="Moderado"),CONCATENATE("R",'Mapa final'!#REF!),"")</f>
        <v>#REF!</v>
      </c>
      <c r="AA24" s="268"/>
      <c r="AB24" s="250" t="e">
        <f>IF(AND('Mapa final'!#REF!="Media",'Mapa final'!#REF!="Mayor"),CONCATENATE("R",'Mapa final'!#REF!),"")</f>
        <v>#REF!</v>
      </c>
      <c r="AC24" s="246"/>
      <c r="AD24" s="246" t="e">
        <f>IF(AND('Mapa final'!#REF!="Media",'Mapa final'!#REF!="Mayor"),CONCATENATE("R",'Mapa final'!#REF!),"")</f>
        <v>#REF!</v>
      </c>
      <c r="AE24" s="246"/>
      <c r="AF24" s="246" t="e">
        <f>IF(AND('Mapa final'!#REF!="Media",'Mapa final'!#REF!="Mayor"),CONCATENATE("R",'Mapa final'!#REF!),"")</f>
        <v>#REF!</v>
      </c>
      <c r="AG24" s="247"/>
      <c r="AH24" s="257" t="e">
        <f>IF(AND('Mapa final'!#REF!="Media",'Mapa final'!#REF!="Catastrófico"),CONCATENATE("R",'Mapa final'!#REF!),"")</f>
        <v>#REF!</v>
      </c>
      <c r="AI24" s="258"/>
      <c r="AJ24" s="258" t="e">
        <f>IF(AND('Mapa final'!#REF!="Media",'Mapa final'!#REF!="Catastrófico"),CONCATENATE("R",'Mapa final'!#REF!),"")</f>
        <v>#REF!</v>
      </c>
      <c r="AK24" s="258"/>
      <c r="AL24" s="258" t="e">
        <f>IF(AND('Mapa final'!#REF!="Media",'Mapa final'!#REF!="Catastrófico"),CONCATENATE("R",'Mapa final'!#REF!),"")</f>
        <v>#REF!</v>
      </c>
      <c r="AM24" s="259"/>
      <c r="AN24" s="75"/>
      <c r="AO24" s="222"/>
      <c r="AP24" s="223"/>
      <c r="AQ24" s="223"/>
      <c r="AR24" s="223"/>
      <c r="AS24" s="223"/>
      <c r="AT24" s="224"/>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199"/>
      <c r="C25" s="199"/>
      <c r="D25" s="200"/>
      <c r="E25" s="240"/>
      <c r="F25" s="241"/>
      <c r="G25" s="241"/>
      <c r="H25" s="241"/>
      <c r="I25" s="242"/>
      <c r="J25" s="266"/>
      <c r="K25" s="267"/>
      <c r="L25" s="267"/>
      <c r="M25" s="267"/>
      <c r="N25" s="267"/>
      <c r="O25" s="268"/>
      <c r="P25" s="266"/>
      <c r="Q25" s="267"/>
      <c r="R25" s="267"/>
      <c r="S25" s="267"/>
      <c r="T25" s="267"/>
      <c r="U25" s="268"/>
      <c r="V25" s="266"/>
      <c r="W25" s="267"/>
      <c r="X25" s="267"/>
      <c r="Y25" s="267"/>
      <c r="Z25" s="267"/>
      <c r="AA25" s="268"/>
      <c r="AB25" s="250"/>
      <c r="AC25" s="246"/>
      <c r="AD25" s="246"/>
      <c r="AE25" s="246"/>
      <c r="AF25" s="246"/>
      <c r="AG25" s="247"/>
      <c r="AH25" s="257"/>
      <c r="AI25" s="258"/>
      <c r="AJ25" s="258"/>
      <c r="AK25" s="258"/>
      <c r="AL25" s="258"/>
      <c r="AM25" s="259"/>
      <c r="AN25" s="75"/>
      <c r="AO25" s="222"/>
      <c r="AP25" s="223"/>
      <c r="AQ25" s="223"/>
      <c r="AR25" s="223"/>
      <c r="AS25" s="223"/>
      <c r="AT25" s="224"/>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199"/>
      <c r="C26" s="199"/>
      <c r="D26" s="200"/>
      <c r="E26" s="240"/>
      <c r="F26" s="241"/>
      <c r="G26" s="241"/>
      <c r="H26" s="241"/>
      <c r="I26" s="242"/>
      <c r="J26" s="266" t="e">
        <f>IF(AND('Mapa final'!#REF!="Media",'Mapa final'!#REF!="Leve"),CONCATENATE("R",'Mapa final'!#REF!),"")</f>
        <v>#REF!</v>
      </c>
      <c r="K26" s="267"/>
      <c r="L26" s="267" t="e">
        <f>IF(AND('Mapa final'!#REF!="Media",'Mapa final'!#REF!="Leve"),CONCATENATE("R",'Mapa final'!#REF!),"")</f>
        <v>#REF!</v>
      </c>
      <c r="M26" s="267"/>
      <c r="N26" s="267" t="e">
        <f>IF(AND('Mapa final'!#REF!="Media",'Mapa final'!#REF!="Leve"),CONCATENATE("R",'Mapa final'!#REF!),"")</f>
        <v>#REF!</v>
      </c>
      <c r="O26" s="268"/>
      <c r="P26" s="266" t="e">
        <f>IF(AND('Mapa final'!#REF!="Media",'Mapa final'!#REF!="Menor"),CONCATENATE("R",'Mapa final'!#REF!),"")</f>
        <v>#REF!</v>
      </c>
      <c r="Q26" s="267"/>
      <c r="R26" s="267" t="e">
        <f>IF(AND('Mapa final'!#REF!="Media",'Mapa final'!#REF!="Menor"),CONCATENATE("R",'Mapa final'!#REF!),"")</f>
        <v>#REF!</v>
      </c>
      <c r="S26" s="267"/>
      <c r="T26" s="267" t="e">
        <f>IF(AND('Mapa final'!#REF!="Media",'Mapa final'!#REF!="Menor"),CONCATENATE("R",'Mapa final'!#REF!),"")</f>
        <v>#REF!</v>
      </c>
      <c r="U26" s="268"/>
      <c r="V26" s="266" t="e">
        <f>IF(AND('Mapa final'!#REF!="Media",'Mapa final'!#REF!="Moderado"),CONCATENATE("R",'Mapa final'!#REF!),"")</f>
        <v>#REF!</v>
      </c>
      <c r="W26" s="267"/>
      <c r="X26" s="267" t="e">
        <f>IF(AND('Mapa final'!#REF!="Media",'Mapa final'!#REF!="Moderado"),CONCATENATE("R",'Mapa final'!#REF!),"")</f>
        <v>#REF!</v>
      </c>
      <c r="Y26" s="267"/>
      <c r="Z26" s="267" t="e">
        <f>IF(AND('Mapa final'!#REF!="Media",'Mapa final'!#REF!="Moderado"),CONCATENATE("R",'Mapa final'!#REF!),"")</f>
        <v>#REF!</v>
      </c>
      <c r="AA26" s="268"/>
      <c r="AB26" s="250" t="e">
        <f>IF(AND('Mapa final'!#REF!="Media",'Mapa final'!#REF!="Mayor"),CONCATENATE("R",'Mapa final'!#REF!),"")</f>
        <v>#REF!</v>
      </c>
      <c r="AC26" s="246"/>
      <c r="AD26" s="246" t="e">
        <f>IF(AND('Mapa final'!#REF!="Media",'Mapa final'!#REF!="Mayor"),CONCATENATE("R",'Mapa final'!#REF!),"")</f>
        <v>#REF!</v>
      </c>
      <c r="AE26" s="246"/>
      <c r="AF26" s="246" t="e">
        <f>IF(AND('Mapa final'!#REF!="Media",'Mapa final'!#REF!="Mayor"),CONCATENATE("R",'Mapa final'!#REF!),"")</f>
        <v>#REF!</v>
      </c>
      <c r="AG26" s="247"/>
      <c r="AH26" s="257" t="e">
        <f>IF(AND('Mapa final'!#REF!="Media",'Mapa final'!#REF!="Catastrófico"),CONCATENATE("R",'Mapa final'!#REF!),"")</f>
        <v>#REF!</v>
      </c>
      <c r="AI26" s="258"/>
      <c r="AJ26" s="258" t="e">
        <f>IF(AND('Mapa final'!#REF!="Media",'Mapa final'!#REF!="Catastrófico"),CONCATENATE("R",'Mapa final'!#REF!),"")</f>
        <v>#REF!</v>
      </c>
      <c r="AK26" s="258"/>
      <c r="AL26" s="258" t="e">
        <f>IF(AND('Mapa final'!#REF!="Media",'Mapa final'!#REF!="Catastrófico"),CONCATENATE("R",'Mapa final'!#REF!),"")</f>
        <v>#REF!</v>
      </c>
      <c r="AM26" s="259"/>
      <c r="AN26" s="75"/>
      <c r="AO26" s="222"/>
      <c r="AP26" s="223"/>
      <c r="AQ26" s="223"/>
      <c r="AR26" s="223"/>
      <c r="AS26" s="223"/>
      <c r="AT26" s="224"/>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199"/>
      <c r="C27" s="199"/>
      <c r="D27" s="200"/>
      <c r="E27" s="240"/>
      <c r="F27" s="241"/>
      <c r="G27" s="241"/>
      <c r="H27" s="241"/>
      <c r="I27" s="242"/>
      <c r="J27" s="266"/>
      <c r="K27" s="267"/>
      <c r="L27" s="267"/>
      <c r="M27" s="267"/>
      <c r="N27" s="267"/>
      <c r="O27" s="268"/>
      <c r="P27" s="266"/>
      <c r="Q27" s="267"/>
      <c r="R27" s="267"/>
      <c r="S27" s="267"/>
      <c r="T27" s="267"/>
      <c r="U27" s="268"/>
      <c r="V27" s="266"/>
      <c r="W27" s="267"/>
      <c r="X27" s="267"/>
      <c r="Y27" s="267"/>
      <c r="Z27" s="267"/>
      <c r="AA27" s="268"/>
      <c r="AB27" s="250"/>
      <c r="AC27" s="246"/>
      <c r="AD27" s="246"/>
      <c r="AE27" s="246"/>
      <c r="AF27" s="246"/>
      <c r="AG27" s="247"/>
      <c r="AH27" s="257"/>
      <c r="AI27" s="258"/>
      <c r="AJ27" s="258"/>
      <c r="AK27" s="258"/>
      <c r="AL27" s="258"/>
      <c r="AM27" s="259"/>
      <c r="AN27" s="75"/>
      <c r="AO27" s="222"/>
      <c r="AP27" s="223"/>
      <c r="AQ27" s="223"/>
      <c r="AR27" s="223"/>
      <c r="AS27" s="223"/>
      <c r="AT27" s="224"/>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199"/>
      <c r="C28" s="199"/>
      <c r="D28" s="200"/>
      <c r="E28" s="240"/>
      <c r="F28" s="241"/>
      <c r="G28" s="241"/>
      <c r="H28" s="241"/>
      <c r="I28" s="242"/>
      <c r="J28" s="266" t="e">
        <f>IF(AND('Mapa final'!#REF!="Media",'Mapa final'!#REF!="Leve"),CONCATENATE("R",'Mapa final'!#REF!),"")</f>
        <v>#REF!</v>
      </c>
      <c r="K28" s="267"/>
      <c r="L28" s="267" t="str">
        <f>IF(AND('Mapa final'!$N$24="Media",'Mapa final'!$R$24="Leve"),CONCATENATE("R",'Mapa final'!$A$24),"")</f>
        <v/>
      </c>
      <c r="M28" s="267"/>
      <c r="N28" s="267" t="e">
        <f>IF(AND('Mapa final'!#REF!="Media",'Mapa final'!#REF!="Leve"),CONCATENATE("R",'Mapa final'!#REF!),"")</f>
        <v>#REF!</v>
      </c>
      <c r="O28" s="268"/>
      <c r="P28" s="266" t="e">
        <f>IF(AND('Mapa final'!#REF!="Media",'Mapa final'!#REF!="Menor"),CONCATENATE("R",'Mapa final'!#REF!),"")</f>
        <v>#REF!</v>
      </c>
      <c r="Q28" s="267"/>
      <c r="R28" s="267" t="str">
        <f>IF(AND('Mapa final'!$N$24="Media",'Mapa final'!$R$24="Menor"),CONCATENATE("R",'Mapa final'!$A$24),"")</f>
        <v/>
      </c>
      <c r="S28" s="267"/>
      <c r="T28" s="267" t="e">
        <f>IF(AND('Mapa final'!#REF!="Media",'Mapa final'!#REF!="Menor"),CONCATENATE("R",'Mapa final'!#REF!),"")</f>
        <v>#REF!</v>
      </c>
      <c r="U28" s="268"/>
      <c r="V28" s="266" t="e">
        <f>IF(AND('Mapa final'!#REF!="Media",'Mapa final'!#REF!="Moderado"),CONCATENATE("R",'Mapa final'!#REF!),"")</f>
        <v>#REF!</v>
      </c>
      <c r="W28" s="267"/>
      <c r="X28" s="267" t="str">
        <f>IF(AND('Mapa final'!$N$24="Media",'Mapa final'!$R$24="Moderado"),CONCATENATE("R",'Mapa final'!$A$24),"")</f>
        <v/>
      </c>
      <c r="Y28" s="267"/>
      <c r="Z28" s="267" t="e">
        <f>IF(AND('Mapa final'!#REF!="Media",'Mapa final'!#REF!="Moderado"),CONCATENATE("R",'Mapa final'!#REF!),"")</f>
        <v>#REF!</v>
      </c>
      <c r="AA28" s="268"/>
      <c r="AB28" s="250" t="e">
        <f>IF(AND('Mapa final'!#REF!="Media",'Mapa final'!#REF!="Mayor"),CONCATENATE("R",'Mapa final'!#REF!),"")</f>
        <v>#REF!</v>
      </c>
      <c r="AC28" s="246"/>
      <c r="AD28" s="246" t="str">
        <f>IF(AND('Mapa final'!$N$24="Media",'Mapa final'!$R$24="Mayor"),CONCATENATE("R",'Mapa final'!$A$24),"")</f>
        <v/>
      </c>
      <c r="AE28" s="246"/>
      <c r="AF28" s="246" t="e">
        <f>IF(AND('Mapa final'!#REF!="Media",'Mapa final'!#REF!="Mayor"),CONCATENATE("R",'Mapa final'!#REF!),"")</f>
        <v>#REF!</v>
      </c>
      <c r="AG28" s="247"/>
      <c r="AH28" s="257" t="e">
        <f>IF(AND('Mapa final'!#REF!="Media",'Mapa final'!#REF!="Catastrófico"),CONCATENATE("R",'Mapa final'!#REF!),"")</f>
        <v>#REF!</v>
      </c>
      <c r="AI28" s="258"/>
      <c r="AJ28" s="258" t="str">
        <f>IF(AND('Mapa final'!$N$24="Media",'Mapa final'!$R$24="Catastrófico"),CONCATENATE("R",'Mapa final'!$A$24),"")</f>
        <v/>
      </c>
      <c r="AK28" s="258"/>
      <c r="AL28" s="258" t="e">
        <f>IF(AND('Mapa final'!#REF!="Media",'Mapa final'!#REF!="Catastrófico"),CONCATENATE("R",'Mapa final'!#REF!),"")</f>
        <v>#REF!</v>
      </c>
      <c r="AM28" s="259"/>
      <c r="AN28" s="75"/>
      <c r="AO28" s="222"/>
      <c r="AP28" s="223"/>
      <c r="AQ28" s="223"/>
      <c r="AR28" s="223"/>
      <c r="AS28" s="223"/>
      <c r="AT28" s="224"/>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199"/>
      <c r="C29" s="199"/>
      <c r="D29" s="200"/>
      <c r="E29" s="243"/>
      <c r="F29" s="244"/>
      <c r="G29" s="244"/>
      <c r="H29" s="244"/>
      <c r="I29" s="245"/>
      <c r="J29" s="266"/>
      <c r="K29" s="267"/>
      <c r="L29" s="267"/>
      <c r="M29" s="267"/>
      <c r="N29" s="267"/>
      <c r="O29" s="268"/>
      <c r="P29" s="269"/>
      <c r="Q29" s="270"/>
      <c r="R29" s="270"/>
      <c r="S29" s="270"/>
      <c r="T29" s="270"/>
      <c r="U29" s="271"/>
      <c r="V29" s="269"/>
      <c r="W29" s="270"/>
      <c r="X29" s="270"/>
      <c r="Y29" s="270"/>
      <c r="Z29" s="270"/>
      <c r="AA29" s="271"/>
      <c r="AB29" s="254"/>
      <c r="AC29" s="255"/>
      <c r="AD29" s="255"/>
      <c r="AE29" s="255"/>
      <c r="AF29" s="255"/>
      <c r="AG29" s="256"/>
      <c r="AH29" s="260"/>
      <c r="AI29" s="261"/>
      <c r="AJ29" s="261"/>
      <c r="AK29" s="261"/>
      <c r="AL29" s="261"/>
      <c r="AM29" s="262"/>
      <c r="AN29" s="75"/>
      <c r="AO29" s="225"/>
      <c r="AP29" s="226"/>
      <c r="AQ29" s="226"/>
      <c r="AR29" s="226"/>
      <c r="AS29" s="226"/>
      <c r="AT29" s="227"/>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199"/>
      <c r="C30" s="199"/>
      <c r="D30" s="200"/>
      <c r="E30" s="237" t="s">
        <v>110</v>
      </c>
      <c r="F30" s="238"/>
      <c r="G30" s="238"/>
      <c r="H30" s="238"/>
      <c r="I30" s="238"/>
      <c r="J30" s="281" t="e">
        <f>IF(AND('Mapa final'!#REF!="Baja",'Mapa final'!#REF!="Leve"),CONCATENATE("R",'Mapa final'!#REF!),"")</f>
        <v>#REF!</v>
      </c>
      <c r="K30" s="282"/>
      <c r="L30" s="282" t="str">
        <f>IF(AND('Mapa final'!$N$9="Baja",'Mapa final'!$R$9="Leve"),CONCATENATE("R",'Mapa final'!$A$9),"")</f>
        <v/>
      </c>
      <c r="M30" s="282"/>
      <c r="N30" s="282" t="e">
        <f>IF(AND('Mapa final'!#REF!="Baja",'Mapa final'!#REF!="Leve"),CONCATENATE("R",'Mapa final'!#REF!),"")</f>
        <v>#REF!</v>
      </c>
      <c r="O30" s="283"/>
      <c r="P30" s="273" t="e">
        <f>IF(AND('Mapa final'!#REF!="Baja",'Mapa final'!#REF!="Menor"),CONCATENATE("R",'Mapa final'!#REF!),"")</f>
        <v>#REF!</v>
      </c>
      <c r="Q30" s="273"/>
      <c r="R30" s="273" t="str">
        <f>IF(AND('Mapa final'!$N$9="Baja",'Mapa final'!$R$9="Menor"),CONCATENATE("R",'Mapa final'!$A$9),"")</f>
        <v/>
      </c>
      <c r="S30" s="273"/>
      <c r="T30" s="273" t="e">
        <f>IF(AND('Mapa final'!#REF!="Baja",'Mapa final'!#REF!="Menor"),CONCATENATE("R",'Mapa final'!#REF!),"")</f>
        <v>#REF!</v>
      </c>
      <c r="U30" s="274"/>
      <c r="V30" s="272" t="e">
        <f>IF(AND('Mapa final'!#REF!="Baja",'Mapa final'!#REF!="Moderado"),CONCATENATE("R",'Mapa final'!#REF!),"")</f>
        <v>#REF!</v>
      </c>
      <c r="W30" s="273"/>
      <c r="X30" s="273" t="str">
        <f>IF(AND('Mapa final'!$N$9="Baja",'Mapa final'!$R$9="Moderado"),CONCATENATE("R",'Mapa final'!$A$9),"")</f>
        <v/>
      </c>
      <c r="Y30" s="273"/>
      <c r="Z30" s="273" t="e">
        <f>IF(AND('Mapa final'!#REF!="Baja",'Mapa final'!#REF!="Moderado"),CONCATENATE("R",'Mapa final'!#REF!),"")</f>
        <v>#REF!</v>
      </c>
      <c r="AA30" s="274"/>
      <c r="AB30" s="248" t="e">
        <f>IF(AND('Mapa final'!#REF!="Baja",'Mapa final'!#REF!="Mayor"),CONCATENATE("R",'Mapa final'!#REF!),"")</f>
        <v>#REF!</v>
      </c>
      <c r="AC30" s="249"/>
      <c r="AD30" s="249" t="str">
        <f>IF(AND('Mapa final'!$N$9="Baja",'Mapa final'!$R$9="Mayor"),CONCATENATE("R",'Mapa final'!$A$9),"")</f>
        <v/>
      </c>
      <c r="AE30" s="249"/>
      <c r="AF30" s="249" t="e">
        <f>IF(AND('Mapa final'!#REF!="Baja",'Mapa final'!#REF!="Mayor"),CONCATENATE("R",'Mapa final'!#REF!),"")</f>
        <v>#REF!</v>
      </c>
      <c r="AG30" s="251"/>
      <c r="AH30" s="263" t="e">
        <f>IF(AND('Mapa final'!#REF!="Baja",'Mapa final'!#REF!="Catastrófico"),CONCATENATE("R",'Mapa final'!#REF!),"")</f>
        <v>#REF!</v>
      </c>
      <c r="AI30" s="264"/>
      <c r="AJ30" s="264" t="str">
        <f>IF(AND('Mapa final'!$N$9="Baja",'Mapa final'!$R$9="Catastrófico"),CONCATENATE("R",'Mapa final'!$A$9),"")</f>
        <v/>
      </c>
      <c r="AK30" s="264"/>
      <c r="AL30" s="264" t="e">
        <f>IF(AND('Mapa final'!#REF!="Baja",'Mapa final'!#REF!="Catastrófico"),CONCATENATE("R",'Mapa final'!#REF!),"")</f>
        <v>#REF!</v>
      </c>
      <c r="AM30" s="265"/>
      <c r="AN30" s="75"/>
      <c r="AO30" s="228" t="s">
        <v>78</v>
      </c>
      <c r="AP30" s="229"/>
      <c r="AQ30" s="229"/>
      <c r="AR30" s="229"/>
      <c r="AS30" s="229"/>
      <c r="AT30" s="230"/>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199"/>
      <c r="C31" s="199"/>
      <c r="D31" s="200"/>
      <c r="E31" s="240"/>
      <c r="F31" s="241"/>
      <c r="G31" s="241"/>
      <c r="H31" s="241"/>
      <c r="I31" s="241"/>
      <c r="J31" s="277"/>
      <c r="K31" s="275"/>
      <c r="L31" s="275"/>
      <c r="M31" s="275"/>
      <c r="N31" s="275"/>
      <c r="O31" s="276"/>
      <c r="P31" s="267"/>
      <c r="Q31" s="267"/>
      <c r="R31" s="267"/>
      <c r="S31" s="267"/>
      <c r="T31" s="267"/>
      <c r="U31" s="268"/>
      <c r="V31" s="266"/>
      <c r="W31" s="267"/>
      <c r="X31" s="267"/>
      <c r="Y31" s="267"/>
      <c r="Z31" s="267"/>
      <c r="AA31" s="268"/>
      <c r="AB31" s="250"/>
      <c r="AC31" s="246"/>
      <c r="AD31" s="246"/>
      <c r="AE31" s="246"/>
      <c r="AF31" s="246"/>
      <c r="AG31" s="247"/>
      <c r="AH31" s="257"/>
      <c r="AI31" s="258"/>
      <c r="AJ31" s="258"/>
      <c r="AK31" s="258"/>
      <c r="AL31" s="258"/>
      <c r="AM31" s="259"/>
      <c r="AN31" s="75"/>
      <c r="AO31" s="231"/>
      <c r="AP31" s="232"/>
      <c r="AQ31" s="232"/>
      <c r="AR31" s="232"/>
      <c r="AS31" s="232"/>
      <c r="AT31" s="233"/>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199"/>
      <c r="C32" s="199"/>
      <c r="D32" s="200"/>
      <c r="E32" s="240"/>
      <c r="F32" s="241"/>
      <c r="G32" s="241"/>
      <c r="H32" s="241"/>
      <c r="I32" s="241"/>
      <c r="J32" s="277" t="e">
        <f>IF(AND('Mapa final'!#REF!="Baja",'Mapa final'!#REF!="Leve"),CONCATENATE("R",'Mapa final'!#REF!),"")</f>
        <v>#REF!</v>
      </c>
      <c r="K32" s="275"/>
      <c r="L32" s="275" t="e">
        <f>IF(AND('Mapa final'!#REF!="Baja",'Mapa final'!#REF!="Leve"),CONCATENATE("R",'Mapa final'!#REF!),"")</f>
        <v>#REF!</v>
      </c>
      <c r="M32" s="275"/>
      <c r="N32" s="275" t="e">
        <f>IF(AND('Mapa final'!#REF!="Baja",'Mapa final'!#REF!="Leve"),CONCATENATE("R",'Mapa final'!#REF!),"")</f>
        <v>#REF!</v>
      </c>
      <c r="O32" s="276"/>
      <c r="P32" s="267" t="e">
        <f>IF(AND('Mapa final'!#REF!="Baja",'Mapa final'!#REF!="Menor"),CONCATENATE("R",'Mapa final'!#REF!),"")</f>
        <v>#REF!</v>
      </c>
      <c r="Q32" s="267"/>
      <c r="R32" s="267" t="e">
        <f>IF(AND('Mapa final'!#REF!="Baja",'Mapa final'!#REF!="Menor"),CONCATENATE("R",'Mapa final'!#REF!),"")</f>
        <v>#REF!</v>
      </c>
      <c r="S32" s="267"/>
      <c r="T32" s="267" t="e">
        <f>IF(AND('Mapa final'!#REF!="Baja",'Mapa final'!#REF!="Menor"),CONCATENATE("R",'Mapa final'!#REF!),"")</f>
        <v>#REF!</v>
      </c>
      <c r="U32" s="268"/>
      <c r="V32" s="266" t="e">
        <f>IF(AND('Mapa final'!#REF!="Baja",'Mapa final'!#REF!="Moderado"),CONCATENATE("R",'Mapa final'!#REF!),"")</f>
        <v>#REF!</v>
      </c>
      <c r="W32" s="267"/>
      <c r="X32" s="267" t="e">
        <f>IF(AND('Mapa final'!#REF!="Baja",'Mapa final'!#REF!="Moderado"),CONCATENATE("R",'Mapa final'!#REF!),"")</f>
        <v>#REF!</v>
      </c>
      <c r="Y32" s="267"/>
      <c r="Z32" s="267" t="e">
        <f>IF(AND('Mapa final'!#REF!="Baja",'Mapa final'!#REF!="Moderado"),CONCATENATE("R",'Mapa final'!#REF!),"")</f>
        <v>#REF!</v>
      </c>
      <c r="AA32" s="268"/>
      <c r="AB32" s="250" t="e">
        <f>IF(AND('Mapa final'!#REF!="Baja",'Mapa final'!#REF!="Mayor"),CONCATENATE("R",'Mapa final'!#REF!),"")</f>
        <v>#REF!</v>
      </c>
      <c r="AC32" s="246"/>
      <c r="AD32" s="246" t="e">
        <f>IF(AND('Mapa final'!#REF!="Baja",'Mapa final'!#REF!="Mayor"),CONCATENATE("R",'Mapa final'!#REF!),"")</f>
        <v>#REF!</v>
      </c>
      <c r="AE32" s="246"/>
      <c r="AF32" s="246" t="e">
        <f>IF(AND('Mapa final'!#REF!="Baja",'Mapa final'!#REF!="Mayor"),CONCATENATE("R",'Mapa final'!#REF!),"")</f>
        <v>#REF!</v>
      </c>
      <c r="AG32" s="247"/>
      <c r="AH32" s="257" t="e">
        <f>IF(AND('Mapa final'!#REF!="Baja",'Mapa final'!#REF!="Catastrófico"),CONCATENATE("R",'Mapa final'!#REF!),"")</f>
        <v>#REF!</v>
      </c>
      <c r="AI32" s="258"/>
      <c r="AJ32" s="258" t="e">
        <f>IF(AND('Mapa final'!#REF!="Baja",'Mapa final'!#REF!="Catastrófico"),CONCATENATE("R",'Mapa final'!#REF!),"")</f>
        <v>#REF!</v>
      </c>
      <c r="AK32" s="258"/>
      <c r="AL32" s="258" t="e">
        <f>IF(AND('Mapa final'!#REF!="Baja",'Mapa final'!#REF!="Catastrófico"),CONCATENATE("R",'Mapa final'!#REF!),"")</f>
        <v>#REF!</v>
      </c>
      <c r="AM32" s="259"/>
      <c r="AN32" s="75"/>
      <c r="AO32" s="231"/>
      <c r="AP32" s="232"/>
      <c r="AQ32" s="232"/>
      <c r="AR32" s="232"/>
      <c r="AS32" s="232"/>
      <c r="AT32" s="233"/>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199"/>
      <c r="C33" s="199"/>
      <c r="D33" s="200"/>
      <c r="E33" s="240"/>
      <c r="F33" s="241"/>
      <c r="G33" s="241"/>
      <c r="H33" s="241"/>
      <c r="I33" s="241"/>
      <c r="J33" s="277"/>
      <c r="K33" s="275"/>
      <c r="L33" s="275"/>
      <c r="M33" s="275"/>
      <c r="N33" s="275"/>
      <c r="O33" s="276"/>
      <c r="P33" s="267"/>
      <c r="Q33" s="267"/>
      <c r="R33" s="267"/>
      <c r="S33" s="267"/>
      <c r="T33" s="267"/>
      <c r="U33" s="268"/>
      <c r="V33" s="266"/>
      <c r="W33" s="267"/>
      <c r="X33" s="267"/>
      <c r="Y33" s="267"/>
      <c r="Z33" s="267"/>
      <c r="AA33" s="268"/>
      <c r="AB33" s="250"/>
      <c r="AC33" s="246"/>
      <c r="AD33" s="246"/>
      <c r="AE33" s="246"/>
      <c r="AF33" s="246"/>
      <c r="AG33" s="247"/>
      <c r="AH33" s="257"/>
      <c r="AI33" s="258"/>
      <c r="AJ33" s="258"/>
      <c r="AK33" s="258"/>
      <c r="AL33" s="258"/>
      <c r="AM33" s="259"/>
      <c r="AN33" s="75"/>
      <c r="AO33" s="231"/>
      <c r="AP33" s="232"/>
      <c r="AQ33" s="232"/>
      <c r="AR33" s="232"/>
      <c r="AS33" s="232"/>
      <c r="AT33" s="233"/>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199"/>
      <c r="C34" s="199"/>
      <c r="D34" s="200"/>
      <c r="E34" s="240"/>
      <c r="F34" s="241"/>
      <c r="G34" s="241"/>
      <c r="H34" s="241"/>
      <c r="I34" s="241"/>
      <c r="J34" s="277" t="e">
        <f>IF(AND('Mapa final'!#REF!="Baja",'Mapa final'!#REF!="Leve"),CONCATENATE("R",'Mapa final'!#REF!),"")</f>
        <v>#REF!</v>
      </c>
      <c r="K34" s="275"/>
      <c r="L34" s="275" t="e">
        <f>IF(AND('Mapa final'!#REF!="Baja",'Mapa final'!#REF!="Leve"),CONCATENATE("R",'Mapa final'!#REF!),"")</f>
        <v>#REF!</v>
      </c>
      <c r="M34" s="275"/>
      <c r="N34" s="275" t="e">
        <f>IF(AND('Mapa final'!#REF!="Baja",'Mapa final'!#REF!="Leve"),CONCATENATE("R",'Mapa final'!#REF!),"")</f>
        <v>#REF!</v>
      </c>
      <c r="O34" s="276"/>
      <c r="P34" s="267" t="e">
        <f>IF(AND('Mapa final'!#REF!="Baja",'Mapa final'!#REF!="Menor"),CONCATENATE("R",'Mapa final'!#REF!),"")</f>
        <v>#REF!</v>
      </c>
      <c r="Q34" s="267"/>
      <c r="R34" s="267" t="e">
        <f>IF(AND('Mapa final'!#REF!="Baja",'Mapa final'!#REF!="Menor"),CONCATENATE("R",'Mapa final'!#REF!),"")</f>
        <v>#REF!</v>
      </c>
      <c r="S34" s="267"/>
      <c r="T34" s="267" t="e">
        <f>IF(AND('Mapa final'!#REF!="Baja",'Mapa final'!#REF!="Menor"),CONCATENATE("R",'Mapa final'!#REF!),"")</f>
        <v>#REF!</v>
      </c>
      <c r="U34" s="268"/>
      <c r="V34" s="266" t="e">
        <f>IF(AND('Mapa final'!#REF!="Baja",'Mapa final'!#REF!="Moderado"),CONCATENATE("R",'Mapa final'!#REF!),"")</f>
        <v>#REF!</v>
      </c>
      <c r="W34" s="267"/>
      <c r="X34" s="267" t="e">
        <f>IF(AND('Mapa final'!#REF!="Baja",'Mapa final'!#REF!="Moderado"),CONCATENATE("R",'Mapa final'!#REF!),"")</f>
        <v>#REF!</v>
      </c>
      <c r="Y34" s="267"/>
      <c r="Z34" s="267" t="e">
        <f>IF(AND('Mapa final'!#REF!="Baja",'Mapa final'!#REF!="Moderado"),CONCATENATE("R",'Mapa final'!#REF!),"")</f>
        <v>#REF!</v>
      </c>
      <c r="AA34" s="268"/>
      <c r="AB34" s="250" t="e">
        <f>IF(AND('Mapa final'!#REF!="Baja",'Mapa final'!#REF!="Mayor"),CONCATENATE("R",'Mapa final'!#REF!),"")</f>
        <v>#REF!</v>
      </c>
      <c r="AC34" s="246"/>
      <c r="AD34" s="246" t="e">
        <f>IF(AND('Mapa final'!#REF!="Baja",'Mapa final'!#REF!="Mayor"),CONCATENATE("R",'Mapa final'!#REF!),"")</f>
        <v>#REF!</v>
      </c>
      <c r="AE34" s="246"/>
      <c r="AF34" s="246" t="e">
        <f>IF(AND('Mapa final'!#REF!="Baja",'Mapa final'!#REF!="Mayor"),CONCATENATE("R",'Mapa final'!#REF!),"")</f>
        <v>#REF!</v>
      </c>
      <c r="AG34" s="247"/>
      <c r="AH34" s="257" t="e">
        <f>IF(AND('Mapa final'!#REF!="Baja",'Mapa final'!#REF!="Catastrófico"),CONCATENATE("R",'Mapa final'!#REF!),"")</f>
        <v>#REF!</v>
      </c>
      <c r="AI34" s="258"/>
      <c r="AJ34" s="258" t="e">
        <f>IF(AND('Mapa final'!#REF!="Baja",'Mapa final'!#REF!="Catastrófico"),CONCATENATE("R",'Mapa final'!#REF!),"")</f>
        <v>#REF!</v>
      </c>
      <c r="AK34" s="258"/>
      <c r="AL34" s="258" t="e">
        <f>IF(AND('Mapa final'!#REF!="Baja",'Mapa final'!#REF!="Catastrófico"),CONCATENATE("R",'Mapa final'!#REF!),"")</f>
        <v>#REF!</v>
      </c>
      <c r="AM34" s="259"/>
      <c r="AN34" s="75"/>
      <c r="AO34" s="231"/>
      <c r="AP34" s="232"/>
      <c r="AQ34" s="232"/>
      <c r="AR34" s="232"/>
      <c r="AS34" s="232"/>
      <c r="AT34" s="233"/>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199"/>
      <c r="C35" s="199"/>
      <c r="D35" s="200"/>
      <c r="E35" s="240"/>
      <c r="F35" s="241"/>
      <c r="G35" s="241"/>
      <c r="H35" s="241"/>
      <c r="I35" s="241"/>
      <c r="J35" s="277"/>
      <c r="K35" s="275"/>
      <c r="L35" s="275"/>
      <c r="M35" s="275"/>
      <c r="N35" s="275"/>
      <c r="O35" s="276"/>
      <c r="P35" s="267"/>
      <c r="Q35" s="267"/>
      <c r="R35" s="267"/>
      <c r="S35" s="267"/>
      <c r="T35" s="267"/>
      <c r="U35" s="268"/>
      <c r="V35" s="266"/>
      <c r="W35" s="267"/>
      <c r="X35" s="267"/>
      <c r="Y35" s="267"/>
      <c r="Z35" s="267"/>
      <c r="AA35" s="268"/>
      <c r="AB35" s="250"/>
      <c r="AC35" s="246"/>
      <c r="AD35" s="246"/>
      <c r="AE35" s="246"/>
      <c r="AF35" s="246"/>
      <c r="AG35" s="247"/>
      <c r="AH35" s="257"/>
      <c r="AI35" s="258"/>
      <c r="AJ35" s="258"/>
      <c r="AK35" s="258"/>
      <c r="AL35" s="258"/>
      <c r="AM35" s="259"/>
      <c r="AN35" s="75"/>
      <c r="AO35" s="231"/>
      <c r="AP35" s="232"/>
      <c r="AQ35" s="232"/>
      <c r="AR35" s="232"/>
      <c r="AS35" s="232"/>
      <c r="AT35" s="233"/>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199"/>
      <c r="C36" s="199"/>
      <c r="D36" s="200"/>
      <c r="E36" s="240"/>
      <c r="F36" s="241"/>
      <c r="G36" s="241"/>
      <c r="H36" s="241"/>
      <c r="I36" s="241"/>
      <c r="J36" s="277" t="e">
        <f>IF(AND('Mapa final'!#REF!="Baja",'Mapa final'!#REF!="Leve"),CONCATENATE("R",'Mapa final'!#REF!),"")</f>
        <v>#REF!</v>
      </c>
      <c r="K36" s="275"/>
      <c r="L36" s="275" t="str">
        <f>IF(AND('Mapa final'!$N$24="Baja",'Mapa final'!$R$24="Leve"),CONCATENATE("R",'Mapa final'!$A$24),"")</f>
        <v/>
      </c>
      <c r="M36" s="275"/>
      <c r="N36" s="275" t="e">
        <f>IF(AND('Mapa final'!#REF!="Baja",'Mapa final'!#REF!="Leve"),CONCATENATE("R",'Mapa final'!#REF!),"")</f>
        <v>#REF!</v>
      </c>
      <c r="O36" s="276"/>
      <c r="P36" s="267" t="e">
        <f>IF(AND('Mapa final'!#REF!="Baja",'Mapa final'!#REF!="Menor"),CONCATENATE("R",'Mapa final'!#REF!),"")</f>
        <v>#REF!</v>
      </c>
      <c r="Q36" s="267"/>
      <c r="R36" s="267" t="str">
        <f>IF(AND('Mapa final'!$N$24="Baja",'Mapa final'!$R$24="Menor"),CONCATENATE("R",'Mapa final'!$A$24),"")</f>
        <v/>
      </c>
      <c r="S36" s="267"/>
      <c r="T36" s="267" t="e">
        <f>IF(AND('Mapa final'!#REF!="Baja",'Mapa final'!#REF!="Menor"),CONCATENATE("R",'Mapa final'!#REF!),"")</f>
        <v>#REF!</v>
      </c>
      <c r="U36" s="268"/>
      <c r="V36" s="266" t="e">
        <f>IF(AND('Mapa final'!#REF!="Baja",'Mapa final'!#REF!="Moderado"),CONCATENATE("R",'Mapa final'!#REF!),"")</f>
        <v>#REF!</v>
      </c>
      <c r="W36" s="267"/>
      <c r="X36" s="267" t="str">
        <f>IF(AND('Mapa final'!$N$24="Baja",'Mapa final'!$R$24="Moderado"),CONCATENATE("R",'Mapa final'!$A$24),"")</f>
        <v/>
      </c>
      <c r="Y36" s="267"/>
      <c r="Z36" s="267" t="e">
        <f>IF(AND('Mapa final'!#REF!="Baja",'Mapa final'!#REF!="Moderado"),CONCATENATE("R",'Mapa final'!#REF!),"")</f>
        <v>#REF!</v>
      </c>
      <c r="AA36" s="268"/>
      <c r="AB36" s="250" t="e">
        <f>IF(AND('Mapa final'!#REF!="Baja",'Mapa final'!#REF!="Mayor"),CONCATENATE("R",'Mapa final'!#REF!),"")</f>
        <v>#REF!</v>
      </c>
      <c r="AC36" s="246"/>
      <c r="AD36" s="246" t="str">
        <f>IF(AND('Mapa final'!$N$24="Baja",'Mapa final'!$R$24="Mayor"),CONCATENATE("R",'Mapa final'!$A$24),"")</f>
        <v/>
      </c>
      <c r="AE36" s="246"/>
      <c r="AF36" s="246" t="e">
        <f>IF(AND('Mapa final'!#REF!="Baja",'Mapa final'!#REF!="Mayor"),CONCATENATE("R",'Mapa final'!#REF!),"")</f>
        <v>#REF!</v>
      </c>
      <c r="AG36" s="247"/>
      <c r="AH36" s="257" t="e">
        <f>IF(AND('Mapa final'!#REF!="Baja",'Mapa final'!#REF!="Catastrófico"),CONCATENATE("R",'Mapa final'!#REF!),"")</f>
        <v>#REF!</v>
      </c>
      <c r="AI36" s="258"/>
      <c r="AJ36" s="258" t="str">
        <f>IF(AND('Mapa final'!$N$24="Baja",'Mapa final'!$R$24="Catastrófico"),CONCATENATE("R",'Mapa final'!$A$24),"")</f>
        <v/>
      </c>
      <c r="AK36" s="258"/>
      <c r="AL36" s="258" t="e">
        <f>IF(AND('Mapa final'!#REF!="Baja",'Mapa final'!#REF!="Catastrófico"),CONCATENATE("R",'Mapa final'!#REF!),"")</f>
        <v>#REF!</v>
      </c>
      <c r="AM36" s="259"/>
      <c r="AN36" s="75"/>
      <c r="AO36" s="231"/>
      <c r="AP36" s="232"/>
      <c r="AQ36" s="232"/>
      <c r="AR36" s="232"/>
      <c r="AS36" s="232"/>
      <c r="AT36" s="233"/>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199"/>
      <c r="C37" s="199"/>
      <c r="D37" s="200"/>
      <c r="E37" s="243"/>
      <c r="F37" s="244"/>
      <c r="G37" s="244"/>
      <c r="H37" s="244"/>
      <c r="I37" s="244"/>
      <c r="J37" s="278"/>
      <c r="K37" s="279"/>
      <c r="L37" s="279"/>
      <c r="M37" s="279"/>
      <c r="N37" s="279"/>
      <c r="O37" s="280"/>
      <c r="P37" s="270"/>
      <c r="Q37" s="270"/>
      <c r="R37" s="270"/>
      <c r="S37" s="270"/>
      <c r="T37" s="270"/>
      <c r="U37" s="271"/>
      <c r="V37" s="269"/>
      <c r="W37" s="270"/>
      <c r="X37" s="270"/>
      <c r="Y37" s="270"/>
      <c r="Z37" s="270"/>
      <c r="AA37" s="271"/>
      <c r="AB37" s="254"/>
      <c r="AC37" s="255"/>
      <c r="AD37" s="255"/>
      <c r="AE37" s="255"/>
      <c r="AF37" s="255"/>
      <c r="AG37" s="256"/>
      <c r="AH37" s="260"/>
      <c r="AI37" s="261"/>
      <c r="AJ37" s="261"/>
      <c r="AK37" s="261"/>
      <c r="AL37" s="261"/>
      <c r="AM37" s="262"/>
      <c r="AN37" s="75"/>
      <c r="AO37" s="234"/>
      <c r="AP37" s="235"/>
      <c r="AQ37" s="235"/>
      <c r="AR37" s="235"/>
      <c r="AS37" s="235"/>
      <c r="AT37" s="236"/>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199"/>
      <c r="C38" s="199"/>
      <c r="D38" s="200"/>
      <c r="E38" s="237" t="s">
        <v>109</v>
      </c>
      <c r="F38" s="238"/>
      <c r="G38" s="238"/>
      <c r="H38" s="238"/>
      <c r="I38" s="239"/>
      <c r="J38" s="281" t="e">
        <f>IF(AND('Mapa final'!#REF!="Muy Baja",'Mapa final'!#REF!="Leve"),CONCATENATE("R",'Mapa final'!#REF!),"")</f>
        <v>#REF!</v>
      </c>
      <c r="K38" s="282"/>
      <c r="L38" s="282" t="str">
        <f>IF(AND('Mapa final'!$N$9="Muy Baja",'Mapa final'!$R$9="Leve"),CONCATENATE("R",'Mapa final'!$A$9),"")</f>
        <v/>
      </c>
      <c r="M38" s="282"/>
      <c r="N38" s="282" t="e">
        <f>IF(AND('Mapa final'!#REF!="Muy Baja",'Mapa final'!#REF!="Leve"),CONCATENATE("R",'Mapa final'!#REF!),"")</f>
        <v>#REF!</v>
      </c>
      <c r="O38" s="283"/>
      <c r="P38" s="281" t="e">
        <f>IF(AND('Mapa final'!#REF!="Muy Baja",'Mapa final'!#REF!="Menor"),CONCATENATE("R",'Mapa final'!#REF!),"")</f>
        <v>#REF!</v>
      </c>
      <c r="Q38" s="282"/>
      <c r="R38" s="282" t="str">
        <f>IF(AND('Mapa final'!$N$9="Muy Baja",'Mapa final'!$R$9="Menor"),CONCATENATE("R",'Mapa final'!$A$9),"")</f>
        <v/>
      </c>
      <c r="S38" s="282"/>
      <c r="T38" s="282" t="e">
        <f>IF(AND('Mapa final'!#REF!="Muy Baja",'Mapa final'!#REF!="Menor"),CONCATENATE("R",'Mapa final'!#REF!),"")</f>
        <v>#REF!</v>
      </c>
      <c r="U38" s="283"/>
      <c r="V38" s="272" t="e">
        <f>IF(AND('Mapa final'!#REF!="Muy Baja",'Mapa final'!#REF!="Moderado"),CONCATENATE("R",'Mapa final'!#REF!),"")</f>
        <v>#REF!</v>
      </c>
      <c r="W38" s="273"/>
      <c r="X38" s="273" t="str">
        <f>IF(AND('Mapa final'!$N$9="Muy Baja",'Mapa final'!$R$9="Moderado"),CONCATENATE("R",'Mapa final'!$A$9),"")</f>
        <v/>
      </c>
      <c r="Y38" s="273"/>
      <c r="Z38" s="273" t="e">
        <f>IF(AND('Mapa final'!#REF!="Muy Baja",'Mapa final'!#REF!="Moderado"),CONCATENATE("R",'Mapa final'!#REF!),"")</f>
        <v>#REF!</v>
      </c>
      <c r="AA38" s="274"/>
      <c r="AB38" s="248" t="e">
        <f>IF(AND('Mapa final'!#REF!="Muy Baja",'Mapa final'!#REF!="Mayor"),CONCATENATE("R",'Mapa final'!#REF!),"")</f>
        <v>#REF!</v>
      </c>
      <c r="AC38" s="249"/>
      <c r="AD38" s="249" t="str">
        <f>IF(AND('Mapa final'!$N$9="Muy Baja",'Mapa final'!$R$9="Mayor"),CONCATENATE("R",'Mapa final'!$A$9),"")</f>
        <v/>
      </c>
      <c r="AE38" s="249"/>
      <c r="AF38" s="249" t="e">
        <f>IF(AND('Mapa final'!#REF!="Muy Baja",'Mapa final'!#REF!="Mayor"),CONCATENATE("R",'Mapa final'!#REF!),"")</f>
        <v>#REF!</v>
      </c>
      <c r="AG38" s="251"/>
      <c r="AH38" s="263" t="e">
        <f>IF(AND('Mapa final'!#REF!="Muy Baja",'Mapa final'!#REF!="Catastrófico"),CONCATENATE("R",'Mapa final'!#REF!),"")</f>
        <v>#REF!</v>
      </c>
      <c r="AI38" s="264"/>
      <c r="AJ38" s="264" t="str">
        <f>IF(AND('Mapa final'!$N$9="Muy Baja",'Mapa final'!$R$9="Catastrófico"),CONCATENATE("R",'Mapa final'!$A$9),"")</f>
        <v>R1</v>
      </c>
      <c r="AK38" s="264"/>
      <c r="AL38" s="264" t="e">
        <f>IF(AND('Mapa final'!#REF!="Muy Baja",'Mapa final'!#REF!="Catastrófico"),CONCATENATE("R",'Mapa final'!#REF!),"")</f>
        <v>#REF!</v>
      </c>
      <c r="AM38" s="26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199"/>
      <c r="C39" s="199"/>
      <c r="D39" s="200"/>
      <c r="E39" s="240"/>
      <c r="F39" s="241"/>
      <c r="G39" s="241"/>
      <c r="H39" s="241"/>
      <c r="I39" s="242"/>
      <c r="J39" s="277"/>
      <c r="K39" s="275"/>
      <c r="L39" s="275"/>
      <c r="M39" s="275"/>
      <c r="N39" s="275"/>
      <c r="O39" s="276"/>
      <c r="P39" s="277"/>
      <c r="Q39" s="275"/>
      <c r="R39" s="275"/>
      <c r="S39" s="275"/>
      <c r="T39" s="275"/>
      <c r="U39" s="276"/>
      <c r="V39" s="266"/>
      <c r="W39" s="267"/>
      <c r="X39" s="267"/>
      <c r="Y39" s="267"/>
      <c r="Z39" s="267"/>
      <c r="AA39" s="268"/>
      <c r="AB39" s="250"/>
      <c r="AC39" s="246"/>
      <c r="AD39" s="246"/>
      <c r="AE39" s="246"/>
      <c r="AF39" s="246"/>
      <c r="AG39" s="247"/>
      <c r="AH39" s="257"/>
      <c r="AI39" s="258"/>
      <c r="AJ39" s="258"/>
      <c r="AK39" s="258"/>
      <c r="AL39" s="258"/>
      <c r="AM39" s="259"/>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199"/>
      <c r="C40" s="199"/>
      <c r="D40" s="200"/>
      <c r="E40" s="240"/>
      <c r="F40" s="241"/>
      <c r="G40" s="241"/>
      <c r="H40" s="241"/>
      <c r="I40" s="242"/>
      <c r="J40" s="277" t="e">
        <f>IF(AND('Mapa final'!#REF!="Muy Baja",'Mapa final'!#REF!="Leve"),CONCATENATE("R",'Mapa final'!#REF!),"")</f>
        <v>#REF!</v>
      </c>
      <c r="K40" s="275"/>
      <c r="L40" s="275" t="e">
        <f>IF(AND('Mapa final'!#REF!="Muy Baja",'Mapa final'!#REF!="Leve"),CONCATENATE("R",'Mapa final'!#REF!),"")</f>
        <v>#REF!</v>
      </c>
      <c r="M40" s="275"/>
      <c r="N40" s="275" t="e">
        <f>IF(AND('Mapa final'!#REF!="Muy Baja",'Mapa final'!#REF!="Leve"),CONCATENATE("R",'Mapa final'!#REF!),"")</f>
        <v>#REF!</v>
      </c>
      <c r="O40" s="276"/>
      <c r="P40" s="277" t="e">
        <f>IF(AND('Mapa final'!#REF!="Muy Baja",'Mapa final'!#REF!="Menor"),CONCATENATE("R",'Mapa final'!#REF!),"")</f>
        <v>#REF!</v>
      </c>
      <c r="Q40" s="275"/>
      <c r="R40" s="275" t="e">
        <f>IF(AND('Mapa final'!#REF!="Muy Baja",'Mapa final'!#REF!="Menor"),CONCATENATE("R",'Mapa final'!#REF!),"")</f>
        <v>#REF!</v>
      </c>
      <c r="S40" s="275"/>
      <c r="T40" s="275" t="e">
        <f>IF(AND('Mapa final'!#REF!="Muy Baja",'Mapa final'!#REF!="Menor"),CONCATENATE("R",'Mapa final'!#REF!),"")</f>
        <v>#REF!</v>
      </c>
      <c r="U40" s="276"/>
      <c r="V40" s="266" t="e">
        <f>IF(AND('Mapa final'!#REF!="Muy Baja",'Mapa final'!#REF!="Moderado"),CONCATENATE("R",'Mapa final'!#REF!),"")</f>
        <v>#REF!</v>
      </c>
      <c r="W40" s="267"/>
      <c r="X40" s="267" t="e">
        <f>IF(AND('Mapa final'!#REF!="Muy Baja",'Mapa final'!#REF!="Moderado"),CONCATENATE("R",'Mapa final'!#REF!),"")</f>
        <v>#REF!</v>
      </c>
      <c r="Y40" s="267"/>
      <c r="Z40" s="267" t="e">
        <f>IF(AND('Mapa final'!#REF!="Muy Baja",'Mapa final'!#REF!="Moderado"),CONCATENATE("R",'Mapa final'!#REF!),"")</f>
        <v>#REF!</v>
      </c>
      <c r="AA40" s="268"/>
      <c r="AB40" s="250" t="e">
        <f>IF(AND('Mapa final'!#REF!="Muy Baja",'Mapa final'!#REF!="Mayor"),CONCATENATE("R",'Mapa final'!#REF!),"")</f>
        <v>#REF!</v>
      </c>
      <c r="AC40" s="246"/>
      <c r="AD40" s="246" t="e">
        <f>IF(AND('Mapa final'!#REF!="Muy Baja",'Mapa final'!#REF!="Mayor"),CONCATENATE("R",'Mapa final'!#REF!),"")</f>
        <v>#REF!</v>
      </c>
      <c r="AE40" s="246"/>
      <c r="AF40" s="246" t="e">
        <f>IF(AND('Mapa final'!#REF!="Muy Baja",'Mapa final'!#REF!="Mayor"),CONCATENATE("R",'Mapa final'!#REF!),"")</f>
        <v>#REF!</v>
      </c>
      <c r="AG40" s="247"/>
      <c r="AH40" s="257" t="e">
        <f>IF(AND('Mapa final'!#REF!="Muy Baja",'Mapa final'!#REF!="Catastrófico"),CONCATENATE("R",'Mapa final'!#REF!),"")</f>
        <v>#REF!</v>
      </c>
      <c r="AI40" s="258"/>
      <c r="AJ40" s="258" t="e">
        <f>IF(AND('Mapa final'!#REF!="Muy Baja",'Mapa final'!#REF!="Catastrófico"),CONCATENATE("R",'Mapa final'!#REF!),"")</f>
        <v>#REF!</v>
      </c>
      <c r="AK40" s="258"/>
      <c r="AL40" s="258" t="e">
        <f>IF(AND('Mapa final'!#REF!="Muy Baja",'Mapa final'!#REF!="Catastrófico"),CONCATENATE("R",'Mapa final'!#REF!),"")</f>
        <v>#REF!</v>
      </c>
      <c r="AM40" s="259"/>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199"/>
      <c r="C41" s="199"/>
      <c r="D41" s="200"/>
      <c r="E41" s="240"/>
      <c r="F41" s="241"/>
      <c r="G41" s="241"/>
      <c r="H41" s="241"/>
      <c r="I41" s="242"/>
      <c r="J41" s="277"/>
      <c r="K41" s="275"/>
      <c r="L41" s="275"/>
      <c r="M41" s="275"/>
      <c r="N41" s="275"/>
      <c r="O41" s="276"/>
      <c r="P41" s="277"/>
      <c r="Q41" s="275"/>
      <c r="R41" s="275"/>
      <c r="S41" s="275"/>
      <c r="T41" s="275"/>
      <c r="U41" s="276"/>
      <c r="V41" s="266"/>
      <c r="W41" s="267"/>
      <c r="X41" s="267"/>
      <c r="Y41" s="267"/>
      <c r="Z41" s="267"/>
      <c r="AA41" s="268"/>
      <c r="AB41" s="250"/>
      <c r="AC41" s="246"/>
      <c r="AD41" s="246"/>
      <c r="AE41" s="246"/>
      <c r="AF41" s="246"/>
      <c r="AG41" s="247"/>
      <c r="AH41" s="257"/>
      <c r="AI41" s="258"/>
      <c r="AJ41" s="258"/>
      <c r="AK41" s="258"/>
      <c r="AL41" s="258"/>
      <c r="AM41" s="259"/>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199"/>
      <c r="C42" s="199"/>
      <c r="D42" s="200"/>
      <c r="E42" s="240"/>
      <c r="F42" s="241"/>
      <c r="G42" s="241"/>
      <c r="H42" s="241"/>
      <c r="I42" s="242"/>
      <c r="J42" s="277" t="e">
        <f>IF(AND('Mapa final'!#REF!="Muy Baja",'Mapa final'!#REF!="Leve"),CONCATENATE("R",'Mapa final'!#REF!),"")</f>
        <v>#REF!</v>
      </c>
      <c r="K42" s="275"/>
      <c r="L42" s="275" t="e">
        <f>IF(AND('Mapa final'!#REF!="Muy Baja",'Mapa final'!#REF!="Leve"),CONCATENATE("R",'Mapa final'!#REF!),"")</f>
        <v>#REF!</v>
      </c>
      <c r="M42" s="275"/>
      <c r="N42" s="275" t="e">
        <f>IF(AND('Mapa final'!#REF!="Muy Baja",'Mapa final'!#REF!="Leve"),CONCATENATE("R",'Mapa final'!#REF!),"")</f>
        <v>#REF!</v>
      </c>
      <c r="O42" s="276"/>
      <c r="P42" s="277" t="e">
        <f>IF(AND('Mapa final'!#REF!="Muy Baja",'Mapa final'!#REF!="Menor"),CONCATENATE("R",'Mapa final'!#REF!),"")</f>
        <v>#REF!</v>
      </c>
      <c r="Q42" s="275"/>
      <c r="R42" s="275" t="e">
        <f>IF(AND('Mapa final'!#REF!="Muy Baja",'Mapa final'!#REF!="Menor"),CONCATENATE("R",'Mapa final'!#REF!),"")</f>
        <v>#REF!</v>
      </c>
      <c r="S42" s="275"/>
      <c r="T42" s="275" t="e">
        <f>IF(AND('Mapa final'!#REF!="Muy Baja",'Mapa final'!#REF!="Menor"),CONCATENATE("R",'Mapa final'!#REF!),"")</f>
        <v>#REF!</v>
      </c>
      <c r="U42" s="276"/>
      <c r="V42" s="266" t="e">
        <f>IF(AND('Mapa final'!#REF!="Muy Baja",'Mapa final'!#REF!="Moderado"),CONCATENATE("R",'Mapa final'!#REF!),"")</f>
        <v>#REF!</v>
      </c>
      <c r="W42" s="267"/>
      <c r="X42" s="267" t="e">
        <f>IF(AND('Mapa final'!#REF!="Muy Baja",'Mapa final'!#REF!="Moderado"),CONCATENATE("R",'Mapa final'!#REF!),"")</f>
        <v>#REF!</v>
      </c>
      <c r="Y42" s="267"/>
      <c r="Z42" s="267" t="e">
        <f>IF(AND('Mapa final'!#REF!="Muy Baja",'Mapa final'!#REF!="Moderado"),CONCATENATE("R",'Mapa final'!#REF!),"")</f>
        <v>#REF!</v>
      </c>
      <c r="AA42" s="268"/>
      <c r="AB42" s="250" t="e">
        <f>IF(AND('Mapa final'!#REF!="Muy Baja",'Mapa final'!#REF!="Mayor"),CONCATENATE("R",'Mapa final'!#REF!),"")</f>
        <v>#REF!</v>
      </c>
      <c r="AC42" s="246"/>
      <c r="AD42" s="246" t="e">
        <f>IF(AND('Mapa final'!#REF!="Muy Baja",'Mapa final'!#REF!="Mayor"),CONCATENATE("R",'Mapa final'!#REF!),"")</f>
        <v>#REF!</v>
      </c>
      <c r="AE42" s="246"/>
      <c r="AF42" s="246" t="e">
        <f>IF(AND('Mapa final'!#REF!="Muy Baja",'Mapa final'!#REF!="Mayor"),CONCATENATE("R",'Mapa final'!#REF!),"")</f>
        <v>#REF!</v>
      </c>
      <c r="AG42" s="247"/>
      <c r="AH42" s="257" t="e">
        <f>IF(AND('Mapa final'!#REF!="Muy Baja",'Mapa final'!#REF!="Catastrófico"),CONCATENATE("R",'Mapa final'!#REF!),"")</f>
        <v>#REF!</v>
      </c>
      <c r="AI42" s="258"/>
      <c r="AJ42" s="258" t="e">
        <f>IF(AND('Mapa final'!#REF!="Muy Baja",'Mapa final'!#REF!="Catastrófico"),CONCATENATE("R",'Mapa final'!#REF!),"")</f>
        <v>#REF!</v>
      </c>
      <c r="AK42" s="258"/>
      <c r="AL42" s="258" t="e">
        <f>IF(AND('Mapa final'!#REF!="Muy Baja",'Mapa final'!#REF!="Catastrófico"),CONCATENATE("R",'Mapa final'!#REF!),"")</f>
        <v>#REF!</v>
      </c>
      <c r="AM42" s="259"/>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199"/>
      <c r="C43" s="199"/>
      <c r="D43" s="200"/>
      <c r="E43" s="240"/>
      <c r="F43" s="241"/>
      <c r="G43" s="241"/>
      <c r="H43" s="241"/>
      <c r="I43" s="242"/>
      <c r="J43" s="277"/>
      <c r="K43" s="275"/>
      <c r="L43" s="275"/>
      <c r="M43" s="275"/>
      <c r="N43" s="275"/>
      <c r="O43" s="276"/>
      <c r="P43" s="277"/>
      <c r="Q43" s="275"/>
      <c r="R43" s="275"/>
      <c r="S43" s="275"/>
      <c r="T43" s="275"/>
      <c r="U43" s="276"/>
      <c r="V43" s="266"/>
      <c r="W43" s="267"/>
      <c r="X43" s="267"/>
      <c r="Y43" s="267"/>
      <c r="Z43" s="267"/>
      <c r="AA43" s="268"/>
      <c r="AB43" s="250"/>
      <c r="AC43" s="246"/>
      <c r="AD43" s="246"/>
      <c r="AE43" s="246"/>
      <c r="AF43" s="246"/>
      <c r="AG43" s="247"/>
      <c r="AH43" s="257"/>
      <c r="AI43" s="258"/>
      <c r="AJ43" s="258"/>
      <c r="AK43" s="258"/>
      <c r="AL43" s="258"/>
      <c r="AM43" s="259"/>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199"/>
      <c r="C44" s="199"/>
      <c r="D44" s="200"/>
      <c r="E44" s="240"/>
      <c r="F44" s="241"/>
      <c r="G44" s="241"/>
      <c r="H44" s="241"/>
      <c r="I44" s="242"/>
      <c r="J44" s="277" t="e">
        <f>IF(AND('Mapa final'!#REF!="Muy Baja",'Mapa final'!#REF!="Leve"),CONCATENATE("R",'Mapa final'!#REF!),"")</f>
        <v>#REF!</v>
      </c>
      <c r="K44" s="275"/>
      <c r="L44" s="275" t="str">
        <f>IF(AND('Mapa final'!$N$24="Muy Baja",'Mapa final'!$R$24="Leve"),CONCATENATE("R",'Mapa final'!$A$24),"")</f>
        <v/>
      </c>
      <c r="M44" s="275"/>
      <c r="N44" s="275" t="e">
        <f>IF(AND('Mapa final'!#REF!="Muy Baja",'Mapa final'!#REF!="Leve"),CONCATENATE("R",'Mapa final'!#REF!),"")</f>
        <v>#REF!</v>
      </c>
      <c r="O44" s="276"/>
      <c r="P44" s="277" t="e">
        <f>IF(AND('Mapa final'!#REF!="Muy Baja",'Mapa final'!#REF!="Menor"),CONCATENATE("R",'Mapa final'!#REF!),"")</f>
        <v>#REF!</v>
      </c>
      <c r="Q44" s="275"/>
      <c r="R44" s="275" t="str">
        <f>IF(AND('Mapa final'!$N$24="Muy Baja",'Mapa final'!$R$24="Menor"),CONCATENATE("R",'Mapa final'!$A$24),"")</f>
        <v/>
      </c>
      <c r="S44" s="275"/>
      <c r="T44" s="275" t="e">
        <f>IF(AND('Mapa final'!#REF!="Muy Baja",'Mapa final'!#REF!="Menor"),CONCATENATE("R",'Mapa final'!#REF!),"")</f>
        <v>#REF!</v>
      </c>
      <c r="U44" s="276"/>
      <c r="V44" s="266" t="e">
        <f>IF(AND('Mapa final'!#REF!="Muy Baja",'Mapa final'!#REF!="Moderado"),CONCATENATE("R",'Mapa final'!#REF!),"")</f>
        <v>#REF!</v>
      </c>
      <c r="W44" s="267"/>
      <c r="X44" s="267" t="str">
        <f>IF(AND('Mapa final'!$N$24="Muy Baja",'Mapa final'!$R$24="Moderado"),CONCATENATE("R",'Mapa final'!$A$24),"")</f>
        <v/>
      </c>
      <c r="Y44" s="267"/>
      <c r="Z44" s="267" t="e">
        <f>IF(AND('Mapa final'!#REF!="Muy Baja",'Mapa final'!#REF!="Moderado"),CONCATENATE("R",'Mapa final'!#REF!),"")</f>
        <v>#REF!</v>
      </c>
      <c r="AA44" s="268"/>
      <c r="AB44" s="250" t="e">
        <f>IF(AND('Mapa final'!#REF!="Muy Baja",'Mapa final'!#REF!="Mayor"),CONCATENATE("R",'Mapa final'!#REF!),"")</f>
        <v>#REF!</v>
      </c>
      <c r="AC44" s="246"/>
      <c r="AD44" s="246" t="str">
        <f>IF(AND('Mapa final'!$N$24="Muy Baja",'Mapa final'!$R$24="Mayor"),CONCATENATE("R",'Mapa final'!$A$24),"")</f>
        <v/>
      </c>
      <c r="AE44" s="246"/>
      <c r="AF44" s="246" t="e">
        <f>IF(AND('Mapa final'!#REF!="Muy Baja",'Mapa final'!#REF!="Mayor"),CONCATENATE("R",'Mapa final'!#REF!),"")</f>
        <v>#REF!</v>
      </c>
      <c r="AG44" s="247"/>
      <c r="AH44" s="257" t="e">
        <f>IF(AND('Mapa final'!#REF!="Muy Baja",'Mapa final'!#REF!="Catastrófico"),CONCATENATE("R",'Mapa final'!#REF!),"")</f>
        <v>#REF!</v>
      </c>
      <c r="AI44" s="258"/>
      <c r="AJ44" s="258" t="str">
        <f>IF(AND('Mapa final'!$N$24="Muy Baja",'Mapa final'!$R$24="Catastrófico"),CONCATENATE("R",'Mapa final'!$A$24),"")</f>
        <v/>
      </c>
      <c r="AK44" s="258"/>
      <c r="AL44" s="258" t="e">
        <f>IF(AND('Mapa final'!#REF!="Muy Baja",'Mapa final'!#REF!="Catastrófico"),CONCATENATE("R",'Mapa final'!#REF!),"")</f>
        <v>#REF!</v>
      </c>
      <c r="AM44" s="259"/>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199"/>
      <c r="C45" s="199"/>
      <c r="D45" s="200"/>
      <c r="E45" s="243"/>
      <c r="F45" s="244"/>
      <c r="G45" s="244"/>
      <c r="H45" s="244"/>
      <c r="I45" s="245"/>
      <c r="J45" s="278"/>
      <c r="K45" s="279"/>
      <c r="L45" s="279"/>
      <c r="M45" s="279"/>
      <c r="N45" s="279"/>
      <c r="O45" s="280"/>
      <c r="P45" s="278"/>
      <c r="Q45" s="279"/>
      <c r="R45" s="279"/>
      <c r="S45" s="279"/>
      <c r="T45" s="279"/>
      <c r="U45" s="280"/>
      <c r="V45" s="269"/>
      <c r="W45" s="270"/>
      <c r="X45" s="270"/>
      <c r="Y45" s="270"/>
      <c r="Z45" s="270"/>
      <c r="AA45" s="271"/>
      <c r="AB45" s="254"/>
      <c r="AC45" s="255"/>
      <c r="AD45" s="255"/>
      <c r="AE45" s="255"/>
      <c r="AF45" s="255"/>
      <c r="AG45" s="256"/>
      <c r="AH45" s="260"/>
      <c r="AI45" s="261"/>
      <c r="AJ45" s="261"/>
      <c r="AK45" s="261"/>
      <c r="AL45" s="261"/>
      <c r="AM45" s="262"/>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37" t="s">
        <v>108</v>
      </c>
      <c r="K46" s="238"/>
      <c r="L46" s="238"/>
      <c r="M46" s="238"/>
      <c r="N46" s="238"/>
      <c r="O46" s="239"/>
      <c r="P46" s="237" t="s">
        <v>107</v>
      </c>
      <c r="Q46" s="238"/>
      <c r="R46" s="238"/>
      <c r="S46" s="238"/>
      <c r="T46" s="238"/>
      <c r="U46" s="239"/>
      <c r="V46" s="237" t="s">
        <v>106</v>
      </c>
      <c r="W46" s="238"/>
      <c r="X46" s="238"/>
      <c r="Y46" s="238"/>
      <c r="Z46" s="238"/>
      <c r="AA46" s="239"/>
      <c r="AB46" s="237" t="s">
        <v>105</v>
      </c>
      <c r="AC46" s="253"/>
      <c r="AD46" s="238"/>
      <c r="AE46" s="238"/>
      <c r="AF46" s="238"/>
      <c r="AG46" s="239"/>
      <c r="AH46" s="237" t="s">
        <v>104</v>
      </c>
      <c r="AI46" s="238"/>
      <c r="AJ46" s="238"/>
      <c r="AK46" s="238"/>
      <c r="AL46" s="238"/>
      <c r="AM46" s="239"/>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40"/>
      <c r="K47" s="241"/>
      <c r="L47" s="241"/>
      <c r="M47" s="241"/>
      <c r="N47" s="241"/>
      <c r="O47" s="242"/>
      <c r="P47" s="240"/>
      <c r="Q47" s="241"/>
      <c r="R47" s="241"/>
      <c r="S47" s="241"/>
      <c r="T47" s="241"/>
      <c r="U47" s="242"/>
      <c r="V47" s="240"/>
      <c r="W47" s="241"/>
      <c r="X47" s="241"/>
      <c r="Y47" s="241"/>
      <c r="Z47" s="241"/>
      <c r="AA47" s="242"/>
      <c r="AB47" s="240"/>
      <c r="AC47" s="241"/>
      <c r="AD47" s="241"/>
      <c r="AE47" s="241"/>
      <c r="AF47" s="241"/>
      <c r="AG47" s="242"/>
      <c r="AH47" s="240"/>
      <c r="AI47" s="241"/>
      <c r="AJ47" s="241"/>
      <c r="AK47" s="241"/>
      <c r="AL47" s="241"/>
      <c r="AM47" s="242"/>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40"/>
      <c r="K48" s="241"/>
      <c r="L48" s="241"/>
      <c r="M48" s="241"/>
      <c r="N48" s="241"/>
      <c r="O48" s="242"/>
      <c r="P48" s="240"/>
      <c r="Q48" s="241"/>
      <c r="R48" s="241"/>
      <c r="S48" s="241"/>
      <c r="T48" s="241"/>
      <c r="U48" s="242"/>
      <c r="V48" s="240"/>
      <c r="W48" s="241"/>
      <c r="X48" s="241"/>
      <c r="Y48" s="241"/>
      <c r="Z48" s="241"/>
      <c r="AA48" s="242"/>
      <c r="AB48" s="240"/>
      <c r="AC48" s="241"/>
      <c r="AD48" s="241"/>
      <c r="AE48" s="241"/>
      <c r="AF48" s="241"/>
      <c r="AG48" s="242"/>
      <c r="AH48" s="240"/>
      <c r="AI48" s="241"/>
      <c r="AJ48" s="241"/>
      <c r="AK48" s="241"/>
      <c r="AL48" s="241"/>
      <c r="AM48" s="242"/>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40"/>
      <c r="K49" s="241"/>
      <c r="L49" s="241"/>
      <c r="M49" s="241"/>
      <c r="N49" s="241"/>
      <c r="O49" s="242"/>
      <c r="P49" s="240"/>
      <c r="Q49" s="241"/>
      <c r="R49" s="241"/>
      <c r="S49" s="241"/>
      <c r="T49" s="241"/>
      <c r="U49" s="242"/>
      <c r="V49" s="240"/>
      <c r="W49" s="241"/>
      <c r="X49" s="241"/>
      <c r="Y49" s="241"/>
      <c r="Z49" s="241"/>
      <c r="AA49" s="242"/>
      <c r="AB49" s="240"/>
      <c r="AC49" s="241"/>
      <c r="AD49" s="241"/>
      <c r="AE49" s="241"/>
      <c r="AF49" s="241"/>
      <c r="AG49" s="242"/>
      <c r="AH49" s="240"/>
      <c r="AI49" s="241"/>
      <c r="AJ49" s="241"/>
      <c r="AK49" s="241"/>
      <c r="AL49" s="241"/>
      <c r="AM49" s="242"/>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40"/>
      <c r="K50" s="241"/>
      <c r="L50" s="241"/>
      <c r="M50" s="241"/>
      <c r="N50" s="241"/>
      <c r="O50" s="242"/>
      <c r="P50" s="240"/>
      <c r="Q50" s="241"/>
      <c r="R50" s="241"/>
      <c r="S50" s="241"/>
      <c r="T50" s="241"/>
      <c r="U50" s="242"/>
      <c r="V50" s="240"/>
      <c r="W50" s="241"/>
      <c r="X50" s="241"/>
      <c r="Y50" s="241"/>
      <c r="Z50" s="241"/>
      <c r="AA50" s="242"/>
      <c r="AB50" s="240"/>
      <c r="AC50" s="241"/>
      <c r="AD50" s="241"/>
      <c r="AE50" s="241"/>
      <c r="AF50" s="241"/>
      <c r="AG50" s="242"/>
      <c r="AH50" s="240"/>
      <c r="AI50" s="241"/>
      <c r="AJ50" s="241"/>
      <c r="AK50" s="241"/>
      <c r="AL50" s="241"/>
      <c r="AM50" s="242"/>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43"/>
      <c r="K51" s="244"/>
      <c r="L51" s="244"/>
      <c r="M51" s="244"/>
      <c r="N51" s="244"/>
      <c r="O51" s="245"/>
      <c r="P51" s="243"/>
      <c r="Q51" s="244"/>
      <c r="R51" s="244"/>
      <c r="S51" s="244"/>
      <c r="T51" s="244"/>
      <c r="U51" s="245"/>
      <c r="V51" s="243"/>
      <c r="W51" s="244"/>
      <c r="X51" s="244"/>
      <c r="Y51" s="244"/>
      <c r="Z51" s="244"/>
      <c r="AA51" s="245"/>
      <c r="AB51" s="243"/>
      <c r="AC51" s="244"/>
      <c r="AD51" s="244"/>
      <c r="AE51" s="244"/>
      <c r="AF51" s="244"/>
      <c r="AG51" s="245"/>
      <c r="AH51" s="243"/>
      <c r="AI51" s="244"/>
      <c r="AJ51" s="244"/>
      <c r="AK51" s="244"/>
      <c r="AL51" s="244"/>
      <c r="AM51" s="24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10" t="s">
        <v>153</v>
      </c>
      <c r="C2" s="311"/>
      <c r="D2" s="311"/>
      <c r="E2" s="311"/>
      <c r="F2" s="311"/>
      <c r="G2" s="311"/>
      <c r="H2" s="311"/>
      <c r="I2" s="311"/>
      <c r="J2" s="252" t="s">
        <v>2</v>
      </c>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11"/>
      <c r="C3" s="311"/>
      <c r="D3" s="311"/>
      <c r="E3" s="311"/>
      <c r="F3" s="311"/>
      <c r="G3" s="311"/>
      <c r="H3" s="311"/>
      <c r="I3" s="311"/>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11"/>
      <c r="C4" s="311"/>
      <c r="D4" s="311"/>
      <c r="E4" s="311"/>
      <c r="F4" s="311"/>
      <c r="G4" s="311"/>
      <c r="H4" s="311"/>
      <c r="I4" s="311"/>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199" t="s">
        <v>4</v>
      </c>
      <c r="C6" s="199"/>
      <c r="D6" s="200"/>
      <c r="E6" s="294" t="s">
        <v>112</v>
      </c>
      <c r="F6" s="295"/>
      <c r="G6" s="295"/>
      <c r="H6" s="295"/>
      <c r="I6" s="312"/>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01" t="s">
        <v>75</v>
      </c>
      <c r="AP6" s="302"/>
      <c r="AQ6" s="302"/>
      <c r="AR6" s="302"/>
      <c r="AS6" s="302"/>
      <c r="AT6" s="303"/>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199"/>
      <c r="C7" s="199"/>
      <c r="D7" s="200"/>
      <c r="E7" s="298"/>
      <c r="F7" s="297"/>
      <c r="G7" s="297"/>
      <c r="H7" s="297"/>
      <c r="I7" s="313"/>
      <c r="J7" s="44" t="str">
        <f>IF(AND('Mapa final'!$AF$9="Muy Alta",'Mapa final'!$AH$9="Leve"),CONCATENATE("R2C",'Mapa final'!$U$9),"")</f>
        <v/>
      </c>
      <c r="K7" s="45" t="str">
        <f ca="1">IF(AND('Mapa final'!$AF$10="Muy Alta",'Mapa final'!$AH$10="Leve"),CONCATENATE("R2C",'Mapa final'!$U$10),"")</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final'!$AF$9="Muy Alta",'Mapa final'!$AH$9="Menor"),CONCATENATE("R2C",'Mapa final'!$U$9),"")</f>
        <v/>
      </c>
      <c r="Q7" s="45" t="str">
        <f ca="1">IF(AND('Mapa final'!$AF$10="Muy Alta",'Mapa final'!$AH$10="Menor"),CONCATENATE("R2C",'Mapa final'!$U$10),"")</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final'!$AF$9="Muy Alta",'Mapa final'!$AH$9="Moderado"),CONCATENATE("R2C",'Mapa final'!$U$9),"")</f>
        <v/>
      </c>
      <c r="W7" s="45" t="str">
        <f ca="1">IF(AND('Mapa final'!$AF$10="Muy Alta",'Mapa final'!$AH$10="Moderado"),CONCATENATE("R2C",'Mapa final'!$U$10),"")</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final'!$AF$9="Muy Alta",'Mapa final'!$AH$9="Mayor"),CONCATENATE("R2C",'Mapa final'!$U$9),"")</f>
        <v/>
      </c>
      <c r="AC7" s="45" t="str">
        <f ca="1">IF(AND('Mapa final'!$AF$10="Muy Alta",'Mapa final'!$AH$10="Mayor"),CONCATENATE("R2C",'Mapa final'!$U$10),"")</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final'!$AF$9="Muy Alta",'Mapa final'!$AH$9="Catastrófico"),CONCATENATE("R2C",'Mapa final'!$U$9),"")</f>
        <v/>
      </c>
      <c r="AI7" s="48" t="str">
        <f ca="1">IF(AND('Mapa final'!$AF$10="Muy Alta",'Mapa final'!$AH$10="Catastrófico"),CONCATENATE("R2C",'Mapa final'!$U$10),"")</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04"/>
      <c r="AP7" s="305"/>
      <c r="AQ7" s="305"/>
      <c r="AR7" s="305"/>
      <c r="AS7" s="305"/>
      <c r="AT7" s="306"/>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199"/>
      <c r="C8" s="199"/>
      <c r="D8" s="200"/>
      <c r="E8" s="298"/>
      <c r="F8" s="297"/>
      <c r="G8" s="297"/>
      <c r="H8" s="297"/>
      <c r="I8" s="313"/>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04"/>
      <c r="AP8" s="305"/>
      <c r="AQ8" s="305"/>
      <c r="AR8" s="305"/>
      <c r="AS8" s="305"/>
      <c r="AT8" s="306"/>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199"/>
      <c r="C9" s="199"/>
      <c r="D9" s="200"/>
      <c r="E9" s="298"/>
      <c r="F9" s="297"/>
      <c r="G9" s="297"/>
      <c r="H9" s="297"/>
      <c r="I9" s="313"/>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04"/>
      <c r="AP9" s="305"/>
      <c r="AQ9" s="305"/>
      <c r="AR9" s="305"/>
      <c r="AS9" s="305"/>
      <c r="AT9" s="306"/>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199"/>
      <c r="C10" s="199"/>
      <c r="D10" s="200"/>
      <c r="E10" s="298"/>
      <c r="F10" s="297"/>
      <c r="G10" s="297"/>
      <c r="H10" s="297"/>
      <c r="I10" s="313"/>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04"/>
      <c r="AP10" s="305"/>
      <c r="AQ10" s="305"/>
      <c r="AR10" s="305"/>
      <c r="AS10" s="305"/>
      <c r="AT10" s="306"/>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199"/>
      <c r="C11" s="199"/>
      <c r="D11" s="200"/>
      <c r="E11" s="298"/>
      <c r="F11" s="297"/>
      <c r="G11" s="297"/>
      <c r="H11" s="297"/>
      <c r="I11" s="313"/>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04"/>
      <c r="AP11" s="305"/>
      <c r="AQ11" s="305"/>
      <c r="AR11" s="305"/>
      <c r="AS11" s="305"/>
      <c r="AT11" s="306"/>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199"/>
      <c r="C12" s="199"/>
      <c r="D12" s="200"/>
      <c r="E12" s="298"/>
      <c r="F12" s="297"/>
      <c r="G12" s="297"/>
      <c r="H12" s="297"/>
      <c r="I12" s="313"/>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04"/>
      <c r="AP12" s="305"/>
      <c r="AQ12" s="305"/>
      <c r="AR12" s="305"/>
      <c r="AS12" s="305"/>
      <c r="AT12" s="306"/>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199"/>
      <c r="C13" s="199"/>
      <c r="D13" s="200"/>
      <c r="E13" s="298"/>
      <c r="F13" s="297"/>
      <c r="G13" s="297"/>
      <c r="H13" s="297"/>
      <c r="I13" s="313"/>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04"/>
      <c r="AP13" s="305"/>
      <c r="AQ13" s="305"/>
      <c r="AR13" s="305"/>
      <c r="AS13" s="305"/>
      <c r="AT13" s="306"/>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199"/>
      <c r="C14" s="199"/>
      <c r="D14" s="200"/>
      <c r="E14" s="298"/>
      <c r="F14" s="297"/>
      <c r="G14" s="297"/>
      <c r="H14" s="297"/>
      <c r="I14" s="313"/>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04"/>
      <c r="AP14" s="305"/>
      <c r="AQ14" s="305"/>
      <c r="AR14" s="305"/>
      <c r="AS14" s="305"/>
      <c r="AT14" s="306"/>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199"/>
      <c r="C15" s="199"/>
      <c r="D15" s="200"/>
      <c r="E15" s="299"/>
      <c r="F15" s="300"/>
      <c r="G15" s="300"/>
      <c r="H15" s="300"/>
      <c r="I15" s="314"/>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07"/>
      <c r="AP15" s="308"/>
      <c r="AQ15" s="308"/>
      <c r="AR15" s="308"/>
      <c r="AS15" s="308"/>
      <c r="AT15" s="309"/>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199"/>
      <c r="C16" s="199"/>
      <c r="D16" s="200"/>
      <c r="E16" s="294" t="s">
        <v>111</v>
      </c>
      <c r="F16" s="295"/>
      <c r="G16" s="295"/>
      <c r="H16" s="295"/>
      <c r="I16" s="295"/>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285" t="s">
        <v>76</v>
      </c>
      <c r="AP16" s="286"/>
      <c r="AQ16" s="286"/>
      <c r="AR16" s="286"/>
      <c r="AS16" s="286"/>
      <c r="AT16" s="287"/>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199"/>
      <c r="C17" s="199"/>
      <c r="D17" s="200"/>
      <c r="E17" s="296"/>
      <c r="F17" s="297"/>
      <c r="G17" s="297"/>
      <c r="H17" s="297"/>
      <c r="I17" s="297"/>
      <c r="J17" s="59" t="str">
        <f>IF(AND('Mapa final'!$AF$9="Alta",'Mapa final'!$AH$9="Leve"),CONCATENATE("R2C",'Mapa final'!$U$9),"")</f>
        <v/>
      </c>
      <c r="K17" s="60" t="str">
        <f ca="1">IF(AND('Mapa final'!$AF$10="Alta",'Mapa final'!$AH$10="Leve"),CONCATENATE("R2C",'Mapa final'!$U$10),"")</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final'!$AF$9="Alta",'Mapa final'!$AH$9="Menor"),CONCATENATE("R2C",'Mapa final'!$U$9),"")</f>
        <v/>
      </c>
      <c r="Q17" s="60" t="str">
        <f ca="1">IF(AND('Mapa final'!$AF$10="Alta",'Mapa final'!$AH$10="Menor"),CONCATENATE("R2C",'Mapa final'!$U$10),"")</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final'!$AF$9="Alta",'Mapa final'!$AH$9="Moderado"),CONCATENATE("R2C",'Mapa final'!$U$9),"")</f>
        <v/>
      </c>
      <c r="W17" s="45" t="str">
        <f ca="1">IF(AND('Mapa final'!$AF$10="Alta",'Mapa final'!$AH$10="Moderado"),CONCATENATE("R2C",'Mapa final'!$U$10),"")</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final'!$AF$9="Alta",'Mapa final'!$AH$9="Mayor"),CONCATENATE("R2C",'Mapa final'!$U$9),"")</f>
        <v/>
      </c>
      <c r="AC17" s="45" t="str">
        <f ca="1">IF(AND('Mapa final'!$AF$10="Alta",'Mapa final'!$AH$10="Mayor"),CONCATENATE("R2C",'Mapa final'!$U$10),"")</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final'!$AF$9="Alta",'Mapa final'!$AH$9="Catastrófico"),CONCATENATE("R2C",'Mapa final'!$U$9),"")</f>
        <v/>
      </c>
      <c r="AI17" s="48" t="str">
        <f ca="1">IF(AND('Mapa final'!$AF$10="Alta",'Mapa final'!$AH$10="Catastrófico"),CONCATENATE("R2C",'Mapa final'!$U$10),"")</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288"/>
      <c r="AP17" s="289"/>
      <c r="AQ17" s="289"/>
      <c r="AR17" s="289"/>
      <c r="AS17" s="289"/>
      <c r="AT17" s="290"/>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199"/>
      <c r="C18" s="199"/>
      <c r="D18" s="200"/>
      <c r="E18" s="298"/>
      <c r="F18" s="297"/>
      <c r="G18" s="297"/>
      <c r="H18" s="297"/>
      <c r="I18" s="297"/>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288"/>
      <c r="AP18" s="289"/>
      <c r="AQ18" s="289"/>
      <c r="AR18" s="289"/>
      <c r="AS18" s="289"/>
      <c r="AT18" s="290"/>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199"/>
      <c r="C19" s="199"/>
      <c r="D19" s="200"/>
      <c r="E19" s="298"/>
      <c r="F19" s="297"/>
      <c r="G19" s="297"/>
      <c r="H19" s="297"/>
      <c r="I19" s="297"/>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288"/>
      <c r="AP19" s="289"/>
      <c r="AQ19" s="289"/>
      <c r="AR19" s="289"/>
      <c r="AS19" s="289"/>
      <c r="AT19" s="290"/>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199"/>
      <c r="C20" s="199"/>
      <c r="D20" s="200"/>
      <c r="E20" s="298"/>
      <c r="F20" s="297"/>
      <c r="G20" s="297"/>
      <c r="H20" s="297"/>
      <c r="I20" s="297"/>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288"/>
      <c r="AP20" s="289"/>
      <c r="AQ20" s="289"/>
      <c r="AR20" s="289"/>
      <c r="AS20" s="289"/>
      <c r="AT20" s="290"/>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199"/>
      <c r="C21" s="199"/>
      <c r="D21" s="200"/>
      <c r="E21" s="298"/>
      <c r="F21" s="297"/>
      <c r="G21" s="297"/>
      <c r="H21" s="297"/>
      <c r="I21" s="297"/>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288"/>
      <c r="AP21" s="289"/>
      <c r="AQ21" s="289"/>
      <c r="AR21" s="289"/>
      <c r="AS21" s="289"/>
      <c r="AT21" s="290"/>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199"/>
      <c r="C22" s="199"/>
      <c r="D22" s="200"/>
      <c r="E22" s="298"/>
      <c r="F22" s="297"/>
      <c r="G22" s="297"/>
      <c r="H22" s="297"/>
      <c r="I22" s="297"/>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288"/>
      <c r="AP22" s="289"/>
      <c r="AQ22" s="289"/>
      <c r="AR22" s="289"/>
      <c r="AS22" s="289"/>
      <c r="AT22" s="290"/>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199"/>
      <c r="C23" s="199"/>
      <c r="D23" s="200"/>
      <c r="E23" s="298"/>
      <c r="F23" s="297"/>
      <c r="G23" s="297"/>
      <c r="H23" s="297"/>
      <c r="I23" s="297"/>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288"/>
      <c r="AP23" s="289"/>
      <c r="AQ23" s="289"/>
      <c r="AR23" s="289"/>
      <c r="AS23" s="289"/>
      <c r="AT23" s="290"/>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199"/>
      <c r="C24" s="199"/>
      <c r="D24" s="200"/>
      <c r="E24" s="298"/>
      <c r="F24" s="297"/>
      <c r="G24" s="297"/>
      <c r="H24" s="297"/>
      <c r="I24" s="297"/>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288"/>
      <c r="AP24" s="289"/>
      <c r="AQ24" s="289"/>
      <c r="AR24" s="289"/>
      <c r="AS24" s="289"/>
      <c r="AT24" s="290"/>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199"/>
      <c r="C25" s="199"/>
      <c r="D25" s="200"/>
      <c r="E25" s="299"/>
      <c r="F25" s="300"/>
      <c r="G25" s="300"/>
      <c r="H25" s="300"/>
      <c r="I25" s="300"/>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291"/>
      <c r="AP25" s="292"/>
      <c r="AQ25" s="292"/>
      <c r="AR25" s="292"/>
      <c r="AS25" s="292"/>
      <c r="AT25" s="293"/>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199"/>
      <c r="C26" s="199"/>
      <c r="D26" s="200"/>
      <c r="E26" s="294" t="s">
        <v>113</v>
      </c>
      <c r="F26" s="295"/>
      <c r="G26" s="295"/>
      <c r="H26" s="295"/>
      <c r="I26" s="312"/>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24" t="s">
        <v>77</v>
      </c>
      <c r="AP26" s="325"/>
      <c r="AQ26" s="325"/>
      <c r="AR26" s="325"/>
      <c r="AS26" s="325"/>
      <c r="AT26" s="326"/>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199"/>
      <c r="C27" s="199"/>
      <c r="D27" s="200"/>
      <c r="E27" s="296"/>
      <c r="F27" s="297"/>
      <c r="G27" s="297"/>
      <c r="H27" s="297"/>
      <c r="I27" s="313"/>
      <c r="J27" s="59" t="str">
        <f>IF(AND('Mapa final'!$AF$9="Media",'Mapa final'!$AH$9="Leve"),CONCATENATE("R2C",'Mapa final'!$U$9),"")</f>
        <v/>
      </c>
      <c r="K27" s="60" t="str">
        <f ca="1">IF(AND('Mapa final'!$AF$10="Media",'Mapa final'!$AH$10="Leve"),CONCATENATE("R2C",'Mapa final'!$U$10),"")</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final'!$AF$9="Media",'Mapa final'!$AH$9="Menor"),CONCATENATE("R2C",'Mapa final'!$U$9),"")</f>
        <v/>
      </c>
      <c r="Q27" s="60" t="str">
        <f ca="1">IF(AND('Mapa final'!$AF$10="Media",'Mapa final'!$AH$10="Menor"),CONCATENATE("R2C",'Mapa final'!$U$10),"")</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final'!$AF$9="Media",'Mapa final'!$AH$9="Moderado"),CONCATENATE("R2C",'Mapa final'!$U$9),"")</f>
        <v/>
      </c>
      <c r="W27" s="60" t="str">
        <f ca="1">IF(AND('Mapa final'!$AF$10="Media",'Mapa final'!$AH$10="Moderado"),CONCATENATE("R2C",'Mapa final'!$U$10),"")</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final'!$AF$9="Media",'Mapa final'!$AH$9="Mayor"),CONCATENATE("R2C",'Mapa final'!$U$9),"")</f>
        <v/>
      </c>
      <c r="AC27" s="45" t="str">
        <f ca="1">IF(AND('Mapa final'!$AF$10="Media",'Mapa final'!$AH$10="Mayor"),CONCATENATE("R2C",'Mapa final'!$U$10),"")</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final'!$AF$9="Media",'Mapa final'!$AH$9="Catastrófico"),CONCATENATE("R2C",'Mapa final'!$U$9),"")</f>
        <v/>
      </c>
      <c r="AI27" s="48" t="str">
        <f ca="1">IF(AND('Mapa final'!$AF$10="Media",'Mapa final'!$AH$10="Catastrófico"),CONCATENATE("R2C",'Mapa final'!$U$10),"")</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27"/>
      <c r="AP27" s="328"/>
      <c r="AQ27" s="328"/>
      <c r="AR27" s="328"/>
      <c r="AS27" s="328"/>
      <c r="AT27" s="329"/>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199"/>
      <c r="C28" s="199"/>
      <c r="D28" s="200"/>
      <c r="E28" s="298"/>
      <c r="F28" s="297"/>
      <c r="G28" s="297"/>
      <c r="H28" s="297"/>
      <c r="I28" s="313"/>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27"/>
      <c r="AP28" s="328"/>
      <c r="AQ28" s="328"/>
      <c r="AR28" s="328"/>
      <c r="AS28" s="328"/>
      <c r="AT28" s="329"/>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199"/>
      <c r="C29" s="199"/>
      <c r="D29" s="200"/>
      <c r="E29" s="298"/>
      <c r="F29" s="297"/>
      <c r="G29" s="297"/>
      <c r="H29" s="297"/>
      <c r="I29" s="313"/>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27"/>
      <c r="AP29" s="328"/>
      <c r="AQ29" s="328"/>
      <c r="AR29" s="328"/>
      <c r="AS29" s="328"/>
      <c r="AT29" s="329"/>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199"/>
      <c r="C30" s="199"/>
      <c r="D30" s="200"/>
      <c r="E30" s="298"/>
      <c r="F30" s="297"/>
      <c r="G30" s="297"/>
      <c r="H30" s="297"/>
      <c r="I30" s="313"/>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27"/>
      <c r="AP30" s="328"/>
      <c r="AQ30" s="328"/>
      <c r="AR30" s="328"/>
      <c r="AS30" s="328"/>
      <c r="AT30" s="329"/>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199"/>
      <c r="C31" s="199"/>
      <c r="D31" s="200"/>
      <c r="E31" s="298"/>
      <c r="F31" s="297"/>
      <c r="G31" s="297"/>
      <c r="H31" s="297"/>
      <c r="I31" s="313"/>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27"/>
      <c r="AP31" s="328"/>
      <c r="AQ31" s="328"/>
      <c r="AR31" s="328"/>
      <c r="AS31" s="328"/>
      <c r="AT31" s="329"/>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199"/>
      <c r="C32" s="199"/>
      <c r="D32" s="200"/>
      <c r="E32" s="298"/>
      <c r="F32" s="297"/>
      <c r="G32" s="297"/>
      <c r="H32" s="297"/>
      <c r="I32" s="313"/>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27"/>
      <c r="AP32" s="328"/>
      <c r="AQ32" s="328"/>
      <c r="AR32" s="328"/>
      <c r="AS32" s="328"/>
      <c r="AT32" s="329"/>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199"/>
      <c r="C33" s="199"/>
      <c r="D33" s="200"/>
      <c r="E33" s="298"/>
      <c r="F33" s="297"/>
      <c r="G33" s="297"/>
      <c r="H33" s="297"/>
      <c r="I33" s="313"/>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27"/>
      <c r="AP33" s="328"/>
      <c r="AQ33" s="328"/>
      <c r="AR33" s="328"/>
      <c r="AS33" s="328"/>
      <c r="AT33" s="329"/>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199"/>
      <c r="C34" s="199"/>
      <c r="D34" s="200"/>
      <c r="E34" s="298"/>
      <c r="F34" s="297"/>
      <c r="G34" s="297"/>
      <c r="H34" s="297"/>
      <c r="I34" s="313"/>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27"/>
      <c r="AP34" s="328"/>
      <c r="AQ34" s="328"/>
      <c r="AR34" s="328"/>
      <c r="AS34" s="328"/>
      <c r="AT34" s="329"/>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199"/>
      <c r="C35" s="199"/>
      <c r="D35" s="200"/>
      <c r="E35" s="299"/>
      <c r="F35" s="300"/>
      <c r="G35" s="300"/>
      <c r="H35" s="300"/>
      <c r="I35" s="314"/>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30"/>
      <c r="AP35" s="331"/>
      <c r="AQ35" s="331"/>
      <c r="AR35" s="331"/>
      <c r="AS35" s="331"/>
      <c r="AT35" s="332"/>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199"/>
      <c r="C36" s="199"/>
      <c r="D36" s="200"/>
      <c r="E36" s="294" t="s">
        <v>110</v>
      </c>
      <c r="F36" s="295"/>
      <c r="G36" s="295"/>
      <c r="H36" s="295"/>
      <c r="I36" s="295"/>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15" t="s">
        <v>78</v>
      </c>
      <c r="AP36" s="316"/>
      <c r="AQ36" s="316"/>
      <c r="AR36" s="316"/>
      <c r="AS36" s="316"/>
      <c r="AT36" s="317"/>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199"/>
      <c r="C37" s="199"/>
      <c r="D37" s="200"/>
      <c r="E37" s="296"/>
      <c r="F37" s="297"/>
      <c r="G37" s="297"/>
      <c r="H37" s="297"/>
      <c r="I37" s="297"/>
      <c r="J37" s="68" t="str">
        <f>IF(AND('Mapa final'!$AF$9="Baja",'Mapa final'!$AH$9="Leve"),CONCATENATE("R2C",'Mapa final'!$U$9),"")</f>
        <v/>
      </c>
      <c r="K37" s="69" t="str">
        <f ca="1">IF(AND('Mapa final'!$AF$10="Baja",'Mapa final'!$AH$10="Leve"),CONCATENATE("R2C",'Mapa final'!$U$10),"")</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final'!$AF$9="Baja",'Mapa final'!$AH$9="Menor"),CONCATENATE("R2C",'Mapa final'!$U$9),"")</f>
        <v/>
      </c>
      <c r="Q37" s="60" t="str">
        <f ca="1">IF(AND('Mapa final'!$AF$10="Baja",'Mapa final'!$AH$10="Menor"),CONCATENATE("R2C",'Mapa final'!$U$10),"")</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final'!$AF$9="Baja",'Mapa final'!$AH$9="Moderado"),CONCATENATE("R2C",'Mapa final'!$U$9),"")</f>
        <v/>
      </c>
      <c r="W37" s="60" t="str">
        <f ca="1">IF(AND('Mapa final'!$AF$10="Baja",'Mapa final'!$AH$10="Moderado"),CONCATENATE("R2C",'Mapa final'!$U$10),"")</f>
        <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final'!$AF$9="Baja",'Mapa final'!$AH$9="Mayor"),CONCATENATE("R2C",'Mapa final'!$U$9),"")</f>
        <v/>
      </c>
      <c r="AC37" s="45" t="str">
        <f ca="1">IF(AND('Mapa final'!$AF$10="Baja",'Mapa final'!$AH$10="Mayor"),CONCATENATE("R2C",'Mapa final'!$U$10),"")</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final'!$AF$9="Baja",'Mapa final'!$AH$9="Catastrófico"),CONCATENATE("R2C",'Mapa final'!$U$9),"")</f>
        <v/>
      </c>
      <c r="AI37" s="48" t="str">
        <f ca="1">IF(AND('Mapa final'!$AF$10="Baja",'Mapa final'!$AH$10="Catastrófico"),CONCATENATE("R2C",'Mapa final'!$U$10),"")</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18"/>
      <c r="AP37" s="319"/>
      <c r="AQ37" s="319"/>
      <c r="AR37" s="319"/>
      <c r="AS37" s="319"/>
      <c r="AT37" s="320"/>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199"/>
      <c r="C38" s="199"/>
      <c r="D38" s="200"/>
      <c r="E38" s="298"/>
      <c r="F38" s="297"/>
      <c r="G38" s="297"/>
      <c r="H38" s="297"/>
      <c r="I38" s="297"/>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18"/>
      <c r="AP38" s="319"/>
      <c r="AQ38" s="319"/>
      <c r="AR38" s="319"/>
      <c r="AS38" s="319"/>
      <c r="AT38" s="320"/>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199"/>
      <c r="C39" s="199"/>
      <c r="D39" s="200"/>
      <c r="E39" s="298"/>
      <c r="F39" s="297"/>
      <c r="G39" s="297"/>
      <c r="H39" s="297"/>
      <c r="I39" s="297"/>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18"/>
      <c r="AP39" s="319"/>
      <c r="AQ39" s="319"/>
      <c r="AR39" s="319"/>
      <c r="AS39" s="319"/>
      <c r="AT39" s="320"/>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199"/>
      <c r="C40" s="199"/>
      <c r="D40" s="200"/>
      <c r="E40" s="298"/>
      <c r="F40" s="297"/>
      <c r="G40" s="297"/>
      <c r="H40" s="297"/>
      <c r="I40" s="297"/>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18"/>
      <c r="AP40" s="319"/>
      <c r="AQ40" s="319"/>
      <c r="AR40" s="319"/>
      <c r="AS40" s="319"/>
      <c r="AT40" s="320"/>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199"/>
      <c r="C41" s="199"/>
      <c r="D41" s="200"/>
      <c r="E41" s="298"/>
      <c r="F41" s="297"/>
      <c r="G41" s="297"/>
      <c r="H41" s="297"/>
      <c r="I41" s="297"/>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18"/>
      <c r="AP41" s="319"/>
      <c r="AQ41" s="319"/>
      <c r="AR41" s="319"/>
      <c r="AS41" s="319"/>
      <c r="AT41" s="320"/>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199"/>
      <c r="C42" s="199"/>
      <c r="D42" s="200"/>
      <c r="E42" s="298"/>
      <c r="F42" s="297"/>
      <c r="G42" s="297"/>
      <c r="H42" s="297"/>
      <c r="I42" s="297"/>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18"/>
      <c r="AP42" s="319"/>
      <c r="AQ42" s="319"/>
      <c r="AR42" s="319"/>
      <c r="AS42" s="319"/>
      <c r="AT42" s="320"/>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199"/>
      <c r="C43" s="199"/>
      <c r="D43" s="200"/>
      <c r="E43" s="298"/>
      <c r="F43" s="297"/>
      <c r="G43" s="297"/>
      <c r="H43" s="297"/>
      <c r="I43" s="297"/>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18"/>
      <c r="AP43" s="319"/>
      <c r="AQ43" s="319"/>
      <c r="AR43" s="319"/>
      <c r="AS43" s="319"/>
      <c r="AT43" s="320"/>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199"/>
      <c r="C44" s="199"/>
      <c r="D44" s="200"/>
      <c r="E44" s="298"/>
      <c r="F44" s="297"/>
      <c r="G44" s="297"/>
      <c r="H44" s="297"/>
      <c r="I44" s="297"/>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18"/>
      <c r="AP44" s="319"/>
      <c r="AQ44" s="319"/>
      <c r="AR44" s="319"/>
      <c r="AS44" s="319"/>
      <c r="AT44" s="320"/>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199"/>
      <c r="C45" s="199"/>
      <c r="D45" s="200"/>
      <c r="E45" s="299"/>
      <c r="F45" s="300"/>
      <c r="G45" s="300"/>
      <c r="H45" s="300"/>
      <c r="I45" s="300"/>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21"/>
      <c r="AP45" s="322"/>
      <c r="AQ45" s="322"/>
      <c r="AR45" s="322"/>
      <c r="AS45" s="322"/>
      <c r="AT45" s="323"/>
    </row>
    <row r="46" spans="1:80" ht="46.5" customHeight="1" x14ac:dyDescent="0.35">
      <c r="A46" s="75"/>
      <c r="B46" s="199"/>
      <c r="C46" s="199"/>
      <c r="D46" s="200"/>
      <c r="E46" s="294" t="s">
        <v>109</v>
      </c>
      <c r="F46" s="295"/>
      <c r="G46" s="295"/>
      <c r="H46" s="295"/>
      <c r="I46" s="312"/>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199"/>
      <c r="C47" s="199"/>
      <c r="D47" s="200"/>
      <c r="E47" s="296"/>
      <c r="F47" s="297"/>
      <c r="G47" s="297"/>
      <c r="H47" s="297"/>
      <c r="I47" s="313"/>
      <c r="J47" s="68" t="str">
        <f>IF(AND('Mapa final'!$AF$9="Muy Baja",'Mapa final'!$AH$9="Leve"),CONCATENATE("R2C",'Mapa final'!$U$9),"")</f>
        <v/>
      </c>
      <c r="K47" s="69" t="str">
        <f ca="1">IF(AND('Mapa final'!$AF$10="Muy Baja",'Mapa final'!$AH$10="Leve"),CONCATENATE("R2C",'Mapa final'!$U$10),"")</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final'!$AF$9="Muy Baja",'Mapa final'!$AH$9="Menor"),CONCATENATE("R2C",'Mapa final'!$U$9),"")</f>
        <v/>
      </c>
      <c r="Q47" s="69" t="str">
        <f ca="1">IF(AND('Mapa final'!$AF$10="Muy Baja",'Mapa final'!$AH$10="Menor"),CONCATENATE("R2C",'Mapa final'!$U$10),"")</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final'!$AF$9="Muy Baja",'Mapa final'!$AH$9="Moderado"),CONCATENATE("R2C",'Mapa final'!$U$9),"")</f>
        <v/>
      </c>
      <c r="W47" s="60" t="str">
        <f ca="1">IF(AND('Mapa final'!$AF$10="Muy Baja",'Mapa final'!$AH$10="Moderado"),CONCATENATE("R2C",'Mapa final'!$U$10),"")</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final'!$AF$9="Muy Baja",'Mapa final'!$AH$9="Mayor"),CONCATENATE("R2C",'Mapa final'!$U$9),"")</f>
        <v/>
      </c>
      <c r="AC47" s="45" t="str">
        <f ca="1">IF(AND('Mapa final'!$AF$10="Muy Baja",'Mapa final'!$AH$10="Mayor"),CONCATENATE("R2C",'Mapa final'!$U$10),"")</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final'!$AF$9="Muy Baja",'Mapa final'!$AH$9="Catastrófico"),CONCATENATE("R2C",'Mapa final'!$U$9),"")</f>
        <v>R2C1</v>
      </c>
      <c r="AI47" s="48" t="str">
        <f ca="1">IF(AND('Mapa final'!$AF$10="Muy Baja",'Mapa final'!$AH$10="Catastrófico"),CONCATENATE("R2C",'Mapa final'!$U$10),"")</f>
        <v>R2C1</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199"/>
      <c r="C48" s="199"/>
      <c r="D48" s="200"/>
      <c r="E48" s="296"/>
      <c r="F48" s="297"/>
      <c r="G48" s="297"/>
      <c r="H48" s="297"/>
      <c r="I48" s="313"/>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199"/>
      <c r="C49" s="199"/>
      <c r="D49" s="200"/>
      <c r="E49" s="298"/>
      <c r="F49" s="297"/>
      <c r="G49" s="297"/>
      <c r="H49" s="297"/>
      <c r="I49" s="313"/>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199"/>
      <c r="C50" s="199"/>
      <c r="D50" s="200"/>
      <c r="E50" s="298"/>
      <c r="F50" s="297"/>
      <c r="G50" s="297"/>
      <c r="H50" s="297"/>
      <c r="I50" s="313"/>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199"/>
      <c r="C51" s="199"/>
      <c r="D51" s="200"/>
      <c r="E51" s="298"/>
      <c r="F51" s="297"/>
      <c r="G51" s="297"/>
      <c r="H51" s="297"/>
      <c r="I51" s="313"/>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199"/>
      <c r="C52" s="199"/>
      <c r="D52" s="200"/>
      <c r="E52" s="298"/>
      <c r="F52" s="297"/>
      <c r="G52" s="297"/>
      <c r="H52" s="297"/>
      <c r="I52" s="313"/>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199"/>
      <c r="C53" s="199"/>
      <c r="D53" s="200"/>
      <c r="E53" s="298"/>
      <c r="F53" s="297"/>
      <c r="G53" s="297"/>
      <c r="H53" s="297"/>
      <c r="I53" s="313"/>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199"/>
      <c r="C54" s="199"/>
      <c r="D54" s="200"/>
      <c r="E54" s="298"/>
      <c r="F54" s="297"/>
      <c r="G54" s="297"/>
      <c r="H54" s="297"/>
      <c r="I54" s="313"/>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199"/>
      <c r="C55" s="199"/>
      <c r="D55" s="200"/>
      <c r="E55" s="299"/>
      <c r="F55" s="300"/>
      <c r="G55" s="300"/>
      <c r="H55" s="300"/>
      <c r="I55" s="314"/>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294" t="s">
        <v>108</v>
      </c>
      <c r="K56" s="295"/>
      <c r="L56" s="295"/>
      <c r="M56" s="295"/>
      <c r="N56" s="295"/>
      <c r="O56" s="312"/>
      <c r="P56" s="294" t="s">
        <v>107</v>
      </c>
      <c r="Q56" s="295"/>
      <c r="R56" s="295"/>
      <c r="S56" s="295"/>
      <c r="T56" s="295"/>
      <c r="U56" s="312"/>
      <c r="V56" s="294" t="s">
        <v>106</v>
      </c>
      <c r="W56" s="295"/>
      <c r="X56" s="295"/>
      <c r="Y56" s="295"/>
      <c r="Z56" s="295"/>
      <c r="AA56" s="312"/>
      <c r="AB56" s="294" t="s">
        <v>105</v>
      </c>
      <c r="AC56" s="333"/>
      <c r="AD56" s="295"/>
      <c r="AE56" s="295"/>
      <c r="AF56" s="295"/>
      <c r="AG56" s="312"/>
      <c r="AH56" s="294" t="s">
        <v>104</v>
      </c>
      <c r="AI56" s="295"/>
      <c r="AJ56" s="295"/>
      <c r="AK56" s="295"/>
      <c r="AL56" s="295"/>
      <c r="AM56" s="312"/>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298"/>
      <c r="K57" s="297"/>
      <c r="L57" s="297"/>
      <c r="M57" s="297"/>
      <c r="N57" s="297"/>
      <c r="O57" s="313"/>
      <c r="P57" s="298"/>
      <c r="Q57" s="297"/>
      <c r="R57" s="297"/>
      <c r="S57" s="297"/>
      <c r="T57" s="297"/>
      <c r="U57" s="313"/>
      <c r="V57" s="298"/>
      <c r="W57" s="297"/>
      <c r="X57" s="297"/>
      <c r="Y57" s="297"/>
      <c r="Z57" s="297"/>
      <c r="AA57" s="313"/>
      <c r="AB57" s="298"/>
      <c r="AC57" s="297"/>
      <c r="AD57" s="297"/>
      <c r="AE57" s="297"/>
      <c r="AF57" s="297"/>
      <c r="AG57" s="313"/>
      <c r="AH57" s="298"/>
      <c r="AI57" s="297"/>
      <c r="AJ57" s="297"/>
      <c r="AK57" s="297"/>
      <c r="AL57" s="297"/>
      <c r="AM57" s="313"/>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298"/>
      <c r="K58" s="297"/>
      <c r="L58" s="297"/>
      <c r="M58" s="297"/>
      <c r="N58" s="297"/>
      <c r="O58" s="313"/>
      <c r="P58" s="298"/>
      <c r="Q58" s="297"/>
      <c r="R58" s="297"/>
      <c r="S58" s="297"/>
      <c r="T58" s="297"/>
      <c r="U58" s="313"/>
      <c r="V58" s="298"/>
      <c r="W58" s="297"/>
      <c r="X58" s="297"/>
      <c r="Y58" s="297"/>
      <c r="Z58" s="297"/>
      <c r="AA58" s="313"/>
      <c r="AB58" s="298"/>
      <c r="AC58" s="297"/>
      <c r="AD58" s="297"/>
      <c r="AE58" s="297"/>
      <c r="AF58" s="297"/>
      <c r="AG58" s="313"/>
      <c r="AH58" s="298"/>
      <c r="AI58" s="297"/>
      <c r="AJ58" s="297"/>
      <c r="AK58" s="297"/>
      <c r="AL58" s="297"/>
      <c r="AM58" s="313"/>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298"/>
      <c r="K59" s="297"/>
      <c r="L59" s="297"/>
      <c r="M59" s="297"/>
      <c r="N59" s="297"/>
      <c r="O59" s="313"/>
      <c r="P59" s="298"/>
      <c r="Q59" s="297"/>
      <c r="R59" s="297"/>
      <c r="S59" s="297"/>
      <c r="T59" s="297"/>
      <c r="U59" s="313"/>
      <c r="V59" s="298"/>
      <c r="W59" s="297"/>
      <c r="X59" s="297"/>
      <c r="Y59" s="297"/>
      <c r="Z59" s="297"/>
      <c r="AA59" s="313"/>
      <c r="AB59" s="298"/>
      <c r="AC59" s="297"/>
      <c r="AD59" s="297"/>
      <c r="AE59" s="297"/>
      <c r="AF59" s="297"/>
      <c r="AG59" s="313"/>
      <c r="AH59" s="298"/>
      <c r="AI59" s="297"/>
      <c r="AJ59" s="297"/>
      <c r="AK59" s="297"/>
      <c r="AL59" s="297"/>
      <c r="AM59" s="313"/>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298"/>
      <c r="K60" s="297"/>
      <c r="L60" s="297"/>
      <c r="M60" s="297"/>
      <c r="N60" s="297"/>
      <c r="O60" s="313"/>
      <c r="P60" s="298"/>
      <c r="Q60" s="297"/>
      <c r="R60" s="297"/>
      <c r="S60" s="297"/>
      <c r="T60" s="297"/>
      <c r="U60" s="313"/>
      <c r="V60" s="298"/>
      <c r="W60" s="297"/>
      <c r="X60" s="297"/>
      <c r="Y60" s="297"/>
      <c r="Z60" s="297"/>
      <c r="AA60" s="313"/>
      <c r="AB60" s="298"/>
      <c r="AC60" s="297"/>
      <c r="AD60" s="297"/>
      <c r="AE60" s="297"/>
      <c r="AF60" s="297"/>
      <c r="AG60" s="313"/>
      <c r="AH60" s="298"/>
      <c r="AI60" s="297"/>
      <c r="AJ60" s="297"/>
      <c r="AK60" s="297"/>
      <c r="AL60" s="297"/>
      <c r="AM60" s="313"/>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299"/>
      <c r="K61" s="300"/>
      <c r="L61" s="300"/>
      <c r="M61" s="300"/>
      <c r="N61" s="300"/>
      <c r="O61" s="314"/>
      <c r="P61" s="299"/>
      <c r="Q61" s="300"/>
      <c r="R61" s="300"/>
      <c r="S61" s="300"/>
      <c r="T61" s="300"/>
      <c r="U61" s="314"/>
      <c r="V61" s="299"/>
      <c r="W61" s="300"/>
      <c r="X61" s="300"/>
      <c r="Y61" s="300"/>
      <c r="Z61" s="300"/>
      <c r="AA61" s="314"/>
      <c r="AB61" s="299"/>
      <c r="AC61" s="300"/>
      <c r="AD61" s="300"/>
      <c r="AE61" s="300"/>
      <c r="AF61" s="300"/>
      <c r="AG61" s="314"/>
      <c r="AH61" s="299"/>
      <c r="AI61" s="300"/>
      <c r="AJ61" s="300"/>
      <c r="AK61" s="300"/>
      <c r="AL61" s="300"/>
      <c r="AM61" s="314"/>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334" t="s">
        <v>51</v>
      </c>
      <c r="C1" s="334"/>
      <c r="D1" s="334"/>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48</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47</v>
      </c>
      <c r="C4" s="11" t="s">
        <v>98</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49</v>
      </c>
      <c r="C5" s="14" t="s">
        <v>99</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103</v>
      </c>
      <c r="C6" s="14" t="s">
        <v>100</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101</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50</v>
      </c>
      <c r="C8" s="14" t="s">
        <v>102</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35" t="s">
        <v>59</v>
      </c>
      <c r="C1" s="335"/>
      <c r="D1" s="335"/>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52</v>
      </c>
      <c r="D3" s="28" t="s">
        <v>53</v>
      </c>
      <c r="E3" s="75"/>
      <c r="F3" s="75"/>
      <c r="G3" s="75"/>
      <c r="H3" s="75"/>
      <c r="I3" s="75"/>
      <c r="J3" s="75"/>
      <c r="K3" s="75"/>
      <c r="L3" s="75"/>
      <c r="M3" s="75"/>
      <c r="N3" s="75"/>
      <c r="O3" s="75"/>
      <c r="P3" s="75"/>
      <c r="Q3" s="75"/>
      <c r="R3" s="75"/>
      <c r="S3" s="75"/>
      <c r="T3" s="75"/>
      <c r="U3" s="75"/>
    </row>
    <row r="4" spans="1:21" ht="33.75" x14ac:dyDescent="0.25">
      <c r="A4" s="95" t="s">
        <v>79</v>
      </c>
      <c r="B4" s="31" t="s">
        <v>97</v>
      </c>
      <c r="C4" s="36" t="s">
        <v>151</v>
      </c>
      <c r="D4" s="29" t="s">
        <v>93</v>
      </c>
      <c r="E4" s="75"/>
      <c r="F4" s="75"/>
      <c r="G4" s="75"/>
      <c r="H4" s="75"/>
      <c r="I4" s="75"/>
      <c r="J4" s="75"/>
      <c r="K4" s="75"/>
      <c r="L4" s="75"/>
      <c r="M4" s="75"/>
      <c r="N4" s="75"/>
      <c r="O4" s="75"/>
      <c r="P4" s="75"/>
      <c r="Q4" s="75"/>
      <c r="R4" s="75"/>
      <c r="S4" s="75"/>
      <c r="T4" s="75"/>
      <c r="U4" s="75"/>
    </row>
    <row r="5" spans="1:21" ht="67.5" x14ac:dyDescent="0.25">
      <c r="A5" s="95" t="s">
        <v>80</v>
      </c>
      <c r="B5" s="32" t="s">
        <v>55</v>
      </c>
      <c r="C5" s="37" t="s">
        <v>89</v>
      </c>
      <c r="D5" s="30" t="s">
        <v>94</v>
      </c>
      <c r="E5" s="75"/>
      <c r="F5" s="75"/>
      <c r="G5" s="75"/>
      <c r="H5" s="75"/>
      <c r="I5" s="75"/>
      <c r="J5" s="75"/>
      <c r="K5" s="75"/>
      <c r="L5" s="75"/>
      <c r="M5" s="75"/>
      <c r="N5" s="75"/>
      <c r="O5" s="75"/>
      <c r="P5" s="75"/>
      <c r="Q5" s="75"/>
      <c r="R5" s="75"/>
      <c r="S5" s="75"/>
      <c r="T5" s="75"/>
      <c r="U5" s="75"/>
    </row>
    <row r="6" spans="1:21" ht="67.5" x14ac:dyDescent="0.25">
      <c r="A6" s="95" t="s">
        <v>77</v>
      </c>
      <c r="B6" s="33" t="s">
        <v>56</v>
      </c>
      <c r="C6" s="37" t="s">
        <v>90</v>
      </c>
      <c r="D6" s="30" t="s">
        <v>96</v>
      </c>
      <c r="E6" s="75"/>
      <c r="F6" s="75"/>
      <c r="G6" s="75"/>
      <c r="H6" s="75"/>
      <c r="I6" s="75"/>
      <c r="J6" s="75"/>
      <c r="K6" s="75"/>
      <c r="L6" s="75"/>
      <c r="M6" s="75"/>
      <c r="N6" s="75"/>
      <c r="O6" s="75"/>
      <c r="P6" s="75"/>
      <c r="Q6" s="75"/>
      <c r="R6" s="75"/>
      <c r="S6" s="75"/>
      <c r="T6" s="75"/>
      <c r="U6" s="75"/>
    </row>
    <row r="7" spans="1:21" ht="101.25" x14ac:dyDescent="0.25">
      <c r="A7" s="95" t="s">
        <v>7</v>
      </c>
      <c r="B7" s="34" t="s">
        <v>57</v>
      </c>
      <c r="C7" s="37" t="s">
        <v>91</v>
      </c>
      <c r="D7" s="30" t="s">
        <v>207</v>
      </c>
      <c r="E7" s="75"/>
      <c r="F7" s="75"/>
      <c r="G7" s="75"/>
      <c r="H7" s="75"/>
      <c r="I7" s="75"/>
      <c r="J7" s="75"/>
      <c r="K7" s="75"/>
      <c r="L7" s="75"/>
      <c r="M7" s="75"/>
      <c r="N7" s="75"/>
      <c r="O7" s="75"/>
      <c r="P7" s="75"/>
      <c r="Q7" s="75"/>
      <c r="R7" s="75"/>
      <c r="S7" s="75"/>
      <c r="T7" s="75"/>
      <c r="U7" s="75"/>
    </row>
    <row r="8" spans="1:21" ht="67.5" x14ac:dyDescent="0.25">
      <c r="A8" s="95" t="s">
        <v>81</v>
      </c>
      <c r="B8" s="35" t="s">
        <v>58</v>
      </c>
      <c r="C8" s="37" t="s">
        <v>92</v>
      </c>
      <c r="D8" s="30" t="s">
        <v>114</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87</v>
      </c>
      <c r="C11" s="95" t="s">
        <v>139</v>
      </c>
      <c r="D11" s="95" t="s">
        <v>146</v>
      </c>
      <c r="E11" s="75"/>
      <c r="F11" s="75"/>
      <c r="G11" s="75"/>
      <c r="H11" s="75"/>
      <c r="I11" s="75"/>
      <c r="J11" s="75"/>
      <c r="K11" s="75"/>
      <c r="L11" s="75"/>
      <c r="M11" s="75"/>
      <c r="N11" s="75"/>
      <c r="O11" s="75"/>
      <c r="P11" s="75"/>
      <c r="Q11" s="75"/>
      <c r="R11" s="75"/>
      <c r="S11" s="75"/>
      <c r="T11" s="75"/>
      <c r="U11" s="75"/>
    </row>
    <row r="12" spans="1:21" x14ac:dyDescent="0.25">
      <c r="A12" s="95"/>
      <c r="B12" s="95" t="s">
        <v>85</v>
      </c>
      <c r="C12" s="95" t="s">
        <v>143</v>
      </c>
      <c r="D12" s="95" t="s">
        <v>147</v>
      </c>
      <c r="E12" s="75"/>
      <c r="F12" s="75"/>
      <c r="G12" s="75"/>
      <c r="H12" s="75"/>
      <c r="I12" s="75"/>
      <c r="J12" s="75"/>
      <c r="K12" s="75"/>
      <c r="L12" s="75"/>
      <c r="M12" s="75"/>
      <c r="N12" s="75"/>
      <c r="O12" s="75"/>
      <c r="P12" s="75"/>
      <c r="Q12" s="75"/>
      <c r="R12" s="75"/>
      <c r="S12" s="75"/>
      <c r="T12" s="75"/>
      <c r="U12" s="75"/>
    </row>
    <row r="13" spans="1:21" x14ac:dyDescent="0.25">
      <c r="A13" s="95"/>
      <c r="B13" s="95"/>
      <c r="C13" s="95" t="s">
        <v>142</v>
      </c>
      <c r="D13" s="95" t="s">
        <v>148</v>
      </c>
      <c r="E13" s="75"/>
      <c r="F13" s="75"/>
      <c r="G13" s="75"/>
      <c r="H13" s="75"/>
      <c r="I13" s="75"/>
      <c r="J13" s="75"/>
      <c r="K13" s="75"/>
      <c r="L13" s="75"/>
      <c r="M13" s="75"/>
      <c r="N13" s="75"/>
      <c r="O13" s="75"/>
      <c r="P13" s="75"/>
      <c r="Q13" s="75"/>
      <c r="R13" s="75"/>
      <c r="S13" s="75"/>
      <c r="T13" s="75"/>
      <c r="U13" s="75"/>
    </row>
    <row r="14" spans="1:21" x14ac:dyDescent="0.25">
      <c r="A14" s="95"/>
      <c r="B14" s="95"/>
      <c r="C14" s="95" t="s">
        <v>144</v>
      </c>
      <c r="D14" s="95" t="s">
        <v>149</v>
      </c>
      <c r="E14" s="75"/>
      <c r="F14" s="75"/>
      <c r="G14" s="75"/>
      <c r="H14" s="75"/>
      <c r="I14" s="75"/>
      <c r="J14" s="75"/>
      <c r="K14" s="75"/>
      <c r="L14" s="75"/>
      <c r="M14" s="75"/>
      <c r="N14" s="75"/>
      <c r="O14" s="75"/>
      <c r="P14" s="75"/>
      <c r="Q14" s="75"/>
      <c r="R14" s="75"/>
      <c r="S14" s="75"/>
      <c r="T14" s="75"/>
      <c r="U14" s="75"/>
    </row>
    <row r="15" spans="1:21" x14ac:dyDescent="0.25">
      <c r="A15" s="95"/>
      <c r="B15" s="95"/>
      <c r="C15" s="95" t="s">
        <v>145</v>
      </c>
      <c r="D15" s="95" t="s">
        <v>150</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84</v>
      </c>
      <c r="C209" s="22" t="s">
        <v>138</v>
      </c>
      <c r="D209" s="25" t="s">
        <v>84</v>
      </c>
      <c r="E209" s="25" t="s">
        <v>138</v>
      </c>
    </row>
    <row r="210" spans="1:8" ht="21" x14ac:dyDescent="0.35">
      <c r="A210" s="75"/>
      <c r="B210" s="23" t="s">
        <v>86</v>
      </c>
      <c r="C210" s="23" t="s">
        <v>54</v>
      </c>
      <c r="D210" t="s">
        <v>86</v>
      </c>
      <c r="F210" t="str">
        <f>IF(NOT(ISBLANK(D210)),D210,IF(NOT(ISBLANK(E210)),"     "&amp;E210,FALSE))</f>
        <v>Afectación Económica o presupuestal</v>
      </c>
      <c r="G210" t="s">
        <v>86</v>
      </c>
      <c r="H210" t="str">
        <f>IF(NOT(ISERROR(MATCH(G210,_xlfn.ANCHORARRAY(B221),0))),F223&amp;"Por favor no seleccionar los criterios de impacto",G210)</f>
        <v>❌Por favor no seleccionar los criterios de impacto</v>
      </c>
    </row>
    <row r="211" spans="1:8" ht="21" x14ac:dyDescent="0.35">
      <c r="A211" s="75"/>
      <c r="B211" s="23" t="s">
        <v>86</v>
      </c>
      <c r="C211" s="23" t="s">
        <v>89</v>
      </c>
      <c r="E211" t="s">
        <v>54</v>
      </c>
      <c r="F211" t="str">
        <f t="shared" ref="F211:F221" si="0">IF(NOT(ISBLANK(D211)),D211,IF(NOT(ISBLANK(E211)),"     "&amp;E211,FALSE))</f>
        <v xml:space="preserve">     Afectación menor a 10 SMLMV .</v>
      </c>
    </row>
    <row r="212" spans="1:8" ht="21" x14ac:dyDescent="0.35">
      <c r="A212" s="75"/>
      <c r="B212" s="23" t="s">
        <v>86</v>
      </c>
      <c r="C212" s="23" t="s">
        <v>90</v>
      </c>
      <c r="E212" t="s">
        <v>89</v>
      </c>
      <c r="F212" t="str">
        <f t="shared" si="0"/>
        <v xml:space="preserve">     Entre 10 y 50 SMLMV </v>
      </c>
    </row>
    <row r="213" spans="1:8" ht="21" x14ac:dyDescent="0.35">
      <c r="A213" s="75"/>
      <c r="B213" s="23" t="s">
        <v>86</v>
      </c>
      <c r="C213" s="23" t="s">
        <v>91</v>
      </c>
      <c r="E213" t="s">
        <v>90</v>
      </c>
      <c r="F213" t="str">
        <f t="shared" si="0"/>
        <v xml:space="preserve">     Entre 50 y 100 SMLMV </v>
      </c>
    </row>
    <row r="214" spans="1:8" ht="21" x14ac:dyDescent="0.35">
      <c r="A214" s="75"/>
      <c r="B214" s="23" t="s">
        <v>86</v>
      </c>
      <c r="C214" s="23" t="s">
        <v>92</v>
      </c>
      <c r="E214" t="s">
        <v>91</v>
      </c>
      <c r="F214" t="str">
        <f t="shared" si="0"/>
        <v xml:space="preserve">     Entre 100 y 500 SMLMV </v>
      </c>
    </row>
    <row r="215" spans="1:8" ht="21" x14ac:dyDescent="0.35">
      <c r="A215" s="75"/>
      <c r="B215" s="23" t="s">
        <v>53</v>
      </c>
      <c r="C215" s="23" t="s">
        <v>93</v>
      </c>
      <c r="E215" t="s">
        <v>92</v>
      </c>
      <c r="F215" t="str">
        <f t="shared" si="0"/>
        <v xml:space="preserve">     Mayor a 500 SMLMV </v>
      </c>
    </row>
    <row r="216" spans="1:8" ht="21" x14ac:dyDescent="0.35">
      <c r="A216" s="75"/>
      <c r="B216" s="23" t="s">
        <v>53</v>
      </c>
      <c r="C216" s="23" t="s">
        <v>94</v>
      </c>
      <c r="D216" t="s">
        <v>53</v>
      </c>
      <c r="F216" t="str">
        <f t="shared" si="0"/>
        <v>Pérdida Reputacional</v>
      </c>
    </row>
    <row r="217" spans="1:8" ht="21" x14ac:dyDescent="0.35">
      <c r="A217" s="75"/>
      <c r="B217" s="23" t="s">
        <v>53</v>
      </c>
      <c r="C217" s="23" t="s">
        <v>96</v>
      </c>
      <c r="E217" t="s">
        <v>93</v>
      </c>
      <c r="F217" t="str">
        <f t="shared" si="0"/>
        <v xml:space="preserve">     El riesgo afecta la imagen de alguna área de la organización</v>
      </c>
    </row>
    <row r="218" spans="1:8" ht="21" x14ac:dyDescent="0.35">
      <c r="A218" s="75"/>
      <c r="B218" s="23" t="s">
        <v>53</v>
      </c>
      <c r="C218" s="23" t="s">
        <v>95</v>
      </c>
      <c r="E218" t="s">
        <v>94</v>
      </c>
      <c r="F218" t="str">
        <f t="shared" si="0"/>
        <v xml:space="preserve">     El riesgo afecta la imagen de la entidad internamente, de conocimiento general, nivel interno, de junta dircetiva y accionistas y/o de provedores</v>
      </c>
    </row>
    <row r="219" spans="1:8" ht="21" x14ac:dyDescent="0.35">
      <c r="A219" s="75"/>
      <c r="B219" s="23" t="s">
        <v>53</v>
      </c>
      <c r="C219" s="23" t="s">
        <v>114</v>
      </c>
      <c r="E219" t="s">
        <v>96</v>
      </c>
      <c r="F219" t="str">
        <f t="shared" si="0"/>
        <v xml:space="preserve">     El riesgo afecta la imagen de la entidad con algunos usuarios de relevancia frente al logro de los objetivos</v>
      </c>
    </row>
    <row r="220" spans="1:8" x14ac:dyDescent="0.25">
      <c r="A220" s="75"/>
      <c r="B220" s="24"/>
      <c r="C220" s="24"/>
      <c r="E220" t="s">
        <v>95</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114</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140</v>
      </c>
    </row>
    <row r="224" spans="1:8" x14ac:dyDescent="0.25">
      <c r="B224" s="19"/>
      <c r="C224" s="19"/>
      <c r="F224" s="27" t="s">
        <v>141</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36" t="s">
        <v>74</v>
      </c>
      <c r="C1" s="337"/>
      <c r="D1" s="337"/>
      <c r="E1" s="337"/>
      <c r="F1" s="338"/>
    </row>
    <row r="2" spans="2:6" ht="16.5" thickBot="1" x14ac:dyDescent="0.3">
      <c r="B2" s="81"/>
      <c r="C2" s="81"/>
      <c r="D2" s="81"/>
      <c r="E2" s="81"/>
      <c r="F2" s="81"/>
    </row>
    <row r="3" spans="2:6" ht="16.5" thickBot="1" x14ac:dyDescent="0.25">
      <c r="B3" s="340" t="s">
        <v>60</v>
      </c>
      <c r="C3" s="341"/>
      <c r="D3" s="341"/>
      <c r="E3" s="93" t="s">
        <v>61</v>
      </c>
      <c r="F3" s="94" t="s">
        <v>62</v>
      </c>
    </row>
    <row r="4" spans="2:6" ht="31.5" x14ac:dyDescent="0.2">
      <c r="B4" s="342" t="s">
        <v>63</v>
      </c>
      <c r="C4" s="344" t="s">
        <v>13</v>
      </c>
      <c r="D4" s="82" t="s">
        <v>14</v>
      </c>
      <c r="E4" s="83" t="s">
        <v>64</v>
      </c>
      <c r="F4" s="84">
        <v>0.25</v>
      </c>
    </row>
    <row r="5" spans="2:6" ht="47.25" x14ac:dyDescent="0.2">
      <c r="B5" s="343"/>
      <c r="C5" s="345"/>
      <c r="D5" s="85" t="s">
        <v>15</v>
      </c>
      <c r="E5" s="86" t="s">
        <v>65</v>
      </c>
      <c r="F5" s="87">
        <v>0.15</v>
      </c>
    </row>
    <row r="6" spans="2:6" ht="47.25" x14ac:dyDescent="0.2">
      <c r="B6" s="343"/>
      <c r="C6" s="345"/>
      <c r="D6" s="85" t="s">
        <v>16</v>
      </c>
      <c r="E6" s="86" t="s">
        <v>66</v>
      </c>
      <c r="F6" s="87">
        <v>0.1</v>
      </c>
    </row>
    <row r="7" spans="2:6" ht="63" x14ac:dyDescent="0.2">
      <c r="B7" s="343"/>
      <c r="C7" s="345" t="s">
        <v>17</v>
      </c>
      <c r="D7" s="85" t="s">
        <v>10</v>
      </c>
      <c r="E7" s="86" t="s">
        <v>67</v>
      </c>
      <c r="F7" s="87">
        <v>0.25</v>
      </c>
    </row>
    <row r="8" spans="2:6" ht="31.5" x14ac:dyDescent="0.2">
      <c r="B8" s="343"/>
      <c r="C8" s="345"/>
      <c r="D8" s="85" t="s">
        <v>9</v>
      </c>
      <c r="E8" s="86" t="s">
        <v>68</v>
      </c>
      <c r="F8" s="87">
        <v>0.15</v>
      </c>
    </row>
    <row r="9" spans="2:6" ht="47.25" x14ac:dyDescent="0.2">
      <c r="B9" s="343" t="s">
        <v>155</v>
      </c>
      <c r="C9" s="345" t="s">
        <v>18</v>
      </c>
      <c r="D9" s="85" t="s">
        <v>19</v>
      </c>
      <c r="E9" s="86" t="s">
        <v>69</v>
      </c>
      <c r="F9" s="88" t="s">
        <v>70</v>
      </c>
    </row>
    <row r="10" spans="2:6" ht="63" x14ac:dyDescent="0.2">
      <c r="B10" s="343"/>
      <c r="C10" s="345"/>
      <c r="D10" s="85" t="s">
        <v>20</v>
      </c>
      <c r="E10" s="86" t="s">
        <v>71</v>
      </c>
      <c r="F10" s="88" t="s">
        <v>70</v>
      </c>
    </row>
    <row r="11" spans="2:6" ht="47.25" x14ac:dyDescent="0.2">
      <c r="B11" s="343"/>
      <c r="C11" s="345" t="s">
        <v>21</v>
      </c>
      <c r="D11" s="85" t="s">
        <v>22</v>
      </c>
      <c r="E11" s="86" t="s">
        <v>72</v>
      </c>
      <c r="F11" s="88" t="s">
        <v>70</v>
      </c>
    </row>
    <row r="12" spans="2:6" ht="47.25" x14ac:dyDescent="0.2">
      <c r="B12" s="343"/>
      <c r="C12" s="345"/>
      <c r="D12" s="85" t="s">
        <v>23</v>
      </c>
      <c r="E12" s="86" t="s">
        <v>73</v>
      </c>
      <c r="F12" s="88" t="s">
        <v>70</v>
      </c>
    </row>
    <row r="13" spans="2:6" ht="31.5" x14ac:dyDescent="0.2">
      <c r="B13" s="343"/>
      <c r="C13" s="345" t="s">
        <v>24</v>
      </c>
      <c r="D13" s="85" t="s">
        <v>115</v>
      </c>
      <c r="E13" s="86" t="s">
        <v>118</v>
      </c>
      <c r="F13" s="88" t="s">
        <v>70</v>
      </c>
    </row>
    <row r="14" spans="2:6" ht="32.25" thickBot="1" x14ac:dyDescent="0.25">
      <c r="B14" s="346"/>
      <c r="C14" s="347"/>
      <c r="D14" s="89" t="s">
        <v>116</v>
      </c>
      <c r="E14" s="90" t="s">
        <v>117</v>
      </c>
      <c r="F14" s="91" t="s">
        <v>70</v>
      </c>
    </row>
    <row r="15" spans="2:6" ht="49.5" customHeight="1" x14ac:dyDescent="0.2">
      <c r="B15" s="339" t="s">
        <v>152</v>
      </c>
      <c r="C15" s="339"/>
      <c r="D15" s="339"/>
      <c r="E15" s="339"/>
      <c r="F15" s="339"/>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82</v>
      </c>
    </row>
    <row r="9" spans="2:5" x14ac:dyDescent="0.25">
      <c r="B9" t="s">
        <v>38</v>
      </c>
    </row>
    <row r="10" spans="2:5" x14ac:dyDescent="0.25">
      <c r="B10" t="s">
        <v>39</v>
      </c>
    </row>
    <row r="13" spans="2:5" x14ac:dyDescent="0.25">
      <c r="B13" t="s">
        <v>125</v>
      </c>
    </row>
    <row r="14" spans="2:5" x14ac:dyDescent="0.25">
      <c r="B14" t="s">
        <v>119</v>
      </c>
    </row>
    <row r="15" spans="2:5" x14ac:dyDescent="0.25">
      <c r="B15" t="s">
        <v>122</v>
      </c>
    </row>
    <row r="16" spans="2:5" x14ac:dyDescent="0.25">
      <c r="B16" t="s">
        <v>120</v>
      </c>
    </row>
    <row r="17" spans="2:2" x14ac:dyDescent="0.25">
      <c r="B17" t="s">
        <v>121</v>
      </c>
    </row>
    <row r="18" spans="2:2" x14ac:dyDescent="0.25">
      <c r="B18" t="s">
        <v>123</v>
      </c>
    </row>
    <row r="19" spans="2:2" x14ac:dyDescent="0.25">
      <c r="B19" t="s">
        <v>124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ANDRES</cp:lastModifiedBy>
  <cp:lastPrinted>2020-05-13T01:12:22Z</cp:lastPrinted>
  <dcterms:created xsi:type="dcterms:W3CDTF">2020-03-24T23:12:47Z</dcterms:created>
  <dcterms:modified xsi:type="dcterms:W3CDTF">2024-05-16T16:16:14Z</dcterms:modified>
</cp:coreProperties>
</file>